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9" sheetId="80" r:id="rId19"/>
    <sheet name="BTGT 10-12" sheetId="60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TH!$R$10:$R$2915</definedName>
    <definedName name="_C112">TH!$U$10:$U$2915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9" hidden="1">'BTGT 10-12'!$A$6:$R$181</definedName>
    <definedName name="_xlnm._FilterDatabase" localSheetId="3" hidden="1">CTTK!$A$13:$J$15</definedName>
    <definedName name="_xlnm._FilterDatabase" localSheetId="14" hidden="1">NXT!$A$11:$N$306</definedName>
    <definedName name="_xlnm._FilterDatabase" localSheetId="1" hidden="1">TH!$A$9:$AE$2798</definedName>
    <definedName name="_xlnm._FilterDatabase" localSheetId="17" hidden="1">TK!$A$1:$J$1</definedName>
    <definedName name="_M">TH!$B$10:$B$2915</definedName>
    <definedName name="_N111">TH!$Q$10:$Q$2915</definedName>
    <definedName name="_N112">TH!$T$10:$T$2915</definedName>
    <definedName name="_TM1">IF('IN-TC'!$S$4=1,1,IF('IN-TC'!$S$4=2,4,IF('IN-TC'!$S$4=3,7,10)))</definedName>
    <definedName name="_TM2">IF('IN-TC'!$S$4=1,3,IF('IN-TC'!$S$4=2,6,IF('IN-TC'!$S$4=3,9,12)))</definedName>
    <definedName name="DG">TH!$J$10:$J$2915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KH">'331'!$B$6:$B$23</definedName>
    <definedName name="DSKU">'341'!$B$4:$B$12</definedName>
    <definedName name="DSTK">CDPS!$A$10:$D$59</definedName>
    <definedName name="DSTS1">'SO-TS'!$D$14:$D$19</definedName>
    <definedName name="KH">TH!$H$10:$H$2915</definedName>
    <definedName name="KHC">TH!$M$10:$M$2915</definedName>
    <definedName name="KHN">TH!$L$10:$L$2915</definedName>
    <definedName name="Loai">OFFSET(TH!$N$5,,,COUNTA(TH!$N$5:$N$41225))</definedName>
    <definedName name="Loai1">OFFSET(TH!$P$5,,,COUNTA(TH!$P$5:$P$41225))</definedName>
    <definedName name="Loai10">OFFSET(TH!$O$5,,,COUNTA(TH!$O$5:$O$41022))</definedName>
    <definedName name="Loai2">OFFSET(TH!$S$5,,,COUNTA(TH!$S$5:$S$41225))</definedName>
    <definedName name="Loai3">OFFSET('SO-TS'!$P$14,,,COUNTA('SO-TS'!$P$14:$P$3891))</definedName>
    <definedName name="Loai4">OFFSET(TH!$V$5,,,COUNTA(TH!$V$5:$V$41225))</definedName>
    <definedName name="Loai5">OFFSET(TH!$W$5,,,COUNTA(TH!$W$5:$W$41225))</definedName>
    <definedName name="Loai6">OFFSET(TH!$AA$5,,,COUNTA(TH!$AA$5:$AA$41225))</definedName>
    <definedName name="Loai7">OFFSET(TH!$X$5,,,COUNTA(TH!$X$5:$X$41225))</definedName>
    <definedName name="Loai8">OFFSET(TH!$Y$5,,,COUNTA(TH!$Y$5:$Y$41225))</definedName>
    <definedName name="Loai9">OFFSET(TH!$Z$5,,,COUNTA(TH!$Z$5:$Z$41225))</definedName>
    <definedName name="MH">TH!$F$10:$F$2915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'331'!$A$1:$H$30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'BTGT 1-9'!$A$52:$L$130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NXT!$B$1:$L$311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'BTGT 1-9'!$55:$55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TH!$I$10:$I$2915</definedName>
    <definedName name="TH">TH!$K$10:$K$2915</definedName>
    <definedName name="TM">TH!$A$10:$M$2915</definedName>
  </definedNames>
  <calcPr calcId="144525"/>
</workbook>
</file>

<file path=xl/calcChain.xml><?xml version="1.0" encoding="utf-8"?>
<calcChain xmlns="http://schemas.openxmlformats.org/spreadsheetml/2006/main">
  <c r="Z1198" i="34" l="1"/>
  <c r="Y1198" i="34"/>
  <c r="O1198" i="34"/>
  <c r="N1198" i="34"/>
  <c r="C1198" i="34"/>
  <c r="B1198" i="34" s="1"/>
  <c r="AA1198" i="34" l="1"/>
  <c r="S1198" i="34"/>
  <c r="Q1198" i="34"/>
  <c r="U1198" i="34"/>
  <c r="X1198" i="34"/>
  <c r="T1198" i="34"/>
  <c r="P1198" i="34"/>
  <c r="A1198" i="34"/>
  <c r="V1198" i="34"/>
  <c r="R1198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Z1197" i="34" l="1"/>
  <c r="Y1197" i="34"/>
  <c r="O1197" i="34"/>
  <c r="N1197" i="34"/>
  <c r="C1197" i="34"/>
  <c r="B1197" i="34" s="1"/>
  <c r="AA1197" i="34" l="1"/>
  <c r="Q1197" i="34"/>
  <c r="X1197" i="34"/>
  <c r="P1197" i="34"/>
  <c r="A1197" i="34"/>
  <c r="V1197" i="34"/>
  <c r="R1197" i="34"/>
  <c r="A5" i="81"/>
  <c r="A6" i="81"/>
  <c r="A8" i="81"/>
  <c r="A9" i="81"/>
  <c r="A10" i="81"/>
  <c r="A7" i="81"/>
  <c r="A11" i="81"/>
  <c r="A12" i="81"/>
  <c r="A4" i="81"/>
  <c r="Z1162" i="34"/>
  <c r="Y1162" i="34"/>
  <c r="O1162" i="34"/>
  <c r="N1162" i="34"/>
  <c r="C1162" i="34"/>
  <c r="B1162" i="34" s="1"/>
  <c r="AA1162" i="34" l="1"/>
  <c r="Q1162" i="34"/>
  <c r="X1162" i="34"/>
  <c r="P1162" i="34"/>
  <c r="A1162" i="34"/>
  <c r="V1162" i="34"/>
  <c r="R1162" i="34"/>
  <c r="Z1219" i="34" l="1"/>
  <c r="Y1219" i="34"/>
  <c r="O1219" i="34"/>
  <c r="N1219" i="34"/>
  <c r="C1219" i="34"/>
  <c r="B1219" i="34" s="1"/>
  <c r="Z1185" i="34"/>
  <c r="Y1185" i="34"/>
  <c r="O1185" i="34"/>
  <c r="N1185" i="34"/>
  <c r="C1185" i="34"/>
  <c r="B1185" i="34" s="1"/>
  <c r="Z1183" i="34"/>
  <c r="Y1183" i="34"/>
  <c r="O1183" i="34"/>
  <c r="N1183" i="34"/>
  <c r="C1183" i="34"/>
  <c r="B1183" i="34" s="1"/>
  <c r="C1177" i="34"/>
  <c r="C1178" i="34"/>
  <c r="C1179" i="34"/>
  <c r="C1180" i="34"/>
  <c r="C1181" i="34"/>
  <c r="C1182" i="34"/>
  <c r="C1184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AC1158" i="34"/>
  <c r="AC1157" i="34"/>
  <c r="AC1156" i="34"/>
  <c r="AC1155" i="34"/>
  <c r="AC1154" i="34"/>
  <c r="AC1153" i="34"/>
  <c r="AC1152" i="34"/>
  <c r="AC1151" i="34"/>
  <c r="AC1149" i="34"/>
  <c r="AC1148" i="34"/>
  <c r="AC1147" i="34"/>
  <c r="AC1146" i="34"/>
  <c r="AC1143" i="34"/>
  <c r="AC1142" i="34"/>
  <c r="AC1141" i="34"/>
  <c r="AC1140" i="34"/>
  <c r="AC1137" i="34"/>
  <c r="AC1136" i="34"/>
  <c r="AC1135" i="34"/>
  <c r="AC1134" i="34"/>
  <c r="AC1133" i="34"/>
  <c r="AC1132" i="34"/>
  <c r="AC1130" i="34"/>
  <c r="AC1126" i="34"/>
  <c r="AC1125" i="34"/>
  <c r="AC1123" i="34"/>
  <c r="AC1122" i="34"/>
  <c r="AC1121" i="34"/>
  <c r="AC1120" i="34"/>
  <c r="AC1117" i="34"/>
  <c r="AC1116" i="34"/>
  <c r="AC1115" i="34"/>
  <c r="AC1114" i="34"/>
  <c r="AC1112" i="34"/>
  <c r="AC1111" i="34"/>
  <c r="AC1110" i="34"/>
  <c r="AC1109" i="34"/>
  <c r="AC1104" i="34"/>
  <c r="AC1103" i="34"/>
  <c r="AC1097" i="34"/>
  <c r="AC1096" i="34"/>
  <c r="AC1088" i="34"/>
  <c r="AC1087" i="34"/>
  <c r="AC1086" i="34"/>
  <c r="AC1085" i="34"/>
  <c r="AC1084" i="34"/>
  <c r="AC1083" i="34"/>
  <c r="AC1069" i="34"/>
  <c r="AC1068" i="34"/>
  <c r="AC1067" i="34"/>
  <c r="AC1066" i="34"/>
  <c r="AC1065" i="34"/>
  <c r="AC1064" i="34"/>
  <c r="AC1063" i="34"/>
  <c r="AC1062" i="34"/>
  <c r="AC1061" i="34"/>
  <c r="AC1060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39" i="34"/>
  <c r="AC1038" i="34"/>
  <c r="AC1037" i="34"/>
  <c r="AC1036" i="34"/>
  <c r="AC1035" i="34"/>
  <c r="AC1034" i="34"/>
  <c r="AC1028" i="34"/>
  <c r="AC1027" i="34"/>
  <c r="AC1026" i="34"/>
  <c r="AC1025" i="34"/>
  <c r="AC1022" i="34"/>
  <c r="AC1021" i="34"/>
  <c r="AC1020" i="34"/>
  <c r="AC1019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4" i="34"/>
  <c r="AC1003" i="34"/>
  <c r="AC1002" i="34"/>
  <c r="AC1001" i="34"/>
  <c r="AC1000" i="34"/>
  <c r="AC999" i="34"/>
  <c r="AC998" i="34"/>
  <c r="AC997" i="34"/>
  <c r="AC992" i="34"/>
  <c r="AC991" i="34"/>
  <c r="AC990" i="34"/>
  <c r="AC989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7" i="34"/>
  <c r="AC956" i="34"/>
  <c r="AC955" i="34"/>
  <c r="AC954" i="34"/>
  <c r="AC953" i="34"/>
  <c r="AC952" i="34"/>
  <c r="AC951" i="34"/>
  <c r="AC950" i="34"/>
  <c r="AC949" i="34"/>
  <c r="AC948" i="34"/>
  <c r="AC946" i="34"/>
  <c r="AC945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902" i="34"/>
  <c r="AC901" i="34"/>
  <c r="AC898" i="34"/>
  <c r="AC897" i="34"/>
  <c r="AC868" i="34"/>
  <c r="AC867" i="34"/>
  <c r="AC864" i="34"/>
  <c r="AC863" i="34"/>
  <c r="AC862" i="34"/>
  <c r="AC861" i="34"/>
  <c r="A15" i="12"/>
  <c r="A16" i="12"/>
  <c r="A17" i="12"/>
  <c r="A18" i="12"/>
  <c r="A19" i="12"/>
  <c r="A20" i="12"/>
  <c r="A21" i="12"/>
  <c r="A22" i="12"/>
  <c r="AA1219" i="34" l="1"/>
  <c r="A1219" i="34"/>
  <c r="V1219" i="34"/>
  <c r="R1219" i="34"/>
  <c r="Q1219" i="34"/>
  <c r="X1219" i="34"/>
  <c r="P1219" i="34"/>
  <c r="AA1185" i="34"/>
  <c r="A1185" i="34"/>
  <c r="V1185" i="34"/>
  <c r="R1185" i="34"/>
  <c r="Q1185" i="34"/>
  <c r="X1185" i="34"/>
  <c r="P1185" i="34"/>
  <c r="AA1183" i="34"/>
  <c r="A1183" i="34"/>
  <c r="V1183" i="34"/>
  <c r="R1183" i="34"/>
  <c r="Q1183" i="34"/>
  <c r="X1183" i="34"/>
  <c r="P1183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4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E463" i="34" l="1"/>
  <c r="K1057" i="34"/>
  <c r="K1018" i="34"/>
  <c r="Z876" i="34"/>
  <c r="Y876" i="34"/>
  <c r="U876" i="34"/>
  <c r="T876" i="34"/>
  <c r="S876" i="34"/>
  <c r="N876" i="34"/>
  <c r="C876" i="34"/>
  <c r="B876" i="34" s="1"/>
  <c r="Z875" i="34"/>
  <c r="Y875" i="34"/>
  <c r="U875" i="34"/>
  <c r="T875" i="34"/>
  <c r="S875" i="34"/>
  <c r="N875" i="34"/>
  <c r="C875" i="34"/>
  <c r="B875" i="34" s="1"/>
  <c r="AA876" i="34" l="1"/>
  <c r="V876" i="34"/>
  <c r="R876" i="34"/>
  <c r="Q876" i="34"/>
  <c r="X876" i="34"/>
  <c r="P876" i="34"/>
  <c r="A876" i="34"/>
  <c r="AA875" i="34"/>
  <c r="Q875" i="34"/>
  <c r="X875" i="34"/>
  <c r="P875" i="34"/>
  <c r="A875" i="34"/>
  <c r="V875" i="34"/>
  <c r="R875" i="34"/>
  <c r="L49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3" i="60"/>
  <c r="R14" i="60"/>
  <c r="R15" i="60"/>
  <c r="R16" i="60"/>
  <c r="R17" i="60"/>
  <c r="R18" i="60"/>
  <c r="R19" i="60"/>
  <c r="R20" i="60"/>
  <c r="R33" i="60"/>
  <c r="R34" i="60"/>
  <c r="R35" i="60"/>
  <c r="R36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32" i="60"/>
  <c r="R30" i="60"/>
  <c r="R31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I183" i="60"/>
  <c r="H7" i="60"/>
  <c r="J7" i="60" s="1"/>
  <c r="R29" i="60"/>
  <c r="R28" i="60"/>
  <c r="R25" i="60"/>
  <c r="R24" i="60"/>
  <c r="R23" i="60"/>
  <c r="R22" i="60"/>
  <c r="R21" i="60"/>
  <c r="R12" i="60"/>
  <c r="R11" i="60"/>
  <c r="R10" i="60"/>
  <c r="R9" i="60"/>
  <c r="R8" i="60"/>
  <c r="R7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183" i="60"/>
  <c r="R27" i="60"/>
  <c r="R39" i="60" s="1"/>
  <c r="R38" i="60"/>
  <c r="R40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Z906" i="34"/>
  <c r="Y906" i="34"/>
  <c r="U906" i="34"/>
  <c r="T906" i="34"/>
  <c r="S906" i="34"/>
  <c r="N906" i="34"/>
  <c r="C906" i="34"/>
  <c r="B906" i="34" s="1"/>
  <c r="AA906" i="34" s="1"/>
  <c r="G112" i="80" l="1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46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Q906" i="34"/>
  <c r="R906" i="34"/>
  <c r="V906" i="34"/>
  <c r="A906" i="34"/>
  <c r="P906" i="34"/>
  <c r="X906" i="34"/>
  <c r="Z901" i="34"/>
  <c r="Y901" i="34"/>
  <c r="U901" i="34"/>
  <c r="T901" i="34"/>
  <c r="S901" i="34"/>
  <c r="N901" i="34"/>
  <c r="C901" i="34"/>
  <c r="B901" i="34" s="1"/>
  <c r="AA901" i="34" s="1"/>
  <c r="L138" i="80" l="1"/>
  <c r="J300" i="80"/>
  <c r="J49" i="80"/>
  <c r="J130" i="80"/>
  <c r="L56" i="80"/>
  <c r="Q901" i="34"/>
  <c r="R901" i="34"/>
  <c r="V901" i="34"/>
  <c r="A901" i="34"/>
  <c r="P901" i="34"/>
  <c r="X901" i="34"/>
  <c r="AC671" i="34" l="1"/>
  <c r="AC669" i="34"/>
  <c r="AC668" i="34"/>
  <c r="AC667" i="34"/>
  <c r="AC666" i="34"/>
  <c r="AC664" i="34"/>
  <c r="AC663" i="34"/>
  <c r="AC662" i="34"/>
  <c r="AC661" i="34"/>
  <c r="AC659" i="34"/>
  <c r="AC657" i="34"/>
  <c r="AC656" i="34"/>
  <c r="AC654" i="34"/>
  <c r="AC652" i="34"/>
  <c r="AC651" i="34"/>
  <c r="AC649" i="34"/>
  <c r="AC648" i="34"/>
  <c r="AC646" i="34"/>
  <c r="AC644" i="34"/>
  <c r="AC642" i="34"/>
  <c r="AC641" i="34"/>
  <c r="AC640" i="34"/>
  <c r="AC638" i="34"/>
  <c r="AC637" i="34"/>
  <c r="AC636" i="34"/>
  <c r="AC635" i="34"/>
  <c r="AC633" i="34"/>
  <c r="AC632" i="34"/>
  <c r="AC630" i="34"/>
  <c r="AC628" i="34"/>
  <c r="AC626" i="34"/>
  <c r="AC625" i="34"/>
  <c r="AC624" i="34"/>
  <c r="AC623" i="34"/>
  <c r="AC622" i="34"/>
  <c r="AC621" i="34"/>
  <c r="AC620" i="34"/>
  <c r="AC619" i="34"/>
  <c r="AC618" i="34"/>
  <c r="AC617" i="34"/>
  <c r="AC615" i="34"/>
  <c r="AC614" i="34"/>
  <c r="AC613" i="34"/>
  <c r="AC612" i="34"/>
  <c r="AC610" i="34"/>
  <c r="AC608" i="34"/>
  <c r="AC607" i="34"/>
  <c r="AC605" i="34"/>
  <c r="AC603" i="34"/>
  <c r="AC601" i="34"/>
  <c r="AC600" i="34"/>
  <c r="AC598" i="34"/>
  <c r="AC596" i="34"/>
  <c r="AC595" i="34"/>
  <c r="AC594" i="34"/>
  <c r="AC592" i="34"/>
  <c r="AC591" i="34"/>
  <c r="AC590" i="34"/>
  <c r="AC588" i="34"/>
  <c r="AC587" i="34"/>
  <c r="AC585" i="34"/>
  <c r="AC583" i="34"/>
  <c r="AC581" i="34"/>
  <c r="AC579" i="34"/>
  <c r="AC577" i="34"/>
  <c r="AC575" i="34"/>
  <c r="AC573" i="34"/>
  <c r="AC571" i="34"/>
  <c r="AC570" i="34"/>
  <c r="AC569" i="34"/>
  <c r="AC568" i="34"/>
  <c r="AC567" i="34"/>
  <c r="AC565" i="34"/>
  <c r="AC563" i="34"/>
  <c r="AC561" i="34"/>
  <c r="AC560" i="34"/>
  <c r="AC558" i="34"/>
  <c r="AC556" i="34"/>
  <c r="AC555" i="34"/>
  <c r="AC554" i="34"/>
  <c r="AC552" i="34"/>
  <c r="AC551" i="34"/>
  <c r="AC550" i="34"/>
  <c r="AC548" i="34"/>
  <c r="AC546" i="34"/>
  <c r="AC545" i="34"/>
  <c r="AC544" i="34"/>
  <c r="AC542" i="34"/>
  <c r="AC540" i="34"/>
  <c r="AC538" i="34"/>
  <c r="AC537" i="34"/>
  <c r="AC535" i="34"/>
  <c r="AC534" i="34"/>
  <c r="AC533" i="34"/>
  <c r="AC531" i="34"/>
  <c r="AC529" i="34"/>
  <c r="AC528" i="34"/>
  <c r="AC527" i="34"/>
  <c r="AC526" i="34"/>
  <c r="AC524" i="34"/>
  <c r="AC523" i="34"/>
  <c r="AC522" i="34"/>
  <c r="AC521" i="34"/>
  <c r="AC519" i="34"/>
  <c r="AC517" i="34"/>
  <c r="AC515" i="34"/>
  <c r="AC513" i="34"/>
  <c r="AC512" i="34"/>
  <c r="AC511" i="34"/>
  <c r="AC509" i="34"/>
  <c r="AC508" i="34"/>
  <c r="AC506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0" i="34"/>
  <c r="AC488" i="34"/>
  <c r="AC487" i="34"/>
  <c r="AC485" i="34"/>
  <c r="AC484" i="34"/>
  <c r="AC482" i="34"/>
  <c r="AC480" i="34"/>
  <c r="AC479" i="34"/>
  <c r="AC477" i="34"/>
  <c r="AC476" i="34"/>
  <c r="AC475" i="34"/>
  <c r="AC473" i="34"/>
  <c r="AC471" i="34"/>
  <c r="AC470" i="34"/>
  <c r="AC469" i="34"/>
  <c r="AC467" i="34"/>
  <c r="AC466" i="34"/>
  <c r="AC464" i="34"/>
  <c r="AC462" i="34"/>
  <c r="AC461" i="34"/>
  <c r="AC459" i="34"/>
  <c r="AC458" i="34"/>
  <c r="AC456" i="34"/>
  <c r="AC454" i="34"/>
  <c r="AC452" i="34"/>
  <c r="AC451" i="34"/>
  <c r="AC449" i="34"/>
  <c r="AC448" i="34"/>
  <c r="AC447" i="34"/>
  <c r="AC446" i="34"/>
  <c r="AC444" i="34"/>
  <c r="AC442" i="34"/>
  <c r="AC441" i="34"/>
  <c r="AC440" i="34"/>
  <c r="AC439" i="34"/>
  <c r="AC438" i="34"/>
  <c r="AC437" i="34"/>
  <c r="AC436" i="34"/>
  <c r="AC435" i="34"/>
  <c r="AC433" i="34"/>
  <c r="AC431" i="34"/>
  <c r="AC428" i="34"/>
  <c r="AC427" i="34"/>
  <c r="AC426" i="34"/>
  <c r="AC425" i="34"/>
  <c r="AC423" i="34"/>
  <c r="AC422" i="34"/>
  <c r="AC420" i="34"/>
  <c r="AC418" i="34"/>
  <c r="AC417" i="34"/>
  <c r="AC415" i="34"/>
  <c r="AC413" i="34"/>
  <c r="AC411" i="34"/>
  <c r="AC410" i="34"/>
  <c r="AC408" i="34"/>
  <c r="AC406" i="34"/>
  <c r="AC405" i="34"/>
  <c r="AC404" i="34"/>
  <c r="AC403" i="34"/>
  <c r="AC402" i="34"/>
  <c r="AC401" i="34"/>
  <c r="AC400" i="34"/>
  <c r="AC399" i="34"/>
  <c r="AC397" i="34"/>
  <c r="AC396" i="34"/>
  <c r="AC394" i="34"/>
  <c r="AC393" i="34"/>
  <c r="AC392" i="34"/>
  <c r="AC391" i="34"/>
  <c r="AC390" i="34"/>
  <c r="AC388" i="34"/>
  <c r="AC386" i="34"/>
  <c r="AC384" i="34"/>
  <c r="AC382" i="34"/>
  <c r="AC381" i="34"/>
  <c r="AC379" i="34"/>
  <c r="AC378" i="34"/>
  <c r="AC377" i="34"/>
  <c r="AC376" i="34"/>
  <c r="AC374" i="34"/>
  <c r="AC373" i="34"/>
  <c r="AC371" i="34"/>
  <c r="AC369" i="34"/>
  <c r="AC368" i="34"/>
  <c r="AC367" i="34"/>
  <c r="AC366" i="34"/>
  <c r="AC365" i="34"/>
  <c r="AC363" i="34"/>
  <c r="AC362" i="34"/>
  <c r="AC360" i="34"/>
  <c r="AC358" i="34"/>
  <c r="AC357" i="34"/>
  <c r="AC356" i="34"/>
  <c r="AC354" i="34"/>
  <c r="AC352" i="34"/>
  <c r="AC350" i="34"/>
  <c r="AC349" i="34"/>
  <c r="AC347" i="34"/>
  <c r="AC345" i="34"/>
  <c r="AC344" i="34"/>
  <c r="AC342" i="34"/>
  <c r="AC340" i="34"/>
  <c r="AC338" i="34"/>
  <c r="AC337" i="34"/>
  <c r="AC336" i="34"/>
  <c r="AC335" i="34"/>
  <c r="AC334" i="34"/>
  <c r="AC332" i="34"/>
  <c r="AC331" i="34"/>
  <c r="AC329" i="34"/>
  <c r="AC328" i="34"/>
  <c r="AC326" i="34"/>
  <c r="AC324" i="34"/>
  <c r="AC323" i="34"/>
  <c r="AC322" i="34"/>
  <c r="AC321" i="34"/>
  <c r="AC319" i="34"/>
  <c r="AC318" i="34"/>
  <c r="AC317" i="34"/>
  <c r="AC315" i="34"/>
  <c r="AC313" i="34"/>
  <c r="AC312" i="34"/>
  <c r="AC310" i="34"/>
  <c r="AC309" i="34"/>
  <c r="AC308" i="34"/>
  <c r="AC307" i="34"/>
  <c r="AC306" i="34"/>
  <c r="AC305" i="34"/>
  <c r="AC303" i="34"/>
  <c r="AC301" i="34"/>
  <c r="AC300" i="34"/>
  <c r="AC298" i="34"/>
  <c r="AC296" i="34"/>
  <c r="AC294" i="34"/>
  <c r="AC292" i="34"/>
  <c r="AC290" i="34"/>
  <c r="AC288" i="34"/>
  <c r="AC287" i="34"/>
  <c r="AC286" i="34"/>
  <c r="AC285" i="34"/>
  <c r="AC284" i="34"/>
  <c r="AC282" i="34"/>
  <c r="AC280" i="34"/>
  <c r="AC279" i="34"/>
  <c r="AC277" i="34"/>
  <c r="AC275" i="34"/>
  <c r="AC273" i="34"/>
  <c r="AC272" i="34"/>
  <c r="AC271" i="34"/>
  <c r="AC270" i="34"/>
  <c r="AC269" i="34"/>
  <c r="AC268" i="34"/>
  <c r="AC266" i="34"/>
  <c r="AC264" i="34"/>
  <c r="AC262" i="34"/>
  <c r="AC261" i="34"/>
  <c r="AC259" i="34"/>
  <c r="AC258" i="34"/>
  <c r="AC256" i="34"/>
  <c r="AC255" i="34"/>
  <c r="AC253" i="34"/>
  <c r="AC252" i="34"/>
  <c r="AC250" i="34"/>
  <c r="AC248" i="34"/>
  <c r="AC247" i="34"/>
  <c r="AC246" i="34"/>
  <c r="AC244" i="34"/>
  <c r="AC242" i="34"/>
  <c r="AC241" i="34"/>
  <c r="AC239" i="34"/>
  <c r="AC237" i="34"/>
  <c r="AC235" i="34"/>
  <c r="AC234" i="34"/>
  <c r="AC233" i="34"/>
  <c r="AC232" i="34"/>
  <c r="AC230" i="34"/>
  <c r="AC228" i="34"/>
  <c r="AC227" i="34"/>
  <c r="AC225" i="34"/>
  <c r="AC224" i="34"/>
  <c r="AC223" i="34"/>
  <c r="AC221" i="34"/>
  <c r="AC220" i="34"/>
  <c r="AC219" i="34"/>
  <c r="AC218" i="34"/>
  <c r="AC217" i="34"/>
  <c r="AC215" i="34"/>
  <c r="AC214" i="34"/>
  <c r="AC212" i="34"/>
  <c r="AC211" i="34"/>
  <c r="AC209" i="34"/>
  <c r="AC208" i="34"/>
  <c r="AC206" i="34"/>
  <c r="AC205" i="34"/>
  <c r="AC204" i="34"/>
  <c r="AC202" i="34"/>
  <c r="AC201" i="34"/>
  <c r="AC199" i="34"/>
  <c r="AC198" i="34"/>
  <c r="AC196" i="34"/>
  <c r="AC195" i="34"/>
  <c r="AC193" i="34"/>
  <c r="AC191" i="34"/>
  <c r="AC189" i="34"/>
  <c r="AC188" i="34"/>
  <c r="AC186" i="34"/>
  <c r="AC184" i="34"/>
  <c r="AC182" i="34"/>
  <c r="AC180" i="34"/>
  <c r="AC178" i="34"/>
  <c r="AC177" i="34"/>
  <c r="AC175" i="34"/>
  <c r="AC174" i="34"/>
  <c r="AC172" i="34"/>
  <c r="AC171" i="34"/>
  <c r="AC170" i="34"/>
  <c r="AC169" i="34"/>
  <c r="AC167" i="34"/>
  <c r="AC165" i="34"/>
  <c r="AC163" i="34"/>
  <c r="AC161" i="34"/>
  <c r="AC159" i="34"/>
  <c r="AC157" i="34"/>
  <c r="AC156" i="34"/>
  <c r="AC155" i="34"/>
  <c r="AC153" i="34"/>
  <c r="AC151" i="34"/>
  <c r="AC149" i="34"/>
  <c r="AC147" i="34"/>
  <c r="AC145" i="34"/>
  <c r="AC143" i="34"/>
  <c r="AC142" i="34"/>
  <c r="AC140" i="34"/>
  <c r="AC139" i="34"/>
  <c r="AC138" i="34"/>
  <c r="AC137" i="34"/>
  <c r="AC135" i="34"/>
  <c r="AC134" i="34"/>
  <c r="AC132" i="34"/>
  <c r="AC130" i="34"/>
  <c r="AC128" i="34"/>
  <c r="AC126" i="34"/>
  <c r="AC125" i="34"/>
  <c r="AC123" i="34"/>
  <c r="AC122" i="34"/>
  <c r="AC120" i="34"/>
  <c r="AC119" i="34"/>
  <c r="AC117" i="34"/>
  <c r="AC116" i="34"/>
  <c r="AC114" i="34"/>
  <c r="AC113" i="34"/>
  <c r="AC111" i="34"/>
  <c r="AC109" i="34"/>
  <c r="AC108" i="34"/>
  <c r="AC107" i="34"/>
  <c r="AC106" i="34"/>
  <c r="AC104" i="34"/>
  <c r="AC102" i="34"/>
  <c r="AC100" i="34"/>
  <c r="AC99" i="34"/>
  <c r="AC97" i="34"/>
  <c r="AC96" i="34"/>
  <c r="AC94" i="34"/>
  <c r="AC93" i="34"/>
  <c r="AC91" i="34"/>
  <c r="AC90" i="34"/>
  <c r="AC89" i="34"/>
  <c r="AC88" i="34"/>
  <c r="AC86" i="34"/>
  <c r="AC85" i="34"/>
  <c r="AC83" i="34"/>
  <c r="AC82" i="34"/>
  <c r="AC81" i="34"/>
  <c r="AC80" i="34"/>
  <c r="AC78" i="34"/>
  <c r="AC76" i="34"/>
  <c r="AC74" i="34"/>
  <c r="AC73" i="34"/>
  <c r="AC71" i="34"/>
  <c r="AC69" i="34"/>
  <c r="AC67" i="34"/>
  <c r="AC66" i="34"/>
  <c r="AC64" i="34"/>
  <c r="AC62" i="34"/>
  <c r="AC60" i="34"/>
  <c r="AC59" i="34"/>
  <c r="AC58" i="34"/>
  <c r="AC56" i="34"/>
  <c r="AC55" i="34"/>
  <c r="AC54" i="34"/>
  <c r="AC53" i="34"/>
  <c r="AC51" i="34"/>
  <c r="AC49" i="34"/>
  <c r="AC48" i="34"/>
  <c r="AC46" i="34"/>
  <c r="AC45" i="34"/>
  <c r="AC43" i="34"/>
  <c r="AC41" i="34"/>
  <c r="AC39" i="34"/>
  <c r="AC38" i="34"/>
  <c r="AC36" i="34"/>
  <c r="AC34" i="34"/>
  <c r="AC32" i="34"/>
  <c r="AC31" i="34"/>
  <c r="AC30" i="34"/>
  <c r="AC29" i="34"/>
  <c r="AC27" i="34"/>
  <c r="AC25" i="34"/>
  <c r="AC24" i="34"/>
  <c r="AC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N13" i="34"/>
  <c r="S13" i="34"/>
  <c r="T13" i="34"/>
  <c r="U13" i="34"/>
  <c r="Y13" i="34"/>
  <c r="Z13" i="34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18" i="34"/>
  <c r="S18" i="34"/>
  <c r="T18" i="34"/>
  <c r="U18" i="34"/>
  <c r="Y18" i="34"/>
  <c r="Z18" i="34"/>
  <c r="N19" i="34"/>
  <c r="S19" i="34"/>
  <c r="T19" i="34"/>
  <c r="U19" i="34"/>
  <c r="Y19" i="34"/>
  <c r="Z19" i="34"/>
  <c r="N20" i="34"/>
  <c r="S20" i="34"/>
  <c r="T20" i="34"/>
  <c r="U20" i="34"/>
  <c r="Y20" i="34"/>
  <c r="Z20" i="34"/>
  <c r="N21" i="34"/>
  <c r="S21" i="34"/>
  <c r="T21" i="34"/>
  <c r="U21" i="34"/>
  <c r="Y21" i="34"/>
  <c r="Z21" i="34"/>
  <c r="N22" i="34"/>
  <c r="S22" i="34"/>
  <c r="T22" i="34"/>
  <c r="U22" i="34"/>
  <c r="Y22" i="34"/>
  <c r="Z22" i="34"/>
  <c r="N23" i="34"/>
  <c r="S23" i="34"/>
  <c r="T23" i="34"/>
  <c r="U23" i="34"/>
  <c r="Y23" i="34"/>
  <c r="Z23" i="34"/>
  <c r="N24" i="34"/>
  <c r="S24" i="34"/>
  <c r="T24" i="34"/>
  <c r="U24" i="34"/>
  <c r="Y24" i="34"/>
  <c r="Z24" i="34"/>
  <c r="N25" i="34"/>
  <c r="S25" i="34"/>
  <c r="T25" i="34"/>
  <c r="U25" i="34"/>
  <c r="Y25" i="34"/>
  <c r="Z25" i="34"/>
  <c r="N26" i="34"/>
  <c r="S26" i="34"/>
  <c r="T26" i="34"/>
  <c r="U26" i="34"/>
  <c r="Y26" i="34"/>
  <c r="Z26" i="34"/>
  <c r="N27" i="34"/>
  <c r="S27" i="34"/>
  <c r="T27" i="34"/>
  <c r="U27" i="34"/>
  <c r="Y27" i="34"/>
  <c r="Z27" i="34"/>
  <c r="N28" i="34"/>
  <c r="S28" i="34"/>
  <c r="T28" i="34"/>
  <c r="U28" i="34"/>
  <c r="Y28" i="34"/>
  <c r="Z28" i="34"/>
  <c r="N29" i="34"/>
  <c r="S29" i="34"/>
  <c r="T29" i="34"/>
  <c r="U29" i="34"/>
  <c r="Y29" i="34"/>
  <c r="Z29" i="34"/>
  <c r="N30" i="34"/>
  <c r="S30" i="34"/>
  <c r="T30" i="34"/>
  <c r="U30" i="34"/>
  <c r="Y30" i="34"/>
  <c r="Z30" i="34"/>
  <c r="N31" i="34"/>
  <c r="S31" i="34"/>
  <c r="T31" i="34"/>
  <c r="U31" i="34"/>
  <c r="Y31" i="34"/>
  <c r="Z31" i="34"/>
  <c r="N32" i="34"/>
  <c r="S32" i="34"/>
  <c r="T32" i="34"/>
  <c r="U32" i="34"/>
  <c r="Y32" i="34"/>
  <c r="Z32" i="34"/>
  <c r="N33" i="34"/>
  <c r="S33" i="34"/>
  <c r="T33" i="34"/>
  <c r="U33" i="34"/>
  <c r="Y33" i="34"/>
  <c r="Z33" i="34"/>
  <c r="N34" i="34"/>
  <c r="S34" i="34"/>
  <c r="T34" i="34"/>
  <c r="U34" i="34"/>
  <c r="Y34" i="34"/>
  <c r="Z34" i="34"/>
  <c r="N35" i="34"/>
  <c r="S35" i="34"/>
  <c r="T35" i="34"/>
  <c r="U35" i="34"/>
  <c r="Y35" i="34"/>
  <c r="Z35" i="34"/>
  <c r="N36" i="34"/>
  <c r="S36" i="34"/>
  <c r="T36" i="34"/>
  <c r="U36" i="34"/>
  <c r="Y36" i="34"/>
  <c r="Z36" i="34"/>
  <c r="N37" i="34"/>
  <c r="S37" i="34"/>
  <c r="T37" i="34"/>
  <c r="U37" i="34"/>
  <c r="Y37" i="34"/>
  <c r="Z37" i="34"/>
  <c r="N38" i="34"/>
  <c r="S38" i="34"/>
  <c r="T38" i="34"/>
  <c r="U38" i="34"/>
  <c r="Y38" i="34"/>
  <c r="Z38" i="34"/>
  <c r="N39" i="34"/>
  <c r="S39" i="34"/>
  <c r="T39" i="34"/>
  <c r="U39" i="34"/>
  <c r="Y39" i="34"/>
  <c r="Z39" i="34"/>
  <c r="N40" i="34"/>
  <c r="S40" i="34"/>
  <c r="T40" i="34"/>
  <c r="U40" i="34"/>
  <c r="Y40" i="34"/>
  <c r="Z40" i="34"/>
  <c r="N41" i="34"/>
  <c r="S41" i="34"/>
  <c r="T41" i="34"/>
  <c r="U41" i="34"/>
  <c r="Y41" i="34"/>
  <c r="Z41" i="34"/>
  <c r="N42" i="34"/>
  <c r="S42" i="34"/>
  <c r="T42" i="34"/>
  <c r="U42" i="34"/>
  <c r="Y42" i="34"/>
  <c r="Z42" i="34"/>
  <c r="N43" i="34"/>
  <c r="S43" i="34"/>
  <c r="T43" i="34"/>
  <c r="U43" i="34"/>
  <c r="Y43" i="34"/>
  <c r="Z43" i="34"/>
  <c r="N44" i="34"/>
  <c r="S44" i="34"/>
  <c r="T44" i="34"/>
  <c r="U44" i="34"/>
  <c r="Y44" i="34"/>
  <c r="Z44" i="34"/>
  <c r="N45" i="34"/>
  <c r="S45" i="34"/>
  <c r="T45" i="34"/>
  <c r="U45" i="34"/>
  <c r="Y45" i="34"/>
  <c r="Z45" i="34"/>
  <c r="N46" i="34"/>
  <c r="S46" i="34"/>
  <c r="T46" i="34"/>
  <c r="U46" i="34"/>
  <c r="Y46" i="34"/>
  <c r="Z46" i="34"/>
  <c r="N47" i="34"/>
  <c r="S47" i="34"/>
  <c r="T47" i="34"/>
  <c r="U47" i="34"/>
  <c r="Y47" i="34"/>
  <c r="Z47" i="34"/>
  <c r="N48" i="34"/>
  <c r="S48" i="34"/>
  <c r="T48" i="34"/>
  <c r="U48" i="34"/>
  <c r="Y48" i="34"/>
  <c r="Z48" i="34"/>
  <c r="N49" i="34"/>
  <c r="S49" i="34"/>
  <c r="T49" i="34"/>
  <c r="U49" i="34"/>
  <c r="Y49" i="34"/>
  <c r="Z49" i="34"/>
  <c r="N50" i="34"/>
  <c r="S50" i="34"/>
  <c r="T50" i="34"/>
  <c r="U50" i="34"/>
  <c r="Y50" i="34"/>
  <c r="Z50" i="34"/>
  <c r="N51" i="34"/>
  <c r="S51" i="34"/>
  <c r="T51" i="34"/>
  <c r="U51" i="34"/>
  <c r="Y51" i="34"/>
  <c r="Z51" i="34"/>
  <c r="N52" i="34"/>
  <c r="S52" i="34"/>
  <c r="T52" i="34"/>
  <c r="U52" i="34"/>
  <c r="Y52" i="34"/>
  <c r="Z52" i="34"/>
  <c r="N53" i="34"/>
  <c r="S53" i="34"/>
  <c r="T53" i="34"/>
  <c r="U53" i="34"/>
  <c r="Y53" i="34"/>
  <c r="Z53" i="34"/>
  <c r="N54" i="34"/>
  <c r="S54" i="34"/>
  <c r="T54" i="34"/>
  <c r="U54" i="34"/>
  <c r="Y54" i="34"/>
  <c r="Z54" i="34"/>
  <c r="N55" i="34"/>
  <c r="S55" i="34"/>
  <c r="T55" i="34"/>
  <c r="U55" i="34"/>
  <c r="Y55" i="34"/>
  <c r="Z55" i="34"/>
  <c r="N56" i="34"/>
  <c r="S56" i="34"/>
  <c r="T56" i="34"/>
  <c r="U56" i="34"/>
  <c r="Y56" i="34"/>
  <c r="Z56" i="34"/>
  <c r="N57" i="34"/>
  <c r="S57" i="34"/>
  <c r="T57" i="34"/>
  <c r="U57" i="34"/>
  <c r="Y57" i="34"/>
  <c r="Z57" i="34"/>
  <c r="N58" i="34"/>
  <c r="S58" i="34"/>
  <c r="T58" i="34"/>
  <c r="U58" i="34"/>
  <c r="Y58" i="34"/>
  <c r="Z58" i="34"/>
  <c r="N59" i="34"/>
  <c r="S59" i="34"/>
  <c r="T59" i="34"/>
  <c r="U59" i="34"/>
  <c r="Y59" i="34"/>
  <c r="Z59" i="34"/>
  <c r="N60" i="34"/>
  <c r="S60" i="34"/>
  <c r="T60" i="34"/>
  <c r="U60" i="34"/>
  <c r="Y60" i="34"/>
  <c r="Z60" i="34"/>
  <c r="N61" i="34"/>
  <c r="S61" i="34"/>
  <c r="T61" i="34"/>
  <c r="U61" i="34"/>
  <c r="Y61" i="34"/>
  <c r="Z61" i="34"/>
  <c r="N62" i="34"/>
  <c r="S62" i="34"/>
  <c r="T62" i="34"/>
  <c r="U62" i="34"/>
  <c r="Y62" i="34"/>
  <c r="Z62" i="34"/>
  <c r="N63" i="34"/>
  <c r="S63" i="34"/>
  <c r="T63" i="34"/>
  <c r="U63" i="34"/>
  <c r="Y63" i="34"/>
  <c r="Z63" i="34"/>
  <c r="N64" i="34"/>
  <c r="S64" i="34"/>
  <c r="T64" i="34"/>
  <c r="U64" i="34"/>
  <c r="Y64" i="34"/>
  <c r="Z64" i="34"/>
  <c r="N65" i="34"/>
  <c r="S65" i="34"/>
  <c r="T65" i="34"/>
  <c r="U65" i="34"/>
  <c r="Y65" i="34"/>
  <c r="Z65" i="34"/>
  <c r="N66" i="34"/>
  <c r="S66" i="34"/>
  <c r="T66" i="34"/>
  <c r="U66" i="34"/>
  <c r="Y66" i="34"/>
  <c r="Z66" i="34"/>
  <c r="N67" i="34"/>
  <c r="S67" i="34"/>
  <c r="T67" i="34"/>
  <c r="U67" i="34"/>
  <c r="Y67" i="34"/>
  <c r="Z67" i="34"/>
  <c r="N68" i="34"/>
  <c r="S68" i="34"/>
  <c r="T68" i="34"/>
  <c r="U68" i="34"/>
  <c r="Y68" i="34"/>
  <c r="Z68" i="34"/>
  <c r="N69" i="34"/>
  <c r="S69" i="34"/>
  <c r="T69" i="34"/>
  <c r="U69" i="34"/>
  <c r="Y69" i="34"/>
  <c r="Z69" i="34"/>
  <c r="N70" i="34"/>
  <c r="S70" i="34"/>
  <c r="T70" i="34"/>
  <c r="U70" i="34"/>
  <c r="Y70" i="34"/>
  <c r="Z70" i="34"/>
  <c r="N71" i="34"/>
  <c r="S71" i="34"/>
  <c r="T71" i="34"/>
  <c r="U71" i="34"/>
  <c r="Y71" i="34"/>
  <c r="Z71" i="34"/>
  <c r="N72" i="34"/>
  <c r="S72" i="34"/>
  <c r="T72" i="34"/>
  <c r="U72" i="34"/>
  <c r="Y72" i="34"/>
  <c r="Z72" i="34"/>
  <c r="N73" i="34"/>
  <c r="S73" i="34"/>
  <c r="T73" i="34"/>
  <c r="U73" i="34"/>
  <c r="Y73" i="34"/>
  <c r="Z73" i="34"/>
  <c r="N74" i="34"/>
  <c r="S74" i="34"/>
  <c r="T74" i="34"/>
  <c r="U74" i="34"/>
  <c r="Y74" i="34"/>
  <c r="Z74" i="34"/>
  <c r="N75" i="34"/>
  <c r="S75" i="34"/>
  <c r="T75" i="34"/>
  <c r="U75" i="34"/>
  <c r="Y75" i="34"/>
  <c r="Z75" i="34"/>
  <c r="N76" i="34"/>
  <c r="S76" i="34"/>
  <c r="T76" i="34"/>
  <c r="U76" i="34"/>
  <c r="Y76" i="34"/>
  <c r="Z76" i="34"/>
  <c r="N77" i="34"/>
  <c r="S77" i="34"/>
  <c r="T77" i="34"/>
  <c r="U77" i="34"/>
  <c r="Y77" i="34"/>
  <c r="Z77" i="34"/>
  <c r="N78" i="34"/>
  <c r="S78" i="34"/>
  <c r="T78" i="34"/>
  <c r="U78" i="34"/>
  <c r="Y78" i="34"/>
  <c r="Z78" i="34"/>
  <c r="N79" i="34"/>
  <c r="S79" i="34"/>
  <c r="T79" i="34"/>
  <c r="U79" i="34"/>
  <c r="Y79" i="34"/>
  <c r="Z79" i="34"/>
  <c r="N80" i="34"/>
  <c r="S80" i="34"/>
  <c r="T80" i="34"/>
  <c r="U80" i="34"/>
  <c r="Y80" i="34"/>
  <c r="Z80" i="34"/>
  <c r="N81" i="34"/>
  <c r="S81" i="34"/>
  <c r="T81" i="34"/>
  <c r="U81" i="34"/>
  <c r="Y81" i="34"/>
  <c r="Z81" i="34"/>
  <c r="N82" i="34"/>
  <c r="S82" i="34"/>
  <c r="T82" i="34"/>
  <c r="U82" i="34"/>
  <c r="Y82" i="34"/>
  <c r="Z82" i="34"/>
  <c r="N83" i="34"/>
  <c r="S83" i="34"/>
  <c r="T83" i="34"/>
  <c r="U83" i="34"/>
  <c r="Y83" i="34"/>
  <c r="Z83" i="34"/>
  <c r="N84" i="34"/>
  <c r="S84" i="34"/>
  <c r="T84" i="34"/>
  <c r="U84" i="34"/>
  <c r="Y84" i="34"/>
  <c r="Z84" i="34"/>
  <c r="N85" i="34"/>
  <c r="S85" i="34"/>
  <c r="T85" i="34"/>
  <c r="U85" i="34"/>
  <c r="Y85" i="34"/>
  <c r="Z85" i="34"/>
  <c r="N86" i="34"/>
  <c r="S86" i="34"/>
  <c r="T86" i="34"/>
  <c r="U86" i="34"/>
  <c r="Y86" i="34"/>
  <c r="Z86" i="34"/>
  <c r="N87" i="34"/>
  <c r="S87" i="34"/>
  <c r="T87" i="34"/>
  <c r="U87" i="34"/>
  <c r="Y87" i="34"/>
  <c r="Z87" i="34"/>
  <c r="N88" i="34"/>
  <c r="S88" i="34"/>
  <c r="T88" i="34"/>
  <c r="U88" i="34"/>
  <c r="Y88" i="34"/>
  <c r="Z88" i="34"/>
  <c r="N89" i="34"/>
  <c r="S89" i="34"/>
  <c r="T89" i="34"/>
  <c r="U89" i="34"/>
  <c r="Y89" i="34"/>
  <c r="Z89" i="34"/>
  <c r="N90" i="34"/>
  <c r="S90" i="34"/>
  <c r="T90" i="34"/>
  <c r="U90" i="34"/>
  <c r="Y90" i="34"/>
  <c r="Z90" i="34"/>
  <c r="N91" i="34"/>
  <c r="S91" i="34"/>
  <c r="T91" i="34"/>
  <c r="U91" i="34"/>
  <c r="Y91" i="34"/>
  <c r="Z91" i="34"/>
  <c r="N92" i="34"/>
  <c r="S92" i="34"/>
  <c r="T92" i="34"/>
  <c r="U92" i="34"/>
  <c r="Y92" i="34"/>
  <c r="Z92" i="34"/>
  <c r="N93" i="34"/>
  <c r="S93" i="34"/>
  <c r="T93" i="34"/>
  <c r="U93" i="34"/>
  <c r="Y93" i="34"/>
  <c r="Z93" i="34"/>
  <c r="N94" i="34"/>
  <c r="S94" i="34"/>
  <c r="T94" i="34"/>
  <c r="U94" i="34"/>
  <c r="Y94" i="34"/>
  <c r="Z94" i="34"/>
  <c r="N95" i="34"/>
  <c r="S95" i="34"/>
  <c r="T95" i="34"/>
  <c r="U95" i="34"/>
  <c r="Y95" i="34"/>
  <c r="Z95" i="34"/>
  <c r="N96" i="34"/>
  <c r="S96" i="34"/>
  <c r="T96" i="34"/>
  <c r="U96" i="34"/>
  <c r="Y96" i="34"/>
  <c r="Z96" i="34"/>
  <c r="N97" i="34"/>
  <c r="S97" i="34"/>
  <c r="T97" i="34"/>
  <c r="U97" i="34"/>
  <c r="Y97" i="34"/>
  <c r="Z97" i="34"/>
  <c r="N98" i="34"/>
  <c r="S98" i="34"/>
  <c r="T98" i="34"/>
  <c r="U98" i="34"/>
  <c r="Y98" i="34"/>
  <c r="Z98" i="34"/>
  <c r="N99" i="34"/>
  <c r="S99" i="34"/>
  <c r="T99" i="34"/>
  <c r="U99" i="34"/>
  <c r="Y99" i="34"/>
  <c r="Z99" i="34"/>
  <c r="N100" i="34"/>
  <c r="S100" i="34"/>
  <c r="T100" i="34"/>
  <c r="U100" i="34"/>
  <c r="Y100" i="34"/>
  <c r="Z100" i="34"/>
  <c r="N101" i="34"/>
  <c r="S101" i="34"/>
  <c r="T101" i="34"/>
  <c r="U101" i="34"/>
  <c r="Y101" i="34"/>
  <c r="Z101" i="34"/>
  <c r="N102" i="34"/>
  <c r="S102" i="34"/>
  <c r="T102" i="34"/>
  <c r="U102" i="34"/>
  <c r="Y102" i="34"/>
  <c r="Z102" i="34"/>
  <c r="N103" i="34"/>
  <c r="S103" i="34"/>
  <c r="T103" i="34"/>
  <c r="U103" i="34"/>
  <c r="Y103" i="34"/>
  <c r="Z103" i="34"/>
  <c r="N104" i="34"/>
  <c r="S104" i="34"/>
  <c r="T104" i="34"/>
  <c r="U104" i="34"/>
  <c r="Y104" i="34"/>
  <c r="Z104" i="34"/>
  <c r="N105" i="34"/>
  <c r="S105" i="34"/>
  <c r="T105" i="34"/>
  <c r="U105" i="34"/>
  <c r="Y105" i="34"/>
  <c r="Z105" i="34"/>
  <c r="N106" i="34"/>
  <c r="S106" i="34"/>
  <c r="T106" i="34"/>
  <c r="U106" i="34"/>
  <c r="Y106" i="34"/>
  <c r="Z106" i="34"/>
  <c r="N107" i="34"/>
  <c r="S107" i="34"/>
  <c r="T107" i="34"/>
  <c r="U107" i="34"/>
  <c r="Y107" i="34"/>
  <c r="Z107" i="34"/>
  <c r="N108" i="34"/>
  <c r="S108" i="34"/>
  <c r="T108" i="34"/>
  <c r="U108" i="34"/>
  <c r="Y108" i="34"/>
  <c r="Z108" i="34"/>
  <c r="N109" i="34"/>
  <c r="S109" i="34"/>
  <c r="T109" i="34"/>
  <c r="U109" i="34"/>
  <c r="Y109" i="34"/>
  <c r="Z109" i="34"/>
  <c r="N110" i="34"/>
  <c r="S110" i="34"/>
  <c r="T110" i="34"/>
  <c r="U110" i="34"/>
  <c r="Y110" i="34"/>
  <c r="Z110" i="34"/>
  <c r="N111" i="34"/>
  <c r="S111" i="34"/>
  <c r="T111" i="34"/>
  <c r="U111" i="34"/>
  <c r="Y111" i="34"/>
  <c r="Z111" i="34"/>
  <c r="N112" i="34"/>
  <c r="S112" i="34"/>
  <c r="T112" i="34"/>
  <c r="U112" i="34"/>
  <c r="Y112" i="34"/>
  <c r="Z112" i="34"/>
  <c r="N113" i="34"/>
  <c r="S113" i="34"/>
  <c r="T113" i="34"/>
  <c r="U113" i="34"/>
  <c r="Y113" i="34"/>
  <c r="Z113" i="34"/>
  <c r="N114" i="34"/>
  <c r="S114" i="34"/>
  <c r="T114" i="34"/>
  <c r="U114" i="34"/>
  <c r="Y114" i="34"/>
  <c r="Z114" i="34"/>
  <c r="N115" i="34"/>
  <c r="S115" i="34"/>
  <c r="T115" i="34"/>
  <c r="U115" i="34"/>
  <c r="Y115" i="34"/>
  <c r="Z115" i="34"/>
  <c r="N116" i="34"/>
  <c r="S116" i="34"/>
  <c r="T116" i="34"/>
  <c r="U116" i="34"/>
  <c r="Y116" i="34"/>
  <c r="Z116" i="34"/>
  <c r="N117" i="34"/>
  <c r="S117" i="34"/>
  <c r="T117" i="34"/>
  <c r="U117" i="34"/>
  <c r="Y117" i="34"/>
  <c r="Z117" i="34"/>
  <c r="N118" i="34"/>
  <c r="S118" i="34"/>
  <c r="T118" i="34"/>
  <c r="U118" i="34"/>
  <c r="Y118" i="34"/>
  <c r="Z118" i="34"/>
  <c r="N119" i="34"/>
  <c r="S119" i="34"/>
  <c r="T119" i="34"/>
  <c r="U119" i="34"/>
  <c r="Y119" i="34"/>
  <c r="Z119" i="34"/>
  <c r="N120" i="34"/>
  <c r="S120" i="34"/>
  <c r="T120" i="34"/>
  <c r="U120" i="34"/>
  <c r="Y120" i="34"/>
  <c r="Z120" i="34"/>
  <c r="N121" i="34"/>
  <c r="S121" i="34"/>
  <c r="T121" i="34"/>
  <c r="U121" i="34"/>
  <c r="Y121" i="34"/>
  <c r="Z121" i="34"/>
  <c r="N122" i="34"/>
  <c r="S122" i="34"/>
  <c r="T122" i="34"/>
  <c r="U122" i="34"/>
  <c r="Y122" i="34"/>
  <c r="Z122" i="34"/>
  <c r="N123" i="34"/>
  <c r="S123" i="34"/>
  <c r="T123" i="34"/>
  <c r="U123" i="34"/>
  <c r="Y123" i="34"/>
  <c r="Z123" i="34"/>
  <c r="N124" i="34"/>
  <c r="S124" i="34"/>
  <c r="T124" i="34"/>
  <c r="U124" i="34"/>
  <c r="Y124" i="34"/>
  <c r="Z124" i="34"/>
  <c r="N125" i="34"/>
  <c r="S125" i="34"/>
  <c r="T125" i="34"/>
  <c r="U125" i="34"/>
  <c r="Y125" i="34"/>
  <c r="Z125" i="34"/>
  <c r="N126" i="34"/>
  <c r="S126" i="34"/>
  <c r="T126" i="34"/>
  <c r="U126" i="34"/>
  <c r="Y126" i="34"/>
  <c r="Z126" i="34"/>
  <c r="N127" i="34"/>
  <c r="S127" i="34"/>
  <c r="T127" i="34"/>
  <c r="U127" i="34"/>
  <c r="Y127" i="34"/>
  <c r="Z127" i="34"/>
  <c r="N128" i="34"/>
  <c r="S128" i="34"/>
  <c r="T128" i="34"/>
  <c r="U128" i="34"/>
  <c r="Y128" i="34"/>
  <c r="Z128" i="34"/>
  <c r="N129" i="34"/>
  <c r="S129" i="34"/>
  <c r="T129" i="34"/>
  <c r="U129" i="34"/>
  <c r="Y129" i="34"/>
  <c r="Z129" i="34"/>
  <c r="N130" i="34"/>
  <c r="S130" i="34"/>
  <c r="T130" i="34"/>
  <c r="U130" i="34"/>
  <c r="Y130" i="34"/>
  <c r="Z130" i="34"/>
  <c r="N131" i="34"/>
  <c r="S131" i="34"/>
  <c r="T131" i="34"/>
  <c r="U131" i="34"/>
  <c r="Y131" i="34"/>
  <c r="Z131" i="34"/>
  <c r="N132" i="34"/>
  <c r="S132" i="34"/>
  <c r="T132" i="34"/>
  <c r="U132" i="34"/>
  <c r="Y132" i="34"/>
  <c r="Z132" i="34"/>
  <c r="N133" i="34"/>
  <c r="S133" i="34"/>
  <c r="T133" i="34"/>
  <c r="U133" i="34"/>
  <c r="Y133" i="34"/>
  <c r="Z133" i="34"/>
  <c r="N134" i="34"/>
  <c r="S134" i="34"/>
  <c r="T134" i="34"/>
  <c r="U134" i="34"/>
  <c r="Y134" i="34"/>
  <c r="Z134" i="34"/>
  <c r="N135" i="34"/>
  <c r="S135" i="34"/>
  <c r="T135" i="34"/>
  <c r="U135" i="34"/>
  <c r="Y135" i="34"/>
  <c r="Z135" i="34"/>
  <c r="N136" i="34"/>
  <c r="S136" i="34"/>
  <c r="T136" i="34"/>
  <c r="U136" i="34"/>
  <c r="Y136" i="34"/>
  <c r="Z136" i="34"/>
  <c r="N137" i="34"/>
  <c r="S137" i="34"/>
  <c r="T137" i="34"/>
  <c r="U137" i="34"/>
  <c r="Y137" i="34"/>
  <c r="Z137" i="34"/>
  <c r="N138" i="34"/>
  <c r="S138" i="34"/>
  <c r="T138" i="34"/>
  <c r="U138" i="34"/>
  <c r="Y138" i="34"/>
  <c r="Z138" i="34"/>
  <c r="N139" i="34"/>
  <c r="S139" i="34"/>
  <c r="T139" i="34"/>
  <c r="U139" i="34"/>
  <c r="Y139" i="34"/>
  <c r="Z139" i="34"/>
  <c r="N140" i="34"/>
  <c r="S140" i="34"/>
  <c r="T140" i="34"/>
  <c r="U140" i="34"/>
  <c r="Y140" i="34"/>
  <c r="Z140" i="34"/>
  <c r="N141" i="34"/>
  <c r="S141" i="34"/>
  <c r="T141" i="34"/>
  <c r="U141" i="34"/>
  <c r="Y141" i="34"/>
  <c r="Z141" i="34"/>
  <c r="N142" i="34"/>
  <c r="S142" i="34"/>
  <c r="T142" i="34"/>
  <c r="U142" i="34"/>
  <c r="Y142" i="34"/>
  <c r="Z142" i="34"/>
  <c r="N143" i="34"/>
  <c r="S143" i="34"/>
  <c r="T143" i="34"/>
  <c r="U143" i="34"/>
  <c r="Y143" i="34"/>
  <c r="Z143" i="34"/>
  <c r="N144" i="34"/>
  <c r="S144" i="34"/>
  <c r="T144" i="34"/>
  <c r="U144" i="34"/>
  <c r="Y144" i="34"/>
  <c r="Z144" i="34"/>
  <c r="N145" i="34"/>
  <c r="S145" i="34"/>
  <c r="T145" i="34"/>
  <c r="U145" i="34"/>
  <c r="Y145" i="34"/>
  <c r="Z145" i="34"/>
  <c r="N146" i="34"/>
  <c r="S146" i="34"/>
  <c r="T146" i="34"/>
  <c r="U146" i="34"/>
  <c r="Y146" i="34"/>
  <c r="Z146" i="34"/>
  <c r="N147" i="34"/>
  <c r="S147" i="34"/>
  <c r="T147" i="34"/>
  <c r="U147" i="34"/>
  <c r="Y147" i="34"/>
  <c r="Z147" i="34"/>
  <c r="N148" i="34"/>
  <c r="S148" i="34"/>
  <c r="T148" i="34"/>
  <c r="U148" i="34"/>
  <c r="Y148" i="34"/>
  <c r="Z148" i="34"/>
  <c r="N149" i="34"/>
  <c r="S149" i="34"/>
  <c r="T149" i="34"/>
  <c r="U149" i="34"/>
  <c r="Y149" i="34"/>
  <c r="Z149" i="34"/>
  <c r="N150" i="34"/>
  <c r="S150" i="34"/>
  <c r="T150" i="34"/>
  <c r="U150" i="34"/>
  <c r="Y150" i="34"/>
  <c r="Z150" i="34"/>
  <c r="N151" i="34"/>
  <c r="S151" i="34"/>
  <c r="T151" i="34"/>
  <c r="U151" i="34"/>
  <c r="Y151" i="34"/>
  <c r="Z151" i="34"/>
  <c r="N152" i="34"/>
  <c r="S152" i="34"/>
  <c r="T152" i="34"/>
  <c r="U152" i="34"/>
  <c r="Y152" i="34"/>
  <c r="Z152" i="34"/>
  <c r="N153" i="34"/>
  <c r="S153" i="34"/>
  <c r="T153" i="34"/>
  <c r="U153" i="34"/>
  <c r="Y153" i="34"/>
  <c r="Z153" i="34"/>
  <c r="N154" i="34"/>
  <c r="S154" i="34"/>
  <c r="T154" i="34"/>
  <c r="U154" i="34"/>
  <c r="Y154" i="34"/>
  <c r="Z154" i="34"/>
  <c r="N155" i="34"/>
  <c r="S155" i="34"/>
  <c r="T155" i="34"/>
  <c r="U155" i="34"/>
  <c r="Y155" i="34"/>
  <c r="Z155" i="34"/>
  <c r="N156" i="34"/>
  <c r="S156" i="34"/>
  <c r="T156" i="34"/>
  <c r="U156" i="34"/>
  <c r="Y156" i="34"/>
  <c r="Z156" i="34"/>
  <c r="N157" i="34"/>
  <c r="S157" i="34"/>
  <c r="T157" i="34"/>
  <c r="U157" i="34"/>
  <c r="Y157" i="34"/>
  <c r="Z157" i="34"/>
  <c r="N158" i="34"/>
  <c r="S158" i="34"/>
  <c r="T158" i="34"/>
  <c r="U158" i="34"/>
  <c r="Y158" i="34"/>
  <c r="Z158" i="34"/>
  <c r="N159" i="34"/>
  <c r="S159" i="34"/>
  <c r="T159" i="34"/>
  <c r="U159" i="34"/>
  <c r="Y159" i="34"/>
  <c r="Z159" i="34"/>
  <c r="N160" i="34"/>
  <c r="S160" i="34"/>
  <c r="T160" i="34"/>
  <c r="U160" i="34"/>
  <c r="Y160" i="34"/>
  <c r="Z160" i="34"/>
  <c r="N161" i="34"/>
  <c r="S161" i="34"/>
  <c r="T161" i="34"/>
  <c r="U161" i="34"/>
  <c r="Y161" i="34"/>
  <c r="Z161" i="34"/>
  <c r="N162" i="34"/>
  <c r="S162" i="34"/>
  <c r="T162" i="34"/>
  <c r="U162" i="34"/>
  <c r="Y162" i="34"/>
  <c r="Z162" i="34"/>
  <c r="N163" i="34"/>
  <c r="S163" i="34"/>
  <c r="T163" i="34"/>
  <c r="U163" i="34"/>
  <c r="Y163" i="34"/>
  <c r="Z163" i="34"/>
  <c r="N164" i="34"/>
  <c r="S164" i="34"/>
  <c r="T164" i="34"/>
  <c r="U164" i="34"/>
  <c r="Y164" i="34"/>
  <c r="Z164" i="34"/>
  <c r="N165" i="34"/>
  <c r="S165" i="34"/>
  <c r="T165" i="34"/>
  <c r="U165" i="34"/>
  <c r="Y165" i="34"/>
  <c r="Z165" i="34"/>
  <c r="N166" i="34"/>
  <c r="S166" i="34"/>
  <c r="T166" i="34"/>
  <c r="U166" i="34"/>
  <c r="Y166" i="34"/>
  <c r="Z166" i="34"/>
  <c r="N167" i="34"/>
  <c r="S167" i="34"/>
  <c r="T167" i="34"/>
  <c r="U167" i="34"/>
  <c r="Y167" i="34"/>
  <c r="Z167" i="34"/>
  <c r="N168" i="34"/>
  <c r="S168" i="34"/>
  <c r="T168" i="34"/>
  <c r="U168" i="34"/>
  <c r="Y168" i="34"/>
  <c r="Z168" i="34"/>
  <c r="N169" i="34"/>
  <c r="S169" i="34"/>
  <c r="T169" i="34"/>
  <c r="U169" i="34"/>
  <c r="Y169" i="34"/>
  <c r="Z169" i="34"/>
  <c r="N170" i="34"/>
  <c r="S170" i="34"/>
  <c r="T170" i="34"/>
  <c r="U170" i="34"/>
  <c r="Y170" i="34"/>
  <c r="Z170" i="34"/>
  <c r="N171" i="34"/>
  <c r="S171" i="34"/>
  <c r="T171" i="34"/>
  <c r="U171" i="34"/>
  <c r="Y171" i="34"/>
  <c r="Z171" i="34"/>
  <c r="N172" i="34"/>
  <c r="S172" i="34"/>
  <c r="T172" i="34"/>
  <c r="U172" i="34"/>
  <c r="Y172" i="34"/>
  <c r="Z172" i="34"/>
  <c r="N173" i="34"/>
  <c r="S173" i="34"/>
  <c r="T173" i="34"/>
  <c r="U173" i="34"/>
  <c r="Y173" i="34"/>
  <c r="Z173" i="34"/>
  <c r="N174" i="34"/>
  <c r="S174" i="34"/>
  <c r="T174" i="34"/>
  <c r="U174" i="34"/>
  <c r="Y174" i="34"/>
  <c r="Z174" i="34"/>
  <c r="N175" i="34"/>
  <c r="S175" i="34"/>
  <c r="T175" i="34"/>
  <c r="U175" i="34"/>
  <c r="Y175" i="34"/>
  <c r="Z175" i="34"/>
  <c r="N176" i="34"/>
  <c r="S176" i="34"/>
  <c r="T176" i="34"/>
  <c r="U176" i="34"/>
  <c r="Y176" i="34"/>
  <c r="Z176" i="34"/>
  <c r="N177" i="34"/>
  <c r="S177" i="34"/>
  <c r="T177" i="34"/>
  <c r="U177" i="34"/>
  <c r="Y177" i="34"/>
  <c r="Z177" i="34"/>
  <c r="N178" i="34"/>
  <c r="S178" i="34"/>
  <c r="T178" i="34"/>
  <c r="U178" i="34"/>
  <c r="Y178" i="34"/>
  <c r="Z178" i="34"/>
  <c r="N179" i="34"/>
  <c r="S179" i="34"/>
  <c r="T179" i="34"/>
  <c r="U179" i="34"/>
  <c r="Y179" i="34"/>
  <c r="Z179" i="34"/>
  <c r="N180" i="34"/>
  <c r="S180" i="34"/>
  <c r="T180" i="34"/>
  <c r="U180" i="34"/>
  <c r="Y180" i="34"/>
  <c r="Z180" i="34"/>
  <c r="N181" i="34"/>
  <c r="S181" i="34"/>
  <c r="T181" i="34"/>
  <c r="U181" i="34"/>
  <c r="Y181" i="34"/>
  <c r="Z181" i="34"/>
  <c r="N182" i="34"/>
  <c r="S182" i="34"/>
  <c r="T182" i="34"/>
  <c r="U182" i="34"/>
  <c r="Y182" i="34"/>
  <c r="Z182" i="34"/>
  <c r="N183" i="34"/>
  <c r="S183" i="34"/>
  <c r="T183" i="34"/>
  <c r="U183" i="34"/>
  <c r="Y183" i="34"/>
  <c r="Z183" i="34"/>
  <c r="N184" i="34"/>
  <c r="S184" i="34"/>
  <c r="T184" i="34"/>
  <c r="U184" i="34"/>
  <c r="Y184" i="34"/>
  <c r="Z184" i="34"/>
  <c r="N185" i="34"/>
  <c r="S185" i="34"/>
  <c r="T185" i="34"/>
  <c r="U185" i="34"/>
  <c r="Y185" i="34"/>
  <c r="Z185" i="34"/>
  <c r="N186" i="34"/>
  <c r="S186" i="34"/>
  <c r="T186" i="34"/>
  <c r="U186" i="34"/>
  <c r="Y186" i="34"/>
  <c r="Z186" i="34"/>
  <c r="N187" i="34"/>
  <c r="S187" i="34"/>
  <c r="T187" i="34"/>
  <c r="U187" i="34"/>
  <c r="Y187" i="34"/>
  <c r="Z187" i="34"/>
  <c r="N188" i="34"/>
  <c r="S188" i="34"/>
  <c r="T188" i="34"/>
  <c r="U188" i="34"/>
  <c r="Y188" i="34"/>
  <c r="Z188" i="34"/>
  <c r="N189" i="34"/>
  <c r="S189" i="34"/>
  <c r="T189" i="34"/>
  <c r="U189" i="34"/>
  <c r="Y189" i="34"/>
  <c r="Z189" i="34"/>
  <c r="N190" i="34"/>
  <c r="S190" i="34"/>
  <c r="T190" i="34"/>
  <c r="U190" i="34"/>
  <c r="Y190" i="34"/>
  <c r="Z190" i="34"/>
  <c r="N191" i="34"/>
  <c r="S191" i="34"/>
  <c r="T191" i="34"/>
  <c r="U191" i="34"/>
  <c r="Y191" i="34"/>
  <c r="Z191" i="34"/>
  <c r="N192" i="34"/>
  <c r="S192" i="34"/>
  <c r="T192" i="34"/>
  <c r="U192" i="34"/>
  <c r="Y192" i="34"/>
  <c r="Z192" i="34"/>
  <c r="N193" i="34"/>
  <c r="S193" i="34"/>
  <c r="T193" i="34"/>
  <c r="U193" i="34"/>
  <c r="Y193" i="34"/>
  <c r="Z193" i="34"/>
  <c r="N194" i="34"/>
  <c r="S194" i="34"/>
  <c r="T194" i="34"/>
  <c r="U194" i="34"/>
  <c r="Y194" i="34"/>
  <c r="Z194" i="34"/>
  <c r="N195" i="34"/>
  <c r="S195" i="34"/>
  <c r="T195" i="34"/>
  <c r="U195" i="34"/>
  <c r="Y195" i="34"/>
  <c r="Z195" i="34"/>
  <c r="N196" i="34"/>
  <c r="S196" i="34"/>
  <c r="T196" i="34"/>
  <c r="U196" i="34"/>
  <c r="Y196" i="34"/>
  <c r="Z196" i="34"/>
  <c r="N197" i="34"/>
  <c r="S197" i="34"/>
  <c r="T197" i="34"/>
  <c r="U197" i="34"/>
  <c r="Y197" i="34"/>
  <c r="Z197" i="34"/>
  <c r="N198" i="34"/>
  <c r="S198" i="34"/>
  <c r="T198" i="34"/>
  <c r="U198" i="34"/>
  <c r="Y198" i="34"/>
  <c r="Z198" i="34"/>
  <c r="N199" i="34"/>
  <c r="S199" i="34"/>
  <c r="T199" i="34"/>
  <c r="U199" i="34"/>
  <c r="Y199" i="34"/>
  <c r="Z199" i="34"/>
  <c r="N200" i="34"/>
  <c r="S200" i="34"/>
  <c r="T200" i="34"/>
  <c r="U200" i="34"/>
  <c r="Y200" i="34"/>
  <c r="Z200" i="34"/>
  <c r="N201" i="34"/>
  <c r="S201" i="34"/>
  <c r="T201" i="34"/>
  <c r="U201" i="34"/>
  <c r="Y201" i="34"/>
  <c r="Z201" i="34"/>
  <c r="N202" i="34"/>
  <c r="S202" i="34"/>
  <c r="T202" i="34"/>
  <c r="U202" i="34"/>
  <c r="Y202" i="34"/>
  <c r="Z202" i="34"/>
  <c r="N203" i="34"/>
  <c r="S203" i="34"/>
  <c r="T203" i="34"/>
  <c r="U203" i="34"/>
  <c r="Y203" i="34"/>
  <c r="Z203" i="34"/>
  <c r="N204" i="34"/>
  <c r="S204" i="34"/>
  <c r="T204" i="34"/>
  <c r="U204" i="34"/>
  <c r="Y204" i="34"/>
  <c r="Z204" i="34"/>
  <c r="N205" i="34"/>
  <c r="S205" i="34"/>
  <c r="T205" i="34"/>
  <c r="U205" i="34"/>
  <c r="Y205" i="34"/>
  <c r="Z205" i="34"/>
  <c r="N206" i="34"/>
  <c r="S206" i="34"/>
  <c r="T206" i="34"/>
  <c r="U206" i="34"/>
  <c r="Y206" i="34"/>
  <c r="Z206" i="34"/>
  <c r="N207" i="34"/>
  <c r="S207" i="34"/>
  <c r="T207" i="34"/>
  <c r="U207" i="34"/>
  <c r="Y207" i="34"/>
  <c r="Z207" i="34"/>
  <c r="N208" i="34"/>
  <c r="S208" i="34"/>
  <c r="T208" i="34"/>
  <c r="U208" i="34"/>
  <c r="Y208" i="34"/>
  <c r="Z208" i="34"/>
  <c r="N209" i="34"/>
  <c r="S209" i="34"/>
  <c r="T209" i="34"/>
  <c r="U209" i="34"/>
  <c r="Y209" i="34"/>
  <c r="Z209" i="34"/>
  <c r="N210" i="34"/>
  <c r="S210" i="34"/>
  <c r="T210" i="34"/>
  <c r="U210" i="34"/>
  <c r="Y210" i="34"/>
  <c r="Z210" i="34"/>
  <c r="N211" i="34"/>
  <c r="S211" i="34"/>
  <c r="T211" i="34"/>
  <c r="U211" i="34"/>
  <c r="Y211" i="34"/>
  <c r="Z211" i="34"/>
  <c r="N212" i="34"/>
  <c r="S212" i="34"/>
  <c r="T212" i="34"/>
  <c r="U212" i="34"/>
  <c r="Y212" i="34"/>
  <c r="Z212" i="34"/>
  <c r="N213" i="34"/>
  <c r="S213" i="34"/>
  <c r="T213" i="34"/>
  <c r="U213" i="34"/>
  <c r="Y213" i="34"/>
  <c r="Z213" i="34"/>
  <c r="N214" i="34"/>
  <c r="S214" i="34"/>
  <c r="T214" i="34"/>
  <c r="U214" i="34"/>
  <c r="Y214" i="34"/>
  <c r="Z214" i="34"/>
  <c r="N215" i="34"/>
  <c r="S215" i="34"/>
  <c r="T215" i="34"/>
  <c r="U215" i="34"/>
  <c r="Y215" i="34"/>
  <c r="Z215" i="34"/>
  <c r="N216" i="34"/>
  <c r="S216" i="34"/>
  <c r="T216" i="34"/>
  <c r="U216" i="34"/>
  <c r="Y216" i="34"/>
  <c r="Z216" i="34"/>
  <c r="N217" i="34"/>
  <c r="S217" i="34"/>
  <c r="T217" i="34"/>
  <c r="U217" i="34"/>
  <c r="Y217" i="34"/>
  <c r="Z217" i="34"/>
  <c r="N218" i="34"/>
  <c r="S218" i="34"/>
  <c r="T218" i="34"/>
  <c r="U218" i="34"/>
  <c r="Y218" i="34"/>
  <c r="Z218" i="34"/>
  <c r="N219" i="34"/>
  <c r="S219" i="34"/>
  <c r="T219" i="34"/>
  <c r="U219" i="34"/>
  <c r="Y219" i="34"/>
  <c r="Z219" i="34"/>
  <c r="N220" i="34"/>
  <c r="S220" i="34"/>
  <c r="T220" i="34"/>
  <c r="U220" i="34"/>
  <c r="Y220" i="34"/>
  <c r="Z220" i="34"/>
  <c r="N221" i="34"/>
  <c r="S221" i="34"/>
  <c r="T221" i="34"/>
  <c r="U221" i="34"/>
  <c r="Y221" i="34"/>
  <c r="Z221" i="34"/>
  <c r="N222" i="34"/>
  <c r="S222" i="34"/>
  <c r="T222" i="34"/>
  <c r="U222" i="34"/>
  <c r="Y222" i="34"/>
  <c r="Z222" i="34"/>
  <c r="N223" i="34"/>
  <c r="S223" i="34"/>
  <c r="T223" i="34"/>
  <c r="U223" i="34"/>
  <c r="Y223" i="34"/>
  <c r="Z223" i="34"/>
  <c r="N224" i="34"/>
  <c r="S224" i="34"/>
  <c r="T224" i="34"/>
  <c r="U224" i="34"/>
  <c r="Y224" i="34"/>
  <c r="Z224" i="34"/>
  <c r="N225" i="34"/>
  <c r="S225" i="34"/>
  <c r="T225" i="34"/>
  <c r="U225" i="34"/>
  <c r="Y225" i="34"/>
  <c r="Z225" i="34"/>
  <c r="N226" i="34"/>
  <c r="S226" i="34"/>
  <c r="T226" i="34"/>
  <c r="U226" i="34"/>
  <c r="Y226" i="34"/>
  <c r="Z226" i="34"/>
  <c r="N227" i="34"/>
  <c r="S227" i="34"/>
  <c r="T227" i="34"/>
  <c r="U227" i="34"/>
  <c r="Y227" i="34"/>
  <c r="Z227" i="34"/>
  <c r="N228" i="34"/>
  <c r="S228" i="34"/>
  <c r="T228" i="34"/>
  <c r="U228" i="34"/>
  <c r="Y228" i="34"/>
  <c r="Z228" i="34"/>
  <c r="N229" i="34"/>
  <c r="S229" i="34"/>
  <c r="T229" i="34"/>
  <c r="U229" i="34"/>
  <c r="Y229" i="34"/>
  <c r="Z229" i="34"/>
  <c r="N230" i="34"/>
  <c r="S230" i="34"/>
  <c r="T230" i="34"/>
  <c r="U230" i="34"/>
  <c r="Y230" i="34"/>
  <c r="Z230" i="34"/>
  <c r="N231" i="34"/>
  <c r="S231" i="34"/>
  <c r="T231" i="34"/>
  <c r="U231" i="34"/>
  <c r="Y231" i="34"/>
  <c r="Z231" i="34"/>
  <c r="N232" i="34"/>
  <c r="S232" i="34"/>
  <c r="T232" i="34"/>
  <c r="U232" i="34"/>
  <c r="Y232" i="34"/>
  <c r="Z232" i="34"/>
  <c r="N233" i="34"/>
  <c r="S233" i="34"/>
  <c r="T233" i="34"/>
  <c r="U233" i="34"/>
  <c r="Y233" i="34"/>
  <c r="Z233" i="34"/>
  <c r="N234" i="34"/>
  <c r="S234" i="34"/>
  <c r="T234" i="34"/>
  <c r="U234" i="34"/>
  <c r="Y234" i="34"/>
  <c r="Z234" i="34"/>
  <c r="N235" i="34"/>
  <c r="S235" i="34"/>
  <c r="T235" i="34"/>
  <c r="U235" i="34"/>
  <c r="Y235" i="34"/>
  <c r="Z235" i="34"/>
  <c r="N236" i="34"/>
  <c r="S236" i="34"/>
  <c r="T236" i="34"/>
  <c r="U236" i="34"/>
  <c r="Y236" i="34"/>
  <c r="Z236" i="34"/>
  <c r="N237" i="34"/>
  <c r="S237" i="34"/>
  <c r="T237" i="34"/>
  <c r="U237" i="34"/>
  <c r="Y237" i="34"/>
  <c r="Z237" i="34"/>
  <c r="N238" i="34"/>
  <c r="S238" i="34"/>
  <c r="T238" i="34"/>
  <c r="U238" i="34"/>
  <c r="Y238" i="34"/>
  <c r="Z238" i="34"/>
  <c r="N239" i="34"/>
  <c r="S239" i="34"/>
  <c r="T239" i="34"/>
  <c r="U239" i="34"/>
  <c r="Y239" i="34"/>
  <c r="Z239" i="34"/>
  <c r="N240" i="34"/>
  <c r="S240" i="34"/>
  <c r="T240" i="34"/>
  <c r="U240" i="34"/>
  <c r="Y240" i="34"/>
  <c r="Z240" i="34"/>
  <c r="N241" i="34"/>
  <c r="S241" i="34"/>
  <c r="T241" i="34"/>
  <c r="U241" i="34"/>
  <c r="Y241" i="34"/>
  <c r="Z241" i="34"/>
  <c r="N242" i="34"/>
  <c r="S242" i="34"/>
  <c r="T242" i="34"/>
  <c r="U242" i="34"/>
  <c r="Y242" i="34"/>
  <c r="Z242" i="34"/>
  <c r="N243" i="34"/>
  <c r="S243" i="34"/>
  <c r="T243" i="34"/>
  <c r="U243" i="34"/>
  <c r="Y243" i="34"/>
  <c r="Z243" i="34"/>
  <c r="N244" i="34"/>
  <c r="S244" i="34"/>
  <c r="T244" i="34"/>
  <c r="U244" i="34"/>
  <c r="Y244" i="34"/>
  <c r="Z244" i="34"/>
  <c r="N245" i="34"/>
  <c r="S245" i="34"/>
  <c r="T245" i="34"/>
  <c r="U245" i="34"/>
  <c r="Y245" i="34"/>
  <c r="Z245" i="34"/>
  <c r="N246" i="34"/>
  <c r="S246" i="34"/>
  <c r="T246" i="34"/>
  <c r="U246" i="34"/>
  <c r="Y246" i="34"/>
  <c r="Z246" i="34"/>
  <c r="N247" i="34"/>
  <c r="S247" i="34"/>
  <c r="T247" i="34"/>
  <c r="U247" i="34"/>
  <c r="Y247" i="34"/>
  <c r="Z247" i="34"/>
  <c r="N248" i="34"/>
  <c r="S248" i="34"/>
  <c r="T248" i="34"/>
  <c r="U248" i="34"/>
  <c r="Y248" i="34"/>
  <c r="Z248" i="34"/>
  <c r="N249" i="34"/>
  <c r="S249" i="34"/>
  <c r="T249" i="34"/>
  <c r="U249" i="34"/>
  <c r="Y249" i="34"/>
  <c r="Z249" i="34"/>
  <c r="N250" i="34"/>
  <c r="S250" i="34"/>
  <c r="T250" i="34"/>
  <c r="U250" i="34"/>
  <c r="Y250" i="34"/>
  <c r="Z250" i="34"/>
  <c r="N251" i="34"/>
  <c r="S251" i="34"/>
  <c r="T251" i="34"/>
  <c r="U251" i="34"/>
  <c r="Y251" i="34"/>
  <c r="Z251" i="34"/>
  <c r="N252" i="34"/>
  <c r="S252" i="34"/>
  <c r="T252" i="34"/>
  <c r="U252" i="34"/>
  <c r="Y252" i="34"/>
  <c r="Z252" i="34"/>
  <c r="N253" i="34"/>
  <c r="S253" i="34"/>
  <c r="T253" i="34"/>
  <c r="U253" i="34"/>
  <c r="Y253" i="34"/>
  <c r="Z253" i="34"/>
  <c r="N254" i="34"/>
  <c r="S254" i="34"/>
  <c r="T254" i="34"/>
  <c r="U254" i="34"/>
  <c r="Y254" i="34"/>
  <c r="Z254" i="34"/>
  <c r="N255" i="34"/>
  <c r="S255" i="34"/>
  <c r="T255" i="34"/>
  <c r="U255" i="34"/>
  <c r="Y255" i="34"/>
  <c r="Z255" i="34"/>
  <c r="N256" i="34"/>
  <c r="S256" i="34"/>
  <c r="T256" i="34"/>
  <c r="U256" i="34"/>
  <c r="Y256" i="34"/>
  <c r="Z256" i="34"/>
  <c r="N257" i="34"/>
  <c r="S257" i="34"/>
  <c r="T257" i="34"/>
  <c r="U257" i="34"/>
  <c r="Y257" i="34"/>
  <c r="Z257" i="34"/>
  <c r="N258" i="34"/>
  <c r="S258" i="34"/>
  <c r="T258" i="34"/>
  <c r="U258" i="34"/>
  <c r="Y258" i="34"/>
  <c r="Z258" i="34"/>
  <c r="N259" i="34"/>
  <c r="S259" i="34"/>
  <c r="T259" i="34"/>
  <c r="U259" i="34"/>
  <c r="Y259" i="34"/>
  <c r="Z259" i="34"/>
  <c r="N260" i="34"/>
  <c r="S260" i="34"/>
  <c r="T260" i="34"/>
  <c r="U260" i="34"/>
  <c r="Y260" i="34"/>
  <c r="Z260" i="34"/>
  <c r="N261" i="34"/>
  <c r="S261" i="34"/>
  <c r="T261" i="34"/>
  <c r="U261" i="34"/>
  <c r="Y261" i="34"/>
  <c r="Z261" i="34"/>
  <c r="N262" i="34"/>
  <c r="S262" i="34"/>
  <c r="T262" i="34"/>
  <c r="U262" i="34"/>
  <c r="Y262" i="34"/>
  <c r="Z262" i="34"/>
  <c r="N263" i="34"/>
  <c r="S263" i="34"/>
  <c r="T263" i="34"/>
  <c r="U263" i="34"/>
  <c r="Y263" i="34"/>
  <c r="Z263" i="34"/>
  <c r="N264" i="34"/>
  <c r="S264" i="34"/>
  <c r="T264" i="34"/>
  <c r="U264" i="34"/>
  <c r="Y264" i="34"/>
  <c r="Z264" i="34"/>
  <c r="N265" i="34"/>
  <c r="S265" i="34"/>
  <c r="T265" i="34"/>
  <c r="U265" i="34"/>
  <c r="Y265" i="34"/>
  <c r="Z265" i="34"/>
  <c r="N266" i="34"/>
  <c r="S266" i="34"/>
  <c r="T266" i="34"/>
  <c r="U266" i="34"/>
  <c r="Y266" i="34"/>
  <c r="Z266" i="34"/>
  <c r="N267" i="34"/>
  <c r="S267" i="34"/>
  <c r="T267" i="34"/>
  <c r="U267" i="34"/>
  <c r="Y267" i="34"/>
  <c r="Z267" i="34"/>
  <c r="N268" i="34"/>
  <c r="S268" i="34"/>
  <c r="T268" i="34"/>
  <c r="U268" i="34"/>
  <c r="Y268" i="34"/>
  <c r="Z268" i="34"/>
  <c r="N269" i="34"/>
  <c r="S269" i="34"/>
  <c r="T269" i="34"/>
  <c r="U269" i="34"/>
  <c r="Y269" i="34"/>
  <c r="Z269" i="34"/>
  <c r="N270" i="34"/>
  <c r="S270" i="34"/>
  <c r="T270" i="34"/>
  <c r="U270" i="34"/>
  <c r="Y270" i="34"/>
  <c r="Z270" i="34"/>
  <c r="N271" i="34"/>
  <c r="S271" i="34"/>
  <c r="T271" i="34"/>
  <c r="U271" i="34"/>
  <c r="Y271" i="34"/>
  <c r="Z271" i="34"/>
  <c r="N272" i="34"/>
  <c r="S272" i="34"/>
  <c r="T272" i="34"/>
  <c r="U272" i="34"/>
  <c r="Y272" i="34"/>
  <c r="Z272" i="34"/>
  <c r="N273" i="34"/>
  <c r="S273" i="34"/>
  <c r="T273" i="34"/>
  <c r="U273" i="34"/>
  <c r="Y273" i="34"/>
  <c r="Z273" i="34"/>
  <c r="N274" i="34"/>
  <c r="S274" i="34"/>
  <c r="T274" i="34"/>
  <c r="U274" i="34"/>
  <c r="Y274" i="34"/>
  <c r="Z274" i="34"/>
  <c r="N275" i="34"/>
  <c r="S275" i="34"/>
  <c r="T275" i="34"/>
  <c r="U275" i="34"/>
  <c r="Y275" i="34"/>
  <c r="Z275" i="34"/>
  <c r="N276" i="34"/>
  <c r="S276" i="34"/>
  <c r="T276" i="34"/>
  <c r="U276" i="34"/>
  <c r="Y276" i="34"/>
  <c r="Z276" i="34"/>
  <c r="N277" i="34"/>
  <c r="S277" i="34"/>
  <c r="T277" i="34"/>
  <c r="U277" i="34"/>
  <c r="Y277" i="34"/>
  <c r="Z277" i="34"/>
  <c r="N278" i="34"/>
  <c r="S278" i="34"/>
  <c r="T278" i="34"/>
  <c r="U278" i="34"/>
  <c r="Y278" i="34"/>
  <c r="Z278" i="34"/>
  <c r="N279" i="34"/>
  <c r="S279" i="34"/>
  <c r="T279" i="34"/>
  <c r="U279" i="34"/>
  <c r="Y279" i="34"/>
  <c r="Z279" i="34"/>
  <c r="N280" i="34"/>
  <c r="S280" i="34"/>
  <c r="T280" i="34"/>
  <c r="U280" i="34"/>
  <c r="Y280" i="34"/>
  <c r="Z280" i="34"/>
  <c r="N281" i="34"/>
  <c r="S281" i="34"/>
  <c r="T281" i="34"/>
  <c r="U281" i="34"/>
  <c r="Y281" i="34"/>
  <c r="Z281" i="34"/>
  <c r="N282" i="34"/>
  <c r="S282" i="34"/>
  <c r="T282" i="34"/>
  <c r="U282" i="34"/>
  <c r="Y282" i="34"/>
  <c r="Z282" i="34"/>
  <c r="N283" i="34"/>
  <c r="S283" i="34"/>
  <c r="T283" i="34"/>
  <c r="U283" i="34"/>
  <c r="Y283" i="34"/>
  <c r="Z283" i="34"/>
  <c r="N284" i="34"/>
  <c r="S284" i="34"/>
  <c r="T284" i="34"/>
  <c r="U284" i="34"/>
  <c r="Y284" i="34"/>
  <c r="Z284" i="34"/>
  <c r="N285" i="34"/>
  <c r="S285" i="34"/>
  <c r="T285" i="34"/>
  <c r="U285" i="34"/>
  <c r="Y285" i="34"/>
  <c r="Z285" i="34"/>
  <c r="N286" i="34"/>
  <c r="S286" i="34"/>
  <c r="T286" i="34"/>
  <c r="U286" i="34"/>
  <c r="Y286" i="34"/>
  <c r="Z286" i="34"/>
  <c r="N287" i="34"/>
  <c r="S287" i="34"/>
  <c r="T287" i="34"/>
  <c r="U287" i="34"/>
  <c r="Y287" i="34"/>
  <c r="Z287" i="34"/>
  <c r="N288" i="34"/>
  <c r="S288" i="34"/>
  <c r="T288" i="34"/>
  <c r="U288" i="34"/>
  <c r="Y288" i="34"/>
  <c r="Z288" i="34"/>
  <c r="N289" i="34"/>
  <c r="S289" i="34"/>
  <c r="T289" i="34"/>
  <c r="U289" i="34"/>
  <c r="Y289" i="34"/>
  <c r="Z289" i="34"/>
  <c r="N290" i="34"/>
  <c r="S290" i="34"/>
  <c r="T290" i="34"/>
  <c r="U290" i="34"/>
  <c r="Y290" i="34"/>
  <c r="Z290" i="34"/>
  <c r="N291" i="34"/>
  <c r="S291" i="34"/>
  <c r="T291" i="34"/>
  <c r="U291" i="34"/>
  <c r="Y291" i="34"/>
  <c r="Z291" i="34"/>
  <c r="N292" i="34"/>
  <c r="S292" i="34"/>
  <c r="T292" i="34"/>
  <c r="U292" i="34"/>
  <c r="Y292" i="34"/>
  <c r="Z292" i="34"/>
  <c r="N293" i="34"/>
  <c r="S293" i="34"/>
  <c r="T293" i="34"/>
  <c r="U293" i="34"/>
  <c r="Y293" i="34"/>
  <c r="Z293" i="34"/>
  <c r="N294" i="34"/>
  <c r="S294" i="34"/>
  <c r="T294" i="34"/>
  <c r="U294" i="34"/>
  <c r="Y294" i="34"/>
  <c r="Z294" i="34"/>
  <c r="N295" i="34"/>
  <c r="S295" i="34"/>
  <c r="T295" i="34"/>
  <c r="U295" i="34"/>
  <c r="Y295" i="34"/>
  <c r="Z295" i="34"/>
  <c r="N296" i="34"/>
  <c r="S296" i="34"/>
  <c r="T296" i="34"/>
  <c r="U296" i="34"/>
  <c r="Y296" i="34"/>
  <c r="Z296" i="34"/>
  <c r="N297" i="34"/>
  <c r="S297" i="34"/>
  <c r="T297" i="34"/>
  <c r="U297" i="34"/>
  <c r="Y297" i="34"/>
  <c r="Z297" i="34"/>
  <c r="N298" i="34"/>
  <c r="S298" i="34"/>
  <c r="T298" i="34"/>
  <c r="U298" i="34"/>
  <c r="Y298" i="34"/>
  <c r="Z298" i="34"/>
  <c r="N299" i="34"/>
  <c r="S299" i="34"/>
  <c r="T299" i="34"/>
  <c r="U299" i="34"/>
  <c r="Y299" i="34"/>
  <c r="Z299" i="34"/>
  <c r="N300" i="34"/>
  <c r="S300" i="34"/>
  <c r="T300" i="34"/>
  <c r="U300" i="34"/>
  <c r="Y300" i="34"/>
  <c r="Z300" i="34"/>
  <c r="N301" i="34"/>
  <c r="S301" i="34"/>
  <c r="T301" i="34"/>
  <c r="U301" i="34"/>
  <c r="Y301" i="34"/>
  <c r="Z301" i="34"/>
  <c r="N302" i="34"/>
  <c r="S302" i="34"/>
  <c r="T302" i="34"/>
  <c r="U302" i="34"/>
  <c r="Y302" i="34"/>
  <c r="Z302" i="34"/>
  <c r="N303" i="34"/>
  <c r="S303" i="34"/>
  <c r="T303" i="34"/>
  <c r="U303" i="34"/>
  <c r="Y303" i="34"/>
  <c r="Z303" i="34"/>
  <c r="N304" i="34"/>
  <c r="S304" i="34"/>
  <c r="T304" i="34"/>
  <c r="U304" i="34"/>
  <c r="Y304" i="34"/>
  <c r="Z304" i="34"/>
  <c r="N305" i="34"/>
  <c r="S305" i="34"/>
  <c r="T305" i="34"/>
  <c r="U305" i="34"/>
  <c r="Y305" i="34"/>
  <c r="Z305" i="34"/>
  <c r="N306" i="34"/>
  <c r="S306" i="34"/>
  <c r="T306" i="34"/>
  <c r="U306" i="34"/>
  <c r="Y306" i="34"/>
  <c r="Z306" i="34"/>
  <c r="N307" i="34"/>
  <c r="S307" i="34"/>
  <c r="T307" i="34"/>
  <c r="U307" i="34"/>
  <c r="Y307" i="34"/>
  <c r="Z307" i="34"/>
  <c r="N308" i="34"/>
  <c r="S308" i="34"/>
  <c r="T308" i="34"/>
  <c r="U308" i="34"/>
  <c r="Y308" i="34"/>
  <c r="Z308" i="34"/>
  <c r="N309" i="34"/>
  <c r="S309" i="34"/>
  <c r="T309" i="34"/>
  <c r="U309" i="34"/>
  <c r="Y309" i="34"/>
  <c r="Z309" i="34"/>
  <c r="N310" i="34"/>
  <c r="S310" i="34"/>
  <c r="T310" i="34"/>
  <c r="U310" i="34"/>
  <c r="Y310" i="34"/>
  <c r="Z310" i="34"/>
  <c r="N311" i="34"/>
  <c r="S311" i="34"/>
  <c r="T311" i="34"/>
  <c r="U311" i="34"/>
  <c r="Y311" i="34"/>
  <c r="Z311" i="34"/>
  <c r="N312" i="34"/>
  <c r="S312" i="34"/>
  <c r="T312" i="34"/>
  <c r="U312" i="34"/>
  <c r="Y312" i="34"/>
  <c r="Z312" i="34"/>
  <c r="N313" i="34"/>
  <c r="S313" i="34"/>
  <c r="T313" i="34"/>
  <c r="U313" i="34"/>
  <c r="Y313" i="34"/>
  <c r="Z313" i="34"/>
  <c r="N314" i="34"/>
  <c r="S314" i="34"/>
  <c r="T314" i="34"/>
  <c r="U314" i="34"/>
  <c r="Y314" i="34"/>
  <c r="Z314" i="34"/>
  <c r="N315" i="34"/>
  <c r="S315" i="34"/>
  <c r="T315" i="34"/>
  <c r="U315" i="34"/>
  <c r="Y315" i="34"/>
  <c r="Z315" i="34"/>
  <c r="N316" i="34"/>
  <c r="S316" i="34"/>
  <c r="T316" i="34"/>
  <c r="U316" i="34"/>
  <c r="Y316" i="34"/>
  <c r="Z316" i="34"/>
  <c r="N317" i="34"/>
  <c r="S317" i="34"/>
  <c r="T317" i="34"/>
  <c r="U317" i="34"/>
  <c r="Y317" i="34"/>
  <c r="Z317" i="34"/>
  <c r="N318" i="34"/>
  <c r="S318" i="34"/>
  <c r="T318" i="34"/>
  <c r="U318" i="34"/>
  <c r="Y318" i="34"/>
  <c r="Z318" i="34"/>
  <c r="N319" i="34"/>
  <c r="S319" i="34"/>
  <c r="T319" i="34"/>
  <c r="U319" i="34"/>
  <c r="Y319" i="34"/>
  <c r="Z319" i="34"/>
  <c r="N320" i="34"/>
  <c r="S320" i="34"/>
  <c r="T320" i="34"/>
  <c r="U320" i="34"/>
  <c r="Y320" i="34"/>
  <c r="Z320" i="34"/>
  <c r="N321" i="34"/>
  <c r="S321" i="34"/>
  <c r="T321" i="34"/>
  <c r="U321" i="34"/>
  <c r="Y321" i="34"/>
  <c r="Z321" i="34"/>
  <c r="N322" i="34"/>
  <c r="S322" i="34"/>
  <c r="T322" i="34"/>
  <c r="U322" i="34"/>
  <c r="Y322" i="34"/>
  <c r="Z322" i="34"/>
  <c r="N323" i="34"/>
  <c r="S323" i="34"/>
  <c r="T323" i="34"/>
  <c r="U323" i="34"/>
  <c r="Y323" i="34"/>
  <c r="Z323" i="34"/>
  <c r="N324" i="34"/>
  <c r="S324" i="34"/>
  <c r="T324" i="34"/>
  <c r="U324" i="34"/>
  <c r="Y324" i="34"/>
  <c r="Z324" i="34"/>
  <c r="N325" i="34"/>
  <c r="S325" i="34"/>
  <c r="T325" i="34"/>
  <c r="U325" i="34"/>
  <c r="Y325" i="34"/>
  <c r="Z325" i="34"/>
  <c r="N326" i="34"/>
  <c r="S326" i="34"/>
  <c r="T326" i="34"/>
  <c r="U326" i="34"/>
  <c r="Y326" i="34"/>
  <c r="Z326" i="34"/>
  <c r="N327" i="34"/>
  <c r="S327" i="34"/>
  <c r="T327" i="34"/>
  <c r="U327" i="34"/>
  <c r="Y327" i="34"/>
  <c r="Z327" i="34"/>
  <c r="N328" i="34"/>
  <c r="S328" i="34"/>
  <c r="T328" i="34"/>
  <c r="U328" i="34"/>
  <c r="Y328" i="34"/>
  <c r="Z328" i="34"/>
  <c r="N329" i="34"/>
  <c r="S329" i="34"/>
  <c r="T329" i="34"/>
  <c r="U329" i="34"/>
  <c r="Y329" i="34"/>
  <c r="Z329" i="34"/>
  <c r="N330" i="34"/>
  <c r="S330" i="34"/>
  <c r="T330" i="34"/>
  <c r="U330" i="34"/>
  <c r="Y330" i="34"/>
  <c r="Z330" i="34"/>
  <c r="N331" i="34"/>
  <c r="S331" i="34"/>
  <c r="T331" i="34"/>
  <c r="U331" i="34"/>
  <c r="Y331" i="34"/>
  <c r="Z331" i="34"/>
  <c r="N332" i="34"/>
  <c r="S332" i="34"/>
  <c r="T332" i="34"/>
  <c r="U332" i="34"/>
  <c r="Y332" i="34"/>
  <c r="Z332" i="34"/>
  <c r="N333" i="34"/>
  <c r="S333" i="34"/>
  <c r="T333" i="34"/>
  <c r="U333" i="34"/>
  <c r="Y333" i="34"/>
  <c r="Z333" i="34"/>
  <c r="N334" i="34"/>
  <c r="S334" i="34"/>
  <c r="T334" i="34"/>
  <c r="U334" i="34"/>
  <c r="Y334" i="34"/>
  <c r="Z334" i="34"/>
  <c r="N335" i="34"/>
  <c r="S335" i="34"/>
  <c r="T335" i="34"/>
  <c r="U335" i="34"/>
  <c r="Y335" i="34"/>
  <c r="Z335" i="34"/>
  <c r="N336" i="34"/>
  <c r="S336" i="34"/>
  <c r="T336" i="34"/>
  <c r="U336" i="34"/>
  <c r="Y336" i="34"/>
  <c r="Z336" i="34"/>
  <c r="N337" i="34"/>
  <c r="S337" i="34"/>
  <c r="T337" i="34"/>
  <c r="U337" i="34"/>
  <c r="Y337" i="34"/>
  <c r="Z337" i="34"/>
  <c r="N338" i="34"/>
  <c r="S338" i="34"/>
  <c r="T338" i="34"/>
  <c r="U338" i="34"/>
  <c r="Y338" i="34"/>
  <c r="Z338" i="34"/>
  <c r="N339" i="34"/>
  <c r="S339" i="34"/>
  <c r="T339" i="34"/>
  <c r="U339" i="34"/>
  <c r="Y339" i="34"/>
  <c r="Z339" i="34"/>
  <c r="N340" i="34"/>
  <c r="S340" i="34"/>
  <c r="T340" i="34"/>
  <c r="U340" i="34"/>
  <c r="Y340" i="34"/>
  <c r="Z340" i="34"/>
  <c r="N341" i="34"/>
  <c r="S341" i="34"/>
  <c r="T341" i="34"/>
  <c r="U341" i="34"/>
  <c r="Y341" i="34"/>
  <c r="Z341" i="34"/>
  <c r="N342" i="34"/>
  <c r="S342" i="34"/>
  <c r="T342" i="34"/>
  <c r="U342" i="34"/>
  <c r="Y342" i="34"/>
  <c r="Z342" i="34"/>
  <c r="N343" i="34"/>
  <c r="S343" i="34"/>
  <c r="T343" i="34"/>
  <c r="U343" i="34"/>
  <c r="Y343" i="34"/>
  <c r="Z343" i="34"/>
  <c r="N344" i="34"/>
  <c r="S344" i="34"/>
  <c r="T344" i="34"/>
  <c r="U344" i="34"/>
  <c r="Y344" i="34"/>
  <c r="Z344" i="34"/>
  <c r="N345" i="34"/>
  <c r="S345" i="34"/>
  <c r="T345" i="34"/>
  <c r="U345" i="34"/>
  <c r="Y345" i="34"/>
  <c r="Z345" i="34"/>
  <c r="N346" i="34"/>
  <c r="S346" i="34"/>
  <c r="T346" i="34"/>
  <c r="U346" i="34"/>
  <c r="Y346" i="34"/>
  <c r="Z346" i="34"/>
  <c r="N347" i="34"/>
  <c r="S347" i="34"/>
  <c r="T347" i="34"/>
  <c r="U347" i="34"/>
  <c r="Y347" i="34"/>
  <c r="Z347" i="34"/>
  <c r="N348" i="34"/>
  <c r="S348" i="34"/>
  <c r="T348" i="34"/>
  <c r="U348" i="34"/>
  <c r="Y348" i="34"/>
  <c r="Z348" i="34"/>
  <c r="N349" i="34"/>
  <c r="S349" i="34"/>
  <c r="T349" i="34"/>
  <c r="U349" i="34"/>
  <c r="Y349" i="34"/>
  <c r="Z349" i="34"/>
  <c r="N350" i="34"/>
  <c r="S350" i="34"/>
  <c r="T350" i="34"/>
  <c r="U350" i="34"/>
  <c r="Y350" i="34"/>
  <c r="Z350" i="34"/>
  <c r="N351" i="34"/>
  <c r="S351" i="34"/>
  <c r="T351" i="34"/>
  <c r="U351" i="34"/>
  <c r="Y351" i="34"/>
  <c r="Z351" i="34"/>
  <c r="N352" i="34"/>
  <c r="S352" i="34"/>
  <c r="T352" i="34"/>
  <c r="U352" i="34"/>
  <c r="Y352" i="34"/>
  <c r="Z352" i="34"/>
  <c r="N353" i="34"/>
  <c r="S353" i="34"/>
  <c r="T353" i="34"/>
  <c r="U353" i="34"/>
  <c r="Y353" i="34"/>
  <c r="Z353" i="34"/>
  <c r="N354" i="34"/>
  <c r="S354" i="34"/>
  <c r="T354" i="34"/>
  <c r="U354" i="34"/>
  <c r="Y354" i="34"/>
  <c r="Z354" i="34"/>
  <c r="N355" i="34"/>
  <c r="S355" i="34"/>
  <c r="T355" i="34"/>
  <c r="U355" i="34"/>
  <c r="Y355" i="34"/>
  <c r="Z355" i="34"/>
  <c r="N356" i="34"/>
  <c r="S356" i="34"/>
  <c r="T356" i="34"/>
  <c r="U356" i="34"/>
  <c r="Y356" i="34"/>
  <c r="Z356" i="34"/>
  <c r="N357" i="34"/>
  <c r="S357" i="34"/>
  <c r="T357" i="34"/>
  <c r="U357" i="34"/>
  <c r="Y357" i="34"/>
  <c r="Z357" i="34"/>
  <c r="N358" i="34"/>
  <c r="S358" i="34"/>
  <c r="T358" i="34"/>
  <c r="U358" i="34"/>
  <c r="Y358" i="34"/>
  <c r="Z358" i="34"/>
  <c r="N359" i="34"/>
  <c r="S359" i="34"/>
  <c r="T359" i="34"/>
  <c r="U359" i="34"/>
  <c r="Y359" i="34"/>
  <c r="Z359" i="34"/>
  <c r="N360" i="34"/>
  <c r="S360" i="34"/>
  <c r="T360" i="34"/>
  <c r="U360" i="34"/>
  <c r="Y360" i="34"/>
  <c r="Z360" i="34"/>
  <c r="N361" i="34"/>
  <c r="S361" i="34"/>
  <c r="T361" i="34"/>
  <c r="U361" i="34"/>
  <c r="Y361" i="34"/>
  <c r="Z361" i="34"/>
  <c r="N362" i="34"/>
  <c r="S362" i="34"/>
  <c r="T362" i="34"/>
  <c r="U362" i="34"/>
  <c r="Y362" i="34"/>
  <c r="Z362" i="34"/>
  <c r="N363" i="34"/>
  <c r="S363" i="34"/>
  <c r="T363" i="34"/>
  <c r="U363" i="34"/>
  <c r="Y363" i="34"/>
  <c r="Z363" i="34"/>
  <c r="N364" i="34"/>
  <c r="S364" i="34"/>
  <c r="T364" i="34"/>
  <c r="U364" i="34"/>
  <c r="Y364" i="34"/>
  <c r="Z364" i="34"/>
  <c r="N365" i="34"/>
  <c r="S365" i="34"/>
  <c r="T365" i="34"/>
  <c r="U365" i="34"/>
  <c r="Y365" i="34"/>
  <c r="Z365" i="34"/>
  <c r="N366" i="34"/>
  <c r="S366" i="34"/>
  <c r="T366" i="34"/>
  <c r="U366" i="34"/>
  <c r="Y366" i="34"/>
  <c r="Z366" i="34"/>
  <c r="N367" i="34"/>
  <c r="S367" i="34"/>
  <c r="T367" i="34"/>
  <c r="U367" i="34"/>
  <c r="Y367" i="34"/>
  <c r="Z367" i="34"/>
  <c r="N368" i="34"/>
  <c r="S368" i="34"/>
  <c r="T368" i="34"/>
  <c r="U368" i="34"/>
  <c r="Y368" i="34"/>
  <c r="Z368" i="34"/>
  <c r="N369" i="34"/>
  <c r="S369" i="34"/>
  <c r="T369" i="34"/>
  <c r="U369" i="34"/>
  <c r="Y369" i="34"/>
  <c r="Z369" i="34"/>
  <c r="N370" i="34"/>
  <c r="S370" i="34"/>
  <c r="T370" i="34"/>
  <c r="U370" i="34"/>
  <c r="Y370" i="34"/>
  <c r="Z370" i="34"/>
  <c r="N371" i="34"/>
  <c r="S371" i="34"/>
  <c r="T371" i="34"/>
  <c r="U371" i="34"/>
  <c r="Y371" i="34"/>
  <c r="Z371" i="34"/>
  <c r="N372" i="34"/>
  <c r="S372" i="34"/>
  <c r="T372" i="34"/>
  <c r="U372" i="34"/>
  <c r="Y372" i="34"/>
  <c r="Z372" i="34"/>
  <c r="N373" i="34"/>
  <c r="S373" i="34"/>
  <c r="T373" i="34"/>
  <c r="U373" i="34"/>
  <c r="Y373" i="34"/>
  <c r="Z373" i="34"/>
  <c r="N374" i="34"/>
  <c r="S374" i="34"/>
  <c r="T374" i="34"/>
  <c r="U374" i="34"/>
  <c r="Y374" i="34"/>
  <c r="Z374" i="34"/>
  <c r="N375" i="34"/>
  <c r="S375" i="34"/>
  <c r="T375" i="34"/>
  <c r="U375" i="34"/>
  <c r="Y375" i="34"/>
  <c r="Z375" i="34"/>
  <c r="N376" i="34"/>
  <c r="S376" i="34"/>
  <c r="T376" i="34"/>
  <c r="U376" i="34"/>
  <c r="Y376" i="34"/>
  <c r="Z376" i="34"/>
  <c r="N377" i="34"/>
  <c r="S377" i="34"/>
  <c r="T377" i="34"/>
  <c r="U377" i="34"/>
  <c r="Y377" i="34"/>
  <c r="Z377" i="34"/>
  <c r="N378" i="34"/>
  <c r="S378" i="34"/>
  <c r="T378" i="34"/>
  <c r="U378" i="34"/>
  <c r="Y378" i="34"/>
  <c r="Z378" i="34"/>
  <c r="N379" i="34"/>
  <c r="S379" i="34"/>
  <c r="T379" i="34"/>
  <c r="U379" i="34"/>
  <c r="Y379" i="34"/>
  <c r="Z379" i="34"/>
  <c r="N380" i="34"/>
  <c r="S380" i="34"/>
  <c r="T380" i="34"/>
  <c r="U380" i="34"/>
  <c r="Y380" i="34"/>
  <c r="Z380" i="34"/>
  <c r="N381" i="34"/>
  <c r="S381" i="34"/>
  <c r="T381" i="34"/>
  <c r="U381" i="34"/>
  <c r="Y381" i="34"/>
  <c r="Z381" i="34"/>
  <c r="N382" i="34"/>
  <c r="S382" i="34"/>
  <c r="T382" i="34"/>
  <c r="U382" i="34"/>
  <c r="Y382" i="34"/>
  <c r="Z382" i="34"/>
  <c r="N383" i="34"/>
  <c r="S383" i="34"/>
  <c r="T383" i="34"/>
  <c r="U383" i="34"/>
  <c r="Y383" i="34"/>
  <c r="Z383" i="34"/>
  <c r="N384" i="34"/>
  <c r="S384" i="34"/>
  <c r="T384" i="34"/>
  <c r="U384" i="34"/>
  <c r="Y384" i="34"/>
  <c r="Z384" i="34"/>
  <c r="N385" i="34"/>
  <c r="S385" i="34"/>
  <c r="T385" i="34"/>
  <c r="U385" i="34"/>
  <c r="Y385" i="34"/>
  <c r="Z385" i="34"/>
  <c r="N386" i="34"/>
  <c r="S386" i="34"/>
  <c r="T386" i="34"/>
  <c r="U386" i="34"/>
  <c r="Y386" i="34"/>
  <c r="Z386" i="34"/>
  <c r="N387" i="34"/>
  <c r="S387" i="34"/>
  <c r="T387" i="34"/>
  <c r="U387" i="34"/>
  <c r="Y387" i="34"/>
  <c r="Z387" i="34"/>
  <c r="N388" i="34"/>
  <c r="S388" i="34"/>
  <c r="T388" i="34"/>
  <c r="U388" i="34"/>
  <c r="Y388" i="34"/>
  <c r="Z388" i="34"/>
  <c r="N389" i="34"/>
  <c r="S389" i="34"/>
  <c r="T389" i="34"/>
  <c r="U389" i="34"/>
  <c r="Y389" i="34"/>
  <c r="Z389" i="34"/>
  <c r="N390" i="34"/>
  <c r="S390" i="34"/>
  <c r="T390" i="34"/>
  <c r="U390" i="34"/>
  <c r="Y390" i="34"/>
  <c r="Z390" i="34"/>
  <c r="N391" i="34"/>
  <c r="S391" i="34"/>
  <c r="T391" i="34"/>
  <c r="U391" i="34"/>
  <c r="Y391" i="34"/>
  <c r="Z391" i="34"/>
  <c r="N392" i="34"/>
  <c r="S392" i="34"/>
  <c r="T392" i="34"/>
  <c r="U392" i="34"/>
  <c r="Y392" i="34"/>
  <c r="Z392" i="34"/>
  <c r="N393" i="34"/>
  <c r="S393" i="34"/>
  <c r="T393" i="34"/>
  <c r="U393" i="34"/>
  <c r="Y393" i="34"/>
  <c r="Z393" i="34"/>
  <c r="N394" i="34"/>
  <c r="S394" i="34"/>
  <c r="T394" i="34"/>
  <c r="U394" i="34"/>
  <c r="Y394" i="34"/>
  <c r="Z394" i="34"/>
  <c r="N395" i="34"/>
  <c r="S395" i="34"/>
  <c r="T395" i="34"/>
  <c r="U395" i="34"/>
  <c r="Y395" i="34"/>
  <c r="Z395" i="34"/>
  <c r="N396" i="34"/>
  <c r="S396" i="34"/>
  <c r="T396" i="34"/>
  <c r="U396" i="34"/>
  <c r="Y396" i="34"/>
  <c r="Z396" i="34"/>
  <c r="N397" i="34"/>
  <c r="S397" i="34"/>
  <c r="T397" i="34"/>
  <c r="U397" i="34"/>
  <c r="Y397" i="34"/>
  <c r="Z397" i="34"/>
  <c r="N398" i="34"/>
  <c r="S398" i="34"/>
  <c r="T398" i="34"/>
  <c r="U398" i="34"/>
  <c r="Y398" i="34"/>
  <c r="Z398" i="34"/>
  <c r="N399" i="34"/>
  <c r="S399" i="34"/>
  <c r="T399" i="34"/>
  <c r="U399" i="34"/>
  <c r="Y399" i="34"/>
  <c r="Z399" i="34"/>
  <c r="N400" i="34"/>
  <c r="S400" i="34"/>
  <c r="T400" i="34"/>
  <c r="U400" i="34"/>
  <c r="Y400" i="34"/>
  <c r="Z400" i="34"/>
  <c r="N401" i="34"/>
  <c r="S401" i="34"/>
  <c r="T401" i="34"/>
  <c r="U401" i="34"/>
  <c r="Y401" i="34"/>
  <c r="Z401" i="34"/>
  <c r="N402" i="34"/>
  <c r="S402" i="34"/>
  <c r="T402" i="34"/>
  <c r="U402" i="34"/>
  <c r="Y402" i="34"/>
  <c r="Z402" i="34"/>
  <c r="N403" i="34"/>
  <c r="S403" i="34"/>
  <c r="T403" i="34"/>
  <c r="U403" i="34"/>
  <c r="Y403" i="34"/>
  <c r="Z403" i="34"/>
  <c r="N404" i="34"/>
  <c r="S404" i="34"/>
  <c r="T404" i="34"/>
  <c r="U404" i="34"/>
  <c r="Y404" i="34"/>
  <c r="Z404" i="34"/>
  <c r="N405" i="34"/>
  <c r="S405" i="34"/>
  <c r="T405" i="34"/>
  <c r="U405" i="34"/>
  <c r="Y405" i="34"/>
  <c r="Z405" i="34"/>
  <c r="N406" i="34"/>
  <c r="S406" i="34"/>
  <c r="T406" i="34"/>
  <c r="U406" i="34"/>
  <c r="Y406" i="34"/>
  <c r="Z406" i="34"/>
  <c r="N407" i="34"/>
  <c r="S407" i="34"/>
  <c r="T407" i="34"/>
  <c r="U407" i="34"/>
  <c r="Y407" i="34"/>
  <c r="Z407" i="34"/>
  <c r="N408" i="34"/>
  <c r="S408" i="34"/>
  <c r="T408" i="34"/>
  <c r="U408" i="34"/>
  <c r="Y408" i="34"/>
  <c r="Z408" i="34"/>
  <c r="N409" i="34"/>
  <c r="S409" i="34"/>
  <c r="T409" i="34"/>
  <c r="U409" i="34"/>
  <c r="Y409" i="34"/>
  <c r="Z409" i="34"/>
  <c r="N410" i="34"/>
  <c r="S410" i="34"/>
  <c r="T410" i="34"/>
  <c r="U410" i="34"/>
  <c r="Y410" i="34"/>
  <c r="Z410" i="34"/>
  <c r="N411" i="34"/>
  <c r="S411" i="34"/>
  <c r="T411" i="34"/>
  <c r="U411" i="34"/>
  <c r="Y411" i="34"/>
  <c r="Z411" i="34"/>
  <c r="N412" i="34"/>
  <c r="S412" i="34"/>
  <c r="T412" i="34"/>
  <c r="U412" i="34"/>
  <c r="Y412" i="34"/>
  <c r="Z412" i="34"/>
  <c r="N413" i="34"/>
  <c r="S413" i="34"/>
  <c r="T413" i="34"/>
  <c r="U413" i="34"/>
  <c r="Y413" i="34"/>
  <c r="Z413" i="34"/>
  <c r="N414" i="34"/>
  <c r="S414" i="34"/>
  <c r="T414" i="34"/>
  <c r="U414" i="34"/>
  <c r="Y414" i="34"/>
  <c r="Z414" i="34"/>
  <c r="N415" i="34"/>
  <c r="S415" i="34"/>
  <c r="T415" i="34"/>
  <c r="U415" i="34"/>
  <c r="Y415" i="34"/>
  <c r="Z415" i="34"/>
  <c r="N416" i="34"/>
  <c r="S416" i="34"/>
  <c r="T416" i="34"/>
  <c r="U416" i="34"/>
  <c r="Y416" i="34"/>
  <c r="Z416" i="34"/>
  <c r="N417" i="34"/>
  <c r="S417" i="34"/>
  <c r="T417" i="34"/>
  <c r="U417" i="34"/>
  <c r="Y417" i="34"/>
  <c r="Z417" i="34"/>
  <c r="N418" i="34"/>
  <c r="S418" i="34"/>
  <c r="T418" i="34"/>
  <c r="U418" i="34"/>
  <c r="Y418" i="34"/>
  <c r="Z418" i="34"/>
  <c r="N419" i="34"/>
  <c r="S419" i="34"/>
  <c r="T419" i="34"/>
  <c r="U419" i="34"/>
  <c r="Y419" i="34"/>
  <c r="Z419" i="34"/>
  <c r="N420" i="34"/>
  <c r="S420" i="34"/>
  <c r="T420" i="34"/>
  <c r="U420" i="34"/>
  <c r="Y420" i="34"/>
  <c r="Z420" i="34"/>
  <c r="N421" i="34"/>
  <c r="S421" i="34"/>
  <c r="T421" i="34"/>
  <c r="U421" i="34"/>
  <c r="Y421" i="34"/>
  <c r="Z421" i="34"/>
  <c r="N422" i="34"/>
  <c r="S422" i="34"/>
  <c r="T422" i="34"/>
  <c r="U422" i="34"/>
  <c r="Y422" i="34"/>
  <c r="Z422" i="34"/>
  <c r="N423" i="34"/>
  <c r="S423" i="34"/>
  <c r="T423" i="34"/>
  <c r="U423" i="34"/>
  <c r="Y423" i="34"/>
  <c r="Z423" i="34"/>
  <c r="N424" i="34"/>
  <c r="S424" i="34"/>
  <c r="T424" i="34"/>
  <c r="U424" i="34"/>
  <c r="Y424" i="34"/>
  <c r="Z424" i="34"/>
  <c r="N425" i="34"/>
  <c r="S425" i="34"/>
  <c r="T425" i="34"/>
  <c r="U425" i="34"/>
  <c r="Y425" i="34"/>
  <c r="Z425" i="34"/>
  <c r="N426" i="34"/>
  <c r="S426" i="34"/>
  <c r="T426" i="34"/>
  <c r="U426" i="34"/>
  <c r="Y426" i="34"/>
  <c r="Z426" i="34"/>
  <c r="N427" i="34"/>
  <c r="S427" i="34"/>
  <c r="T427" i="34"/>
  <c r="U427" i="34"/>
  <c r="Y427" i="34"/>
  <c r="Z427" i="34"/>
  <c r="N428" i="34"/>
  <c r="S428" i="34"/>
  <c r="T428" i="34"/>
  <c r="U428" i="34"/>
  <c r="Y428" i="34"/>
  <c r="Z428" i="34"/>
  <c r="N429" i="34"/>
  <c r="S429" i="34"/>
  <c r="T429" i="34"/>
  <c r="U429" i="34"/>
  <c r="Y429" i="34"/>
  <c r="Z429" i="34"/>
  <c r="N430" i="34"/>
  <c r="S430" i="34"/>
  <c r="T430" i="34"/>
  <c r="U430" i="34"/>
  <c r="Y430" i="34"/>
  <c r="Z430" i="34"/>
  <c r="N431" i="34"/>
  <c r="S431" i="34"/>
  <c r="T431" i="34"/>
  <c r="U431" i="34"/>
  <c r="Y431" i="34"/>
  <c r="Z431" i="34"/>
  <c r="N432" i="34"/>
  <c r="S432" i="34"/>
  <c r="T432" i="34"/>
  <c r="U432" i="34"/>
  <c r="Y432" i="34"/>
  <c r="Z432" i="34"/>
  <c r="N433" i="34"/>
  <c r="S433" i="34"/>
  <c r="T433" i="34"/>
  <c r="U433" i="34"/>
  <c r="Y433" i="34"/>
  <c r="Z433" i="34"/>
  <c r="N434" i="34"/>
  <c r="S434" i="34"/>
  <c r="T434" i="34"/>
  <c r="U434" i="34"/>
  <c r="Y434" i="34"/>
  <c r="Z434" i="34"/>
  <c r="N435" i="34"/>
  <c r="S435" i="34"/>
  <c r="T435" i="34"/>
  <c r="U435" i="34"/>
  <c r="Y435" i="34"/>
  <c r="Z435" i="34"/>
  <c r="N436" i="34"/>
  <c r="S436" i="34"/>
  <c r="T436" i="34"/>
  <c r="U436" i="34"/>
  <c r="Y436" i="34"/>
  <c r="Z436" i="34"/>
  <c r="N437" i="34"/>
  <c r="S437" i="34"/>
  <c r="T437" i="34"/>
  <c r="U437" i="34"/>
  <c r="Y437" i="34"/>
  <c r="Z437" i="34"/>
  <c r="N438" i="34"/>
  <c r="S438" i="34"/>
  <c r="T438" i="34"/>
  <c r="U438" i="34"/>
  <c r="Y438" i="34"/>
  <c r="Z438" i="34"/>
  <c r="N439" i="34"/>
  <c r="S439" i="34"/>
  <c r="T439" i="34"/>
  <c r="U439" i="34"/>
  <c r="Y439" i="34"/>
  <c r="Z439" i="34"/>
  <c r="N440" i="34"/>
  <c r="S440" i="34"/>
  <c r="T440" i="34"/>
  <c r="U440" i="34"/>
  <c r="Y440" i="34"/>
  <c r="Z440" i="34"/>
  <c r="N441" i="34"/>
  <c r="S441" i="34"/>
  <c r="T441" i="34"/>
  <c r="U441" i="34"/>
  <c r="Y441" i="34"/>
  <c r="Z441" i="34"/>
  <c r="N442" i="34"/>
  <c r="S442" i="34"/>
  <c r="T442" i="34"/>
  <c r="U442" i="34"/>
  <c r="Y442" i="34"/>
  <c r="Z442" i="34"/>
  <c r="N443" i="34"/>
  <c r="S443" i="34"/>
  <c r="T443" i="34"/>
  <c r="U443" i="34"/>
  <c r="Y443" i="34"/>
  <c r="Z443" i="34"/>
  <c r="N444" i="34"/>
  <c r="S444" i="34"/>
  <c r="T444" i="34"/>
  <c r="U444" i="34"/>
  <c r="Y444" i="34"/>
  <c r="Z444" i="34"/>
  <c r="N445" i="34"/>
  <c r="S445" i="34"/>
  <c r="T445" i="34"/>
  <c r="U445" i="34"/>
  <c r="Y445" i="34"/>
  <c r="Z445" i="34"/>
  <c r="N446" i="34"/>
  <c r="S446" i="34"/>
  <c r="T446" i="34"/>
  <c r="U446" i="34"/>
  <c r="Y446" i="34"/>
  <c r="Z446" i="34"/>
  <c r="N447" i="34"/>
  <c r="S447" i="34"/>
  <c r="T447" i="34"/>
  <c r="U447" i="34"/>
  <c r="Y447" i="34"/>
  <c r="Z447" i="34"/>
  <c r="N448" i="34"/>
  <c r="S448" i="34"/>
  <c r="T448" i="34"/>
  <c r="U448" i="34"/>
  <c r="Y448" i="34"/>
  <c r="Z448" i="34"/>
  <c r="N449" i="34"/>
  <c r="S449" i="34"/>
  <c r="T449" i="34"/>
  <c r="U449" i="34"/>
  <c r="Y449" i="34"/>
  <c r="Z449" i="34"/>
  <c r="N450" i="34"/>
  <c r="S450" i="34"/>
  <c r="T450" i="34"/>
  <c r="U450" i="34"/>
  <c r="Y450" i="34"/>
  <c r="Z450" i="34"/>
  <c r="N451" i="34"/>
  <c r="S451" i="34"/>
  <c r="T451" i="34"/>
  <c r="U451" i="34"/>
  <c r="Y451" i="34"/>
  <c r="Z451" i="34"/>
  <c r="N452" i="34"/>
  <c r="S452" i="34"/>
  <c r="T452" i="34"/>
  <c r="U452" i="34"/>
  <c r="Y452" i="34"/>
  <c r="Z452" i="34"/>
  <c r="N453" i="34"/>
  <c r="S453" i="34"/>
  <c r="T453" i="34"/>
  <c r="U453" i="34"/>
  <c r="Y453" i="34"/>
  <c r="Z453" i="34"/>
  <c r="N454" i="34"/>
  <c r="S454" i="34"/>
  <c r="T454" i="34"/>
  <c r="U454" i="34"/>
  <c r="Y454" i="34"/>
  <c r="Z454" i="34"/>
  <c r="N455" i="34"/>
  <c r="S455" i="34"/>
  <c r="T455" i="34"/>
  <c r="U455" i="34"/>
  <c r="Y455" i="34"/>
  <c r="Z455" i="34"/>
  <c r="N456" i="34"/>
  <c r="S456" i="34"/>
  <c r="T456" i="34"/>
  <c r="U456" i="34"/>
  <c r="Y456" i="34"/>
  <c r="Z456" i="34"/>
  <c r="N457" i="34"/>
  <c r="S457" i="34"/>
  <c r="T457" i="34"/>
  <c r="U457" i="34"/>
  <c r="Y457" i="34"/>
  <c r="Z457" i="34"/>
  <c r="N458" i="34"/>
  <c r="S458" i="34"/>
  <c r="T458" i="34"/>
  <c r="U458" i="34"/>
  <c r="Y458" i="34"/>
  <c r="Z458" i="34"/>
  <c r="N459" i="34"/>
  <c r="S459" i="34"/>
  <c r="T459" i="34"/>
  <c r="U459" i="34"/>
  <c r="Y459" i="34"/>
  <c r="Z459" i="34"/>
  <c r="N460" i="34"/>
  <c r="S460" i="34"/>
  <c r="T460" i="34"/>
  <c r="U460" i="34"/>
  <c r="Y460" i="34"/>
  <c r="Z460" i="34"/>
  <c r="N461" i="34"/>
  <c r="S461" i="34"/>
  <c r="T461" i="34"/>
  <c r="U461" i="34"/>
  <c r="Y461" i="34"/>
  <c r="Z461" i="34"/>
  <c r="N462" i="34"/>
  <c r="S462" i="34"/>
  <c r="T462" i="34"/>
  <c r="U462" i="34"/>
  <c r="Y462" i="34"/>
  <c r="Z462" i="34"/>
  <c r="N463" i="34"/>
  <c r="S463" i="34"/>
  <c r="T463" i="34"/>
  <c r="U463" i="34"/>
  <c r="Y463" i="34"/>
  <c r="Z463" i="34"/>
  <c r="N464" i="34"/>
  <c r="S464" i="34"/>
  <c r="T464" i="34"/>
  <c r="U464" i="34"/>
  <c r="Y464" i="34"/>
  <c r="Z464" i="34"/>
  <c r="N465" i="34"/>
  <c r="S465" i="34"/>
  <c r="T465" i="34"/>
  <c r="U465" i="34"/>
  <c r="Y465" i="34"/>
  <c r="Z465" i="34"/>
  <c r="N466" i="34"/>
  <c r="S466" i="34"/>
  <c r="T466" i="34"/>
  <c r="U466" i="34"/>
  <c r="Y466" i="34"/>
  <c r="Z466" i="34"/>
  <c r="N467" i="34"/>
  <c r="S467" i="34"/>
  <c r="T467" i="34"/>
  <c r="U467" i="34"/>
  <c r="Y467" i="34"/>
  <c r="Z467" i="34"/>
  <c r="N468" i="34"/>
  <c r="S468" i="34"/>
  <c r="T468" i="34"/>
  <c r="U468" i="34"/>
  <c r="Y468" i="34"/>
  <c r="Z468" i="34"/>
  <c r="N469" i="34"/>
  <c r="S469" i="34"/>
  <c r="T469" i="34"/>
  <c r="U469" i="34"/>
  <c r="Y469" i="34"/>
  <c r="Z469" i="34"/>
  <c r="N470" i="34"/>
  <c r="S470" i="34"/>
  <c r="T470" i="34"/>
  <c r="U470" i="34"/>
  <c r="Y470" i="34"/>
  <c r="Z470" i="34"/>
  <c r="N471" i="34"/>
  <c r="S471" i="34"/>
  <c r="T471" i="34"/>
  <c r="U471" i="34"/>
  <c r="Y471" i="34"/>
  <c r="Z471" i="34"/>
  <c r="N472" i="34"/>
  <c r="S472" i="34"/>
  <c r="T472" i="34"/>
  <c r="U472" i="34"/>
  <c r="Y472" i="34"/>
  <c r="Z472" i="34"/>
  <c r="N473" i="34"/>
  <c r="S473" i="34"/>
  <c r="T473" i="34"/>
  <c r="U473" i="34"/>
  <c r="Y473" i="34"/>
  <c r="Z473" i="34"/>
  <c r="N474" i="34"/>
  <c r="S474" i="34"/>
  <c r="T474" i="34"/>
  <c r="U474" i="34"/>
  <c r="Y474" i="34"/>
  <c r="Z474" i="34"/>
  <c r="N475" i="34"/>
  <c r="S475" i="34"/>
  <c r="T475" i="34"/>
  <c r="U475" i="34"/>
  <c r="Y475" i="34"/>
  <c r="Z475" i="34"/>
  <c r="N476" i="34"/>
  <c r="S476" i="34"/>
  <c r="T476" i="34"/>
  <c r="U476" i="34"/>
  <c r="Y476" i="34"/>
  <c r="Z476" i="34"/>
  <c r="N477" i="34"/>
  <c r="S477" i="34"/>
  <c r="T477" i="34"/>
  <c r="U477" i="34"/>
  <c r="Y477" i="34"/>
  <c r="Z477" i="34"/>
  <c r="N478" i="34"/>
  <c r="S478" i="34"/>
  <c r="T478" i="34"/>
  <c r="U478" i="34"/>
  <c r="Y478" i="34"/>
  <c r="Z478" i="34"/>
  <c r="N479" i="34"/>
  <c r="S479" i="34"/>
  <c r="T479" i="34"/>
  <c r="U479" i="34"/>
  <c r="Y479" i="34"/>
  <c r="Z479" i="34"/>
  <c r="N480" i="34"/>
  <c r="S480" i="34"/>
  <c r="T480" i="34"/>
  <c r="U480" i="34"/>
  <c r="Y480" i="34"/>
  <c r="Z480" i="34"/>
  <c r="N481" i="34"/>
  <c r="S481" i="34"/>
  <c r="T481" i="34"/>
  <c r="U481" i="34"/>
  <c r="Y481" i="34"/>
  <c r="Z481" i="34"/>
  <c r="N482" i="34"/>
  <c r="S482" i="34"/>
  <c r="T482" i="34"/>
  <c r="U482" i="34"/>
  <c r="Y482" i="34"/>
  <c r="Z482" i="34"/>
  <c r="N483" i="34"/>
  <c r="S483" i="34"/>
  <c r="T483" i="34"/>
  <c r="U483" i="34"/>
  <c r="Y483" i="34"/>
  <c r="Z483" i="34"/>
  <c r="N484" i="34"/>
  <c r="S484" i="34"/>
  <c r="T484" i="34"/>
  <c r="U484" i="34"/>
  <c r="Y484" i="34"/>
  <c r="Z484" i="34"/>
  <c r="N485" i="34"/>
  <c r="S485" i="34"/>
  <c r="T485" i="34"/>
  <c r="U485" i="34"/>
  <c r="Y485" i="34"/>
  <c r="Z485" i="34"/>
  <c r="N486" i="34"/>
  <c r="S486" i="34"/>
  <c r="T486" i="34"/>
  <c r="U486" i="34"/>
  <c r="Y486" i="34"/>
  <c r="Z486" i="34"/>
  <c r="N487" i="34"/>
  <c r="S487" i="34"/>
  <c r="T487" i="34"/>
  <c r="U487" i="34"/>
  <c r="Y487" i="34"/>
  <c r="Z487" i="34"/>
  <c r="N488" i="34"/>
  <c r="S488" i="34"/>
  <c r="T488" i="34"/>
  <c r="U488" i="34"/>
  <c r="Y488" i="34"/>
  <c r="Z488" i="34"/>
  <c r="N489" i="34"/>
  <c r="S489" i="34"/>
  <c r="T489" i="34"/>
  <c r="U489" i="34"/>
  <c r="Y489" i="34"/>
  <c r="Z489" i="34"/>
  <c r="N490" i="34"/>
  <c r="S490" i="34"/>
  <c r="T490" i="34"/>
  <c r="U490" i="34"/>
  <c r="Y490" i="34"/>
  <c r="Z490" i="34"/>
  <c r="N491" i="34"/>
  <c r="S491" i="34"/>
  <c r="T491" i="34"/>
  <c r="U491" i="34"/>
  <c r="Y491" i="34"/>
  <c r="Z491" i="34"/>
  <c r="N492" i="34"/>
  <c r="S492" i="34"/>
  <c r="T492" i="34"/>
  <c r="U492" i="34"/>
  <c r="Y492" i="34"/>
  <c r="Z492" i="34"/>
  <c r="N493" i="34"/>
  <c r="S493" i="34"/>
  <c r="T493" i="34"/>
  <c r="U493" i="34"/>
  <c r="Y493" i="34"/>
  <c r="Z493" i="34"/>
  <c r="N494" i="34"/>
  <c r="S494" i="34"/>
  <c r="T494" i="34"/>
  <c r="U494" i="34"/>
  <c r="Y494" i="34"/>
  <c r="Z494" i="34"/>
  <c r="N495" i="34"/>
  <c r="S495" i="34"/>
  <c r="T495" i="34"/>
  <c r="U495" i="34"/>
  <c r="Y495" i="34"/>
  <c r="Z495" i="34"/>
  <c r="N496" i="34"/>
  <c r="S496" i="34"/>
  <c r="T496" i="34"/>
  <c r="U496" i="34"/>
  <c r="Y496" i="34"/>
  <c r="Z496" i="34"/>
  <c r="N497" i="34"/>
  <c r="S497" i="34"/>
  <c r="T497" i="34"/>
  <c r="U497" i="34"/>
  <c r="Y497" i="34"/>
  <c r="Z497" i="34"/>
  <c r="N498" i="34"/>
  <c r="S498" i="34"/>
  <c r="T498" i="34"/>
  <c r="U498" i="34"/>
  <c r="Y498" i="34"/>
  <c r="Z498" i="34"/>
  <c r="N499" i="34"/>
  <c r="S499" i="34"/>
  <c r="T499" i="34"/>
  <c r="U499" i="34"/>
  <c r="Y499" i="34"/>
  <c r="Z499" i="34"/>
  <c r="N500" i="34"/>
  <c r="S500" i="34"/>
  <c r="T500" i="34"/>
  <c r="U500" i="34"/>
  <c r="Y500" i="34"/>
  <c r="Z500" i="34"/>
  <c r="N501" i="34"/>
  <c r="S501" i="34"/>
  <c r="T501" i="34"/>
  <c r="U501" i="34"/>
  <c r="Y501" i="34"/>
  <c r="Z501" i="34"/>
  <c r="N502" i="34"/>
  <c r="S502" i="34"/>
  <c r="T502" i="34"/>
  <c r="U502" i="34"/>
  <c r="Y502" i="34"/>
  <c r="Z502" i="34"/>
  <c r="N503" i="34"/>
  <c r="S503" i="34"/>
  <c r="T503" i="34"/>
  <c r="U503" i="34"/>
  <c r="Y503" i="34"/>
  <c r="Z503" i="34"/>
  <c r="N504" i="34"/>
  <c r="S504" i="34"/>
  <c r="T504" i="34"/>
  <c r="U504" i="34"/>
  <c r="Y504" i="34"/>
  <c r="Z504" i="34"/>
  <c r="N505" i="34"/>
  <c r="S505" i="34"/>
  <c r="T505" i="34"/>
  <c r="U505" i="34"/>
  <c r="Y505" i="34"/>
  <c r="Z505" i="34"/>
  <c r="N506" i="34"/>
  <c r="S506" i="34"/>
  <c r="T506" i="34"/>
  <c r="U506" i="34"/>
  <c r="Y506" i="34"/>
  <c r="Z506" i="34"/>
  <c r="N507" i="34"/>
  <c r="S507" i="34"/>
  <c r="T507" i="34"/>
  <c r="U507" i="34"/>
  <c r="Y507" i="34"/>
  <c r="Z507" i="34"/>
  <c r="N508" i="34"/>
  <c r="S508" i="34"/>
  <c r="T508" i="34"/>
  <c r="U508" i="34"/>
  <c r="Y508" i="34"/>
  <c r="Z508" i="34"/>
  <c r="N509" i="34"/>
  <c r="S509" i="34"/>
  <c r="T509" i="34"/>
  <c r="U509" i="34"/>
  <c r="Y509" i="34"/>
  <c r="Z509" i="34"/>
  <c r="N510" i="34"/>
  <c r="S510" i="34"/>
  <c r="T510" i="34"/>
  <c r="U510" i="34"/>
  <c r="Y510" i="34"/>
  <c r="Z510" i="34"/>
  <c r="N511" i="34"/>
  <c r="S511" i="34"/>
  <c r="T511" i="34"/>
  <c r="U511" i="34"/>
  <c r="Y511" i="34"/>
  <c r="Z511" i="34"/>
  <c r="N512" i="34"/>
  <c r="S512" i="34"/>
  <c r="T512" i="34"/>
  <c r="U512" i="34"/>
  <c r="Y512" i="34"/>
  <c r="Z512" i="34"/>
  <c r="N513" i="34"/>
  <c r="S513" i="34"/>
  <c r="T513" i="34"/>
  <c r="U513" i="34"/>
  <c r="Y513" i="34"/>
  <c r="Z513" i="34"/>
  <c r="N514" i="34"/>
  <c r="S514" i="34"/>
  <c r="T514" i="34"/>
  <c r="U514" i="34"/>
  <c r="Y514" i="34"/>
  <c r="Z514" i="34"/>
  <c r="N515" i="34"/>
  <c r="S515" i="34"/>
  <c r="T515" i="34"/>
  <c r="U515" i="34"/>
  <c r="Y515" i="34"/>
  <c r="Z515" i="34"/>
  <c r="N516" i="34"/>
  <c r="S516" i="34"/>
  <c r="T516" i="34"/>
  <c r="U516" i="34"/>
  <c r="Y516" i="34"/>
  <c r="Z516" i="34"/>
  <c r="N517" i="34"/>
  <c r="S517" i="34"/>
  <c r="T517" i="34"/>
  <c r="U517" i="34"/>
  <c r="Y517" i="34"/>
  <c r="Z517" i="34"/>
  <c r="N518" i="34"/>
  <c r="S518" i="34"/>
  <c r="T518" i="34"/>
  <c r="U518" i="34"/>
  <c r="Y518" i="34"/>
  <c r="Z518" i="34"/>
  <c r="N519" i="34"/>
  <c r="S519" i="34"/>
  <c r="T519" i="34"/>
  <c r="U519" i="34"/>
  <c r="Y519" i="34"/>
  <c r="Z519" i="34"/>
  <c r="N520" i="34"/>
  <c r="S520" i="34"/>
  <c r="T520" i="34"/>
  <c r="U520" i="34"/>
  <c r="Y520" i="34"/>
  <c r="Z520" i="34"/>
  <c r="N521" i="34"/>
  <c r="S521" i="34"/>
  <c r="T521" i="34"/>
  <c r="U521" i="34"/>
  <c r="Y521" i="34"/>
  <c r="Z521" i="34"/>
  <c r="N522" i="34"/>
  <c r="S522" i="34"/>
  <c r="T522" i="34"/>
  <c r="U522" i="34"/>
  <c r="Y522" i="34"/>
  <c r="Z522" i="34"/>
  <c r="N523" i="34"/>
  <c r="S523" i="34"/>
  <c r="T523" i="34"/>
  <c r="U523" i="34"/>
  <c r="Y523" i="34"/>
  <c r="Z523" i="34"/>
  <c r="N524" i="34"/>
  <c r="S524" i="34"/>
  <c r="T524" i="34"/>
  <c r="U524" i="34"/>
  <c r="Y524" i="34"/>
  <c r="Z524" i="34"/>
  <c r="N525" i="34"/>
  <c r="S525" i="34"/>
  <c r="T525" i="34"/>
  <c r="U525" i="34"/>
  <c r="Y525" i="34"/>
  <c r="Z525" i="34"/>
  <c r="N526" i="34"/>
  <c r="S526" i="34"/>
  <c r="T526" i="34"/>
  <c r="U526" i="34"/>
  <c r="Y526" i="34"/>
  <c r="Z526" i="34"/>
  <c r="N527" i="34"/>
  <c r="S527" i="34"/>
  <c r="T527" i="34"/>
  <c r="U527" i="34"/>
  <c r="Y527" i="34"/>
  <c r="Z527" i="34"/>
  <c r="N528" i="34"/>
  <c r="S528" i="34"/>
  <c r="T528" i="34"/>
  <c r="U528" i="34"/>
  <c r="Y528" i="34"/>
  <c r="Z528" i="34"/>
  <c r="N529" i="34"/>
  <c r="S529" i="34"/>
  <c r="T529" i="34"/>
  <c r="U529" i="34"/>
  <c r="Y529" i="34"/>
  <c r="Z529" i="34"/>
  <c r="N530" i="34"/>
  <c r="S530" i="34"/>
  <c r="T530" i="34"/>
  <c r="U530" i="34"/>
  <c r="Y530" i="34"/>
  <c r="Z530" i="34"/>
  <c r="N531" i="34"/>
  <c r="S531" i="34"/>
  <c r="T531" i="34"/>
  <c r="U531" i="34"/>
  <c r="Y531" i="34"/>
  <c r="Z531" i="34"/>
  <c r="N532" i="34"/>
  <c r="S532" i="34"/>
  <c r="T532" i="34"/>
  <c r="U532" i="34"/>
  <c r="Y532" i="34"/>
  <c r="Z532" i="34"/>
  <c r="N533" i="34"/>
  <c r="S533" i="34"/>
  <c r="T533" i="34"/>
  <c r="U533" i="34"/>
  <c r="Y533" i="34"/>
  <c r="Z533" i="34"/>
  <c r="N534" i="34"/>
  <c r="S534" i="34"/>
  <c r="T534" i="34"/>
  <c r="U534" i="34"/>
  <c r="Y534" i="34"/>
  <c r="Z534" i="34"/>
  <c r="N535" i="34"/>
  <c r="S535" i="34"/>
  <c r="T535" i="34"/>
  <c r="U535" i="34"/>
  <c r="Y535" i="34"/>
  <c r="Z535" i="34"/>
  <c r="N536" i="34"/>
  <c r="S536" i="34"/>
  <c r="T536" i="34"/>
  <c r="U536" i="34"/>
  <c r="Y536" i="34"/>
  <c r="Z536" i="34"/>
  <c r="N537" i="34"/>
  <c r="S537" i="34"/>
  <c r="T537" i="34"/>
  <c r="U537" i="34"/>
  <c r="Y537" i="34"/>
  <c r="Z537" i="34"/>
  <c r="N538" i="34"/>
  <c r="S538" i="34"/>
  <c r="T538" i="34"/>
  <c r="U538" i="34"/>
  <c r="Y538" i="34"/>
  <c r="Z538" i="34"/>
  <c r="N539" i="34"/>
  <c r="S539" i="34"/>
  <c r="T539" i="34"/>
  <c r="U539" i="34"/>
  <c r="Y539" i="34"/>
  <c r="Z539" i="34"/>
  <c r="N540" i="34"/>
  <c r="S540" i="34"/>
  <c r="T540" i="34"/>
  <c r="U540" i="34"/>
  <c r="Y540" i="34"/>
  <c r="Z540" i="34"/>
  <c r="N541" i="34"/>
  <c r="S541" i="34"/>
  <c r="T541" i="34"/>
  <c r="U541" i="34"/>
  <c r="Y541" i="34"/>
  <c r="Z541" i="34"/>
  <c r="N542" i="34"/>
  <c r="S542" i="34"/>
  <c r="T542" i="34"/>
  <c r="U542" i="34"/>
  <c r="Y542" i="34"/>
  <c r="Z542" i="34"/>
  <c r="N543" i="34"/>
  <c r="S543" i="34"/>
  <c r="T543" i="34"/>
  <c r="U543" i="34"/>
  <c r="Y543" i="34"/>
  <c r="Z543" i="34"/>
  <c r="N544" i="34"/>
  <c r="S544" i="34"/>
  <c r="T544" i="34"/>
  <c r="U544" i="34"/>
  <c r="Y544" i="34"/>
  <c r="Z544" i="34"/>
  <c r="N545" i="34"/>
  <c r="S545" i="34"/>
  <c r="T545" i="34"/>
  <c r="U545" i="34"/>
  <c r="Y545" i="34"/>
  <c r="Z545" i="34"/>
  <c r="N546" i="34"/>
  <c r="S546" i="34"/>
  <c r="T546" i="34"/>
  <c r="U546" i="34"/>
  <c r="Y546" i="34"/>
  <c r="Z546" i="34"/>
  <c r="N547" i="34"/>
  <c r="S547" i="34"/>
  <c r="T547" i="34"/>
  <c r="U547" i="34"/>
  <c r="Y547" i="34"/>
  <c r="Z547" i="34"/>
  <c r="N548" i="34"/>
  <c r="S548" i="34"/>
  <c r="T548" i="34"/>
  <c r="U548" i="34"/>
  <c r="Y548" i="34"/>
  <c r="Z548" i="34"/>
  <c r="N549" i="34"/>
  <c r="S549" i="34"/>
  <c r="T549" i="34"/>
  <c r="U549" i="34"/>
  <c r="Y549" i="34"/>
  <c r="Z549" i="34"/>
  <c r="N550" i="34"/>
  <c r="S550" i="34"/>
  <c r="T550" i="34"/>
  <c r="U550" i="34"/>
  <c r="Y550" i="34"/>
  <c r="Z550" i="34"/>
  <c r="N551" i="34"/>
  <c r="S551" i="34"/>
  <c r="T551" i="34"/>
  <c r="U551" i="34"/>
  <c r="Y551" i="34"/>
  <c r="Z551" i="34"/>
  <c r="N552" i="34"/>
  <c r="S552" i="34"/>
  <c r="T552" i="34"/>
  <c r="U552" i="34"/>
  <c r="Y552" i="34"/>
  <c r="Z552" i="34"/>
  <c r="N553" i="34"/>
  <c r="S553" i="34"/>
  <c r="T553" i="34"/>
  <c r="U553" i="34"/>
  <c r="Y553" i="34"/>
  <c r="Z553" i="34"/>
  <c r="N554" i="34"/>
  <c r="S554" i="34"/>
  <c r="T554" i="34"/>
  <c r="U554" i="34"/>
  <c r="Y554" i="34"/>
  <c r="Z554" i="34"/>
  <c r="N555" i="34"/>
  <c r="S555" i="34"/>
  <c r="T555" i="34"/>
  <c r="U555" i="34"/>
  <c r="Y555" i="34"/>
  <c r="Z555" i="34"/>
  <c r="N556" i="34"/>
  <c r="S556" i="34"/>
  <c r="T556" i="34"/>
  <c r="U556" i="34"/>
  <c r="Y556" i="34"/>
  <c r="Z556" i="34"/>
  <c r="N557" i="34"/>
  <c r="S557" i="34"/>
  <c r="T557" i="34"/>
  <c r="U557" i="34"/>
  <c r="Y557" i="34"/>
  <c r="Z557" i="34"/>
  <c r="N558" i="34"/>
  <c r="S558" i="34"/>
  <c r="T558" i="34"/>
  <c r="U558" i="34"/>
  <c r="Y558" i="34"/>
  <c r="Z558" i="34"/>
  <c r="N559" i="34"/>
  <c r="S559" i="34"/>
  <c r="T559" i="34"/>
  <c r="U559" i="34"/>
  <c r="Y559" i="34"/>
  <c r="Z559" i="34"/>
  <c r="N560" i="34"/>
  <c r="S560" i="34"/>
  <c r="T560" i="34"/>
  <c r="U560" i="34"/>
  <c r="Y560" i="34"/>
  <c r="Z560" i="34"/>
  <c r="N561" i="34"/>
  <c r="S561" i="34"/>
  <c r="T561" i="34"/>
  <c r="U561" i="34"/>
  <c r="Y561" i="34"/>
  <c r="Z561" i="34"/>
  <c r="N562" i="34"/>
  <c r="S562" i="34"/>
  <c r="T562" i="34"/>
  <c r="U562" i="34"/>
  <c r="Y562" i="34"/>
  <c r="Z562" i="34"/>
  <c r="N563" i="34"/>
  <c r="S563" i="34"/>
  <c r="T563" i="34"/>
  <c r="U563" i="34"/>
  <c r="Y563" i="34"/>
  <c r="Z563" i="34"/>
  <c r="N564" i="34"/>
  <c r="S564" i="34"/>
  <c r="T564" i="34"/>
  <c r="U564" i="34"/>
  <c r="Y564" i="34"/>
  <c r="Z564" i="34"/>
  <c r="N565" i="34"/>
  <c r="S565" i="34"/>
  <c r="T565" i="34"/>
  <c r="U565" i="34"/>
  <c r="Y565" i="34"/>
  <c r="Z565" i="34"/>
  <c r="N566" i="34"/>
  <c r="S566" i="34"/>
  <c r="T566" i="34"/>
  <c r="U566" i="34"/>
  <c r="Y566" i="34"/>
  <c r="Z566" i="34"/>
  <c r="N567" i="34"/>
  <c r="S567" i="34"/>
  <c r="T567" i="34"/>
  <c r="U567" i="34"/>
  <c r="Y567" i="34"/>
  <c r="Z567" i="34"/>
  <c r="N568" i="34"/>
  <c r="S568" i="34"/>
  <c r="T568" i="34"/>
  <c r="U568" i="34"/>
  <c r="Y568" i="34"/>
  <c r="Z568" i="34"/>
  <c r="N569" i="34"/>
  <c r="S569" i="34"/>
  <c r="T569" i="34"/>
  <c r="U569" i="34"/>
  <c r="Y569" i="34"/>
  <c r="Z569" i="34"/>
  <c r="N570" i="34"/>
  <c r="S570" i="34"/>
  <c r="T570" i="34"/>
  <c r="U570" i="34"/>
  <c r="Y570" i="34"/>
  <c r="Z570" i="34"/>
  <c r="N571" i="34"/>
  <c r="S571" i="34"/>
  <c r="T571" i="34"/>
  <c r="U571" i="34"/>
  <c r="Y571" i="34"/>
  <c r="Z571" i="34"/>
  <c r="N572" i="34"/>
  <c r="S572" i="34"/>
  <c r="T572" i="34"/>
  <c r="U572" i="34"/>
  <c r="Y572" i="34"/>
  <c r="Z572" i="34"/>
  <c r="N573" i="34"/>
  <c r="S573" i="34"/>
  <c r="T573" i="34"/>
  <c r="U573" i="34"/>
  <c r="Y573" i="34"/>
  <c r="Z573" i="34"/>
  <c r="N574" i="34"/>
  <c r="S574" i="34"/>
  <c r="T574" i="34"/>
  <c r="U574" i="34"/>
  <c r="Y574" i="34"/>
  <c r="Z574" i="34"/>
  <c r="N575" i="34"/>
  <c r="S575" i="34"/>
  <c r="T575" i="34"/>
  <c r="U575" i="34"/>
  <c r="Y575" i="34"/>
  <c r="Z575" i="34"/>
  <c r="N576" i="34"/>
  <c r="S576" i="34"/>
  <c r="T576" i="34"/>
  <c r="U576" i="34"/>
  <c r="Y576" i="34"/>
  <c r="Z576" i="34"/>
  <c r="N577" i="34"/>
  <c r="S577" i="34"/>
  <c r="T577" i="34"/>
  <c r="U577" i="34"/>
  <c r="Y577" i="34"/>
  <c r="Z577" i="34"/>
  <c r="N578" i="34"/>
  <c r="S578" i="34"/>
  <c r="T578" i="34"/>
  <c r="U578" i="34"/>
  <c r="Y578" i="34"/>
  <c r="Z578" i="34"/>
  <c r="N579" i="34"/>
  <c r="S579" i="34"/>
  <c r="T579" i="34"/>
  <c r="U579" i="34"/>
  <c r="Y579" i="34"/>
  <c r="Z579" i="34"/>
  <c r="N580" i="34"/>
  <c r="S580" i="34"/>
  <c r="T580" i="34"/>
  <c r="U580" i="34"/>
  <c r="Y580" i="34"/>
  <c r="Z580" i="34"/>
  <c r="N581" i="34"/>
  <c r="S581" i="34"/>
  <c r="T581" i="34"/>
  <c r="U581" i="34"/>
  <c r="Y581" i="34"/>
  <c r="Z581" i="34"/>
  <c r="N582" i="34"/>
  <c r="S582" i="34"/>
  <c r="T582" i="34"/>
  <c r="U582" i="34"/>
  <c r="Y582" i="34"/>
  <c r="Z582" i="34"/>
  <c r="N583" i="34"/>
  <c r="S583" i="34"/>
  <c r="T583" i="34"/>
  <c r="U583" i="34"/>
  <c r="Y583" i="34"/>
  <c r="Z583" i="34"/>
  <c r="N584" i="34"/>
  <c r="S584" i="34"/>
  <c r="T584" i="34"/>
  <c r="U584" i="34"/>
  <c r="Y584" i="34"/>
  <c r="Z584" i="34"/>
  <c r="N585" i="34"/>
  <c r="S585" i="34"/>
  <c r="T585" i="34"/>
  <c r="U585" i="34"/>
  <c r="Y585" i="34"/>
  <c r="Z585" i="34"/>
  <c r="N586" i="34"/>
  <c r="S586" i="34"/>
  <c r="T586" i="34"/>
  <c r="U586" i="34"/>
  <c r="Y586" i="34"/>
  <c r="Z586" i="34"/>
  <c r="N587" i="34"/>
  <c r="S587" i="34"/>
  <c r="T587" i="34"/>
  <c r="U587" i="34"/>
  <c r="Y587" i="34"/>
  <c r="Z587" i="34"/>
  <c r="N588" i="34"/>
  <c r="S588" i="34"/>
  <c r="T588" i="34"/>
  <c r="U588" i="34"/>
  <c r="Y588" i="34"/>
  <c r="Z588" i="34"/>
  <c r="N589" i="34"/>
  <c r="S589" i="34"/>
  <c r="T589" i="34"/>
  <c r="U589" i="34"/>
  <c r="Y589" i="34"/>
  <c r="Z589" i="34"/>
  <c r="N590" i="34"/>
  <c r="S590" i="34"/>
  <c r="T590" i="34"/>
  <c r="U590" i="34"/>
  <c r="Y590" i="34"/>
  <c r="Z590" i="34"/>
  <c r="N591" i="34"/>
  <c r="S591" i="34"/>
  <c r="T591" i="34"/>
  <c r="U591" i="34"/>
  <c r="Y591" i="34"/>
  <c r="Z591" i="34"/>
  <c r="N592" i="34"/>
  <c r="S592" i="34"/>
  <c r="T592" i="34"/>
  <c r="U592" i="34"/>
  <c r="Y592" i="34"/>
  <c r="Z592" i="34"/>
  <c r="N593" i="34"/>
  <c r="S593" i="34"/>
  <c r="T593" i="34"/>
  <c r="U593" i="34"/>
  <c r="Y593" i="34"/>
  <c r="Z593" i="34"/>
  <c r="N594" i="34"/>
  <c r="S594" i="34"/>
  <c r="T594" i="34"/>
  <c r="U594" i="34"/>
  <c r="Y594" i="34"/>
  <c r="Z594" i="34"/>
  <c r="N595" i="34"/>
  <c r="S595" i="34"/>
  <c r="T595" i="34"/>
  <c r="U595" i="34"/>
  <c r="Y595" i="34"/>
  <c r="Z595" i="34"/>
  <c r="N596" i="34"/>
  <c r="S596" i="34"/>
  <c r="T596" i="34"/>
  <c r="U596" i="34"/>
  <c r="Y596" i="34"/>
  <c r="Z596" i="34"/>
  <c r="N597" i="34"/>
  <c r="S597" i="34"/>
  <c r="T597" i="34"/>
  <c r="U597" i="34"/>
  <c r="Y597" i="34"/>
  <c r="Z597" i="34"/>
  <c r="N598" i="34"/>
  <c r="S598" i="34"/>
  <c r="T598" i="34"/>
  <c r="U598" i="34"/>
  <c r="Y598" i="34"/>
  <c r="Z598" i="34"/>
  <c r="N599" i="34"/>
  <c r="S599" i="34"/>
  <c r="T599" i="34"/>
  <c r="U599" i="34"/>
  <c r="Y599" i="34"/>
  <c r="Z599" i="34"/>
  <c r="N600" i="34"/>
  <c r="S600" i="34"/>
  <c r="T600" i="34"/>
  <c r="U600" i="34"/>
  <c r="Y600" i="34"/>
  <c r="Z600" i="34"/>
  <c r="N601" i="34"/>
  <c r="S601" i="34"/>
  <c r="T601" i="34"/>
  <c r="U601" i="34"/>
  <c r="Y601" i="34"/>
  <c r="Z601" i="34"/>
  <c r="N602" i="34"/>
  <c r="S602" i="34"/>
  <c r="T602" i="34"/>
  <c r="U602" i="34"/>
  <c r="Y602" i="34"/>
  <c r="Z602" i="34"/>
  <c r="N603" i="34"/>
  <c r="S603" i="34"/>
  <c r="T603" i="34"/>
  <c r="U603" i="34"/>
  <c r="Y603" i="34"/>
  <c r="Z603" i="34"/>
  <c r="N604" i="34"/>
  <c r="S604" i="34"/>
  <c r="T604" i="34"/>
  <c r="U604" i="34"/>
  <c r="Y604" i="34"/>
  <c r="Z604" i="34"/>
  <c r="N605" i="34"/>
  <c r="S605" i="34"/>
  <c r="T605" i="34"/>
  <c r="U605" i="34"/>
  <c r="Y605" i="34"/>
  <c r="Z605" i="34"/>
  <c r="N606" i="34"/>
  <c r="S606" i="34"/>
  <c r="T606" i="34"/>
  <c r="U606" i="34"/>
  <c r="Y606" i="34"/>
  <c r="Z606" i="34"/>
  <c r="N607" i="34"/>
  <c r="S607" i="34"/>
  <c r="T607" i="34"/>
  <c r="U607" i="34"/>
  <c r="Y607" i="34"/>
  <c r="Z607" i="34"/>
  <c r="N608" i="34"/>
  <c r="S608" i="34"/>
  <c r="T608" i="34"/>
  <c r="U608" i="34"/>
  <c r="Y608" i="34"/>
  <c r="Z608" i="34"/>
  <c r="N609" i="34"/>
  <c r="S609" i="34"/>
  <c r="T609" i="34"/>
  <c r="U609" i="34"/>
  <c r="Y609" i="34"/>
  <c r="Z609" i="34"/>
  <c r="N610" i="34"/>
  <c r="S610" i="34"/>
  <c r="T610" i="34"/>
  <c r="U610" i="34"/>
  <c r="Y610" i="34"/>
  <c r="Z610" i="34"/>
  <c r="N611" i="34"/>
  <c r="S611" i="34"/>
  <c r="T611" i="34"/>
  <c r="U611" i="34"/>
  <c r="Y611" i="34"/>
  <c r="Z611" i="34"/>
  <c r="N612" i="34"/>
  <c r="S612" i="34"/>
  <c r="T612" i="34"/>
  <c r="U612" i="34"/>
  <c r="Y612" i="34"/>
  <c r="Z612" i="34"/>
  <c r="N613" i="34"/>
  <c r="S613" i="34"/>
  <c r="T613" i="34"/>
  <c r="U613" i="34"/>
  <c r="Y613" i="34"/>
  <c r="Z613" i="34"/>
  <c r="N614" i="34"/>
  <c r="S614" i="34"/>
  <c r="T614" i="34"/>
  <c r="U614" i="34"/>
  <c r="Y614" i="34"/>
  <c r="Z614" i="34"/>
  <c r="N615" i="34"/>
  <c r="S615" i="34"/>
  <c r="T615" i="34"/>
  <c r="U615" i="34"/>
  <c r="Y615" i="34"/>
  <c r="Z615" i="34"/>
  <c r="N616" i="34"/>
  <c r="S616" i="34"/>
  <c r="T616" i="34"/>
  <c r="U616" i="34"/>
  <c r="Y616" i="34"/>
  <c r="Z616" i="34"/>
  <c r="N617" i="34"/>
  <c r="S617" i="34"/>
  <c r="T617" i="34"/>
  <c r="U617" i="34"/>
  <c r="Y617" i="34"/>
  <c r="Z617" i="34"/>
  <c r="N618" i="34"/>
  <c r="S618" i="34"/>
  <c r="T618" i="34"/>
  <c r="U618" i="34"/>
  <c r="Y618" i="34"/>
  <c r="Z618" i="34"/>
  <c r="N619" i="34"/>
  <c r="S619" i="34"/>
  <c r="T619" i="34"/>
  <c r="U619" i="34"/>
  <c r="Y619" i="34"/>
  <c r="Z619" i="34"/>
  <c r="N620" i="34"/>
  <c r="S620" i="34"/>
  <c r="T620" i="34"/>
  <c r="U620" i="34"/>
  <c r="Y620" i="34"/>
  <c r="Z620" i="34"/>
  <c r="N621" i="34"/>
  <c r="S621" i="34"/>
  <c r="T621" i="34"/>
  <c r="U621" i="34"/>
  <c r="Y621" i="34"/>
  <c r="Z621" i="34"/>
  <c r="N622" i="34"/>
  <c r="S622" i="34"/>
  <c r="T622" i="34"/>
  <c r="U622" i="34"/>
  <c r="Y622" i="34"/>
  <c r="Z622" i="34"/>
  <c r="N623" i="34"/>
  <c r="S623" i="34"/>
  <c r="T623" i="34"/>
  <c r="U623" i="34"/>
  <c r="Y623" i="34"/>
  <c r="Z623" i="34"/>
  <c r="N624" i="34"/>
  <c r="S624" i="34"/>
  <c r="T624" i="34"/>
  <c r="U624" i="34"/>
  <c r="Y624" i="34"/>
  <c r="Z624" i="34"/>
  <c r="N625" i="34"/>
  <c r="S625" i="34"/>
  <c r="T625" i="34"/>
  <c r="U625" i="34"/>
  <c r="Y625" i="34"/>
  <c r="Z625" i="34"/>
  <c r="N626" i="34"/>
  <c r="S626" i="34"/>
  <c r="T626" i="34"/>
  <c r="U626" i="34"/>
  <c r="Y626" i="34"/>
  <c r="Z626" i="34"/>
  <c r="N627" i="34"/>
  <c r="S627" i="34"/>
  <c r="T627" i="34"/>
  <c r="U627" i="34"/>
  <c r="Y627" i="34"/>
  <c r="Z627" i="34"/>
  <c r="N628" i="34"/>
  <c r="S628" i="34"/>
  <c r="T628" i="34"/>
  <c r="U628" i="34"/>
  <c r="Y628" i="34"/>
  <c r="Z628" i="34"/>
  <c r="N629" i="34"/>
  <c r="S629" i="34"/>
  <c r="T629" i="34"/>
  <c r="U629" i="34"/>
  <c r="Y629" i="34"/>
  <c r="Z629" i="34"/>
  <c r="N630" i="34"/>
  <c r="S630" i="34"/>
  <c r="T630" i="34"/>
  <c r="U630" i="34"/>
  <c r="Y630" i="34"/>
  <c r="Z630" i="34"/>
  <c r="N631" i="34"/>
  <c r="S631" i="34"/>
  <c r="T631" i="34"/>
  <c r="U631" i="34"/>
  <c r="Y631" i="34"/>
  <c r="Z631" i="34"/>
  <c r="N632" i="34"/>
  <c r="S632" i="34"/>
  <c r="T632" i="34"/>
  <c r="U632" i="34"/>
  <c r="Y632" i="34"/>
  <c r="Z632" i="34"/>
  <c r="N633" i="34"/>
  <c r="S633" i="34"/>
  <c r="T633" i="34"/>
  <c r="U633" i="34"/>
  <c r="Y633" i="34"/>
  <c r="Z633" i="34"/>
  <c r="N634" i="34"/>
  <c r="S634" i="34"/>
  <c r="T634" i="34"/>
  <c r="U634" i="34"/>
  <c r="Y634" i="34"/>
  <c r="Z634" i="34"/>
  <c r="N635" i="34"/>
  <c r="S635" i="34"/>
  <c r="T635" i="34"/>
  <c r="U635" i="34"/>
  <c r="Y635" i="34"/>
  <c r="Z635" i="34"/>
  <c r="N636" i="34"/>
  <c r="S636" i="34"/>
  <c r="T636" i="34"/>
  <c r="U636" i="34"/>
  <c r="Y636" i="34"/>
  <c r="Z636" i="34"/>
  <c r="N637" i="34"/>
  <c r="S637" i="34"/>
  <c r="T637" i="34"/>
  <c r="U637" i="34"/>
  <c r="Y637" i="34"/>
  <c r="Z637" i="34"/>
  <c r="N638" i="34"/>
  <c r="S638" i="34"/>
  <c r="T638" i="34"/>
  <c r="U638" i="34"/>
  <c r="Y638" i="34"/>
  <c r="Z638" i="34"/>
  <c r="N639" i="34"/>
  <c r="S639" i="34"/>
  <c r="T639" i="34"/>
  <c r="U639" i="34"/>
  <c r="Y639" i="34"/>
  <c r="Z639" i="34"/>
  <c r="N640" i="34"/>
  <c r="S640" i="34"/>
  <c r="T640" i="34"/>
  <c r="U640" i="34"/>
  <c r="Y640" i="34"/>
  <c r="Z640" i="34"/>
  <c r="N641" i="34"/>
  <c r="S641" i="34"/>
  <c r="T641" i="34"/>
  <c r="U641" i="34"/>
  <c r="Y641" i="34"/>
  <c r="Z641" i="34"/>
  <c r="N642" i="34"/>
  <c r="S642" i="34"/>
  <c r="T642" i="34"/>
  <c r="U642" i="34"/>
  <c r="Y642" i="34"/>
  <c r="Z642" i="34"/>
  <c r="N643" i="34"/>
  <c r="S643" i="34"/>
  <c r="T643" i="34"/>
  <c r="U643" i="34"/>
  <c r="Y643" i="34"/>
  <c r="Z643" i="34"/>
  <c r="N644" i="34"/>
  <c r="S644" i="34"/>
  <c r="T644" i="34"/>
  <c r="U644" i="34"/>
  <c r="Y644" i="34"/>
  <c r="Z644" i="34"/>
  <c r="N645" i="34"/>
  <c r="S645" i="34"/>
  <c r="T645" i="34"/>
  <c r="U645" i="34"/>
  <c r="Y645" i="34"/>
  <c r="Z645" i="34"/>
  <c r="N646" i="34"/>
  <c r="S646" i="34"/>
  <c r="T646" i="34"/>
  <c r="U646" i="34"/>
  <c r="Y646" i="34"/>
  <c r="Z646" i="34"/>
  <c r="N647" i="34"/>
  <c r="S647" i="34"/>
  <c r="T647" i="34"/>
  <c r="U647" i="34"/>
  <c r="Y647" i="34"/>
  <c r="Z647" i="34"/>
  <c r="N648" i="34"/>
  <c r="S648" i="34"/>
  <c r="T648" i="34"/>
  <c r="U648" i="34"/>
  <c r="Y648" i="34"/>
  <c r="Z648" i="34"/>
  <c r="N649" i="34"/>
  <c r="S649" i="34"/>
  <c r="T649" i="34"/>
  <c r="U649" i="34"/>
  <c r="Y649" i="34"/>
  <c r="Z649" i="34"/>
  <c r="N650" i="34"/>
  <c r="S650" i="34"/>
  <c r="T650" i="34"/>
  <c r="U650" i="34"/>
  <c r="Y650" i="34"/>
  <c r="Z650" i="34"/>
  <c r="N651" i="34"/>
  <c r="S651" i="34"/>
  <c r="T651" i="34"/>
  <c r="U651" i="34"/>
  <c r="Y651" i="34"/>
  <c r="Z651" i="34"/>
  <c r="N652" i="34"/>
  <c r="S652" i="34"/>
  <c r="T652" i="34"/>
  <c r="U652" i="34"/>
  <c r="Y652" i="34"/>
  <c r="Z652" i="34"/>
  <c r="N653" i="34"/>
  <c r="S653" i="34"/>
  <c r="T653" i="34"/>
  <c r="U653" i="34"/>
  <c r="Y653" i="34"/>
  <c r="Z653" i="34"/>
  <c r="N654" i="34"/>
  <c r="S654" i="34"/>
  <c r="T654" i="34"/>
  <c r="U654" i="34"/>
  <c r="Y654" i="34"/>
  <c r="Z654" i="34"/>
  <c r="N655" i="34"/>
  <c r="S655" i="34"/>
  <c r="T655" i="34"/>
  <c r="U655" i="34"/>
  <c r="Y655" i="34"/>
  <c r="Z655" i="34"/>
  <c r="N656" i="34"/>
  <c r="S656" i="34"/>
  <c r="T656" i="34"/>
  <c r="U656" i="34"/>
  <c r="Y656" i="34"/>
  <c r="Z656" i="34"/>
  <c r="N657" i="34"/>
  <c r="S657" i="34"/>
  <c r="T657" i="34"/>
  <c r="U657" i="34"/>
  <c r="Y657" i="34"/>
  <c r="Z657" i="34"/>
  <c r="N658" i="34"/>
  <c r="S658" i="34"/>
  <c r="T658" i="34"/>
  <c r="U658" i="34"/>
  <c r="Y658" i="34"/>
  <c r="Z658" i="34"/>
  <c r="N659" i="34"/>
  <c r="S659" i="34"/>
  <c r="T659" i="34"/>
  <c r="U659" i="34"/>
  <c r="Y659" i="34"/>
  <c r="Z659" i="34"/>
  <c r="N660" i="34"/>
  <c r="S660" i="34"/>
  <c r="T660" i="34"/>
  <c r="U660" i="34"/>
  <c r="Y660" i="34"/>
  <c r="Z660" i="34"/>
  <c r="N661" i="34"/>
  <c r="S661" i="34"/>
  <c r="T661" i="34"/>
  <c r="U661" i="34"/>
  <c r="Y661" i="34"/>
  <c r="Z661" i="34"/>
  <c r="N662" i="34"/>
  <c r="S662" i="34"/>
  <c r="T662" i="34"/>
  <c r="U662" i="34"/>
  <c r="Y662" i="34"/>
  <c r="Z662" i="34"/>
  <c r="N663" i="34"/>
  <c r="S663" i="34"/>
  <c r="T663" i="34"/>
  <c r="U663" i="34"/>
  <c r="Y663" i="34"/>
  <c r="Z663" i="34"/>
  <c r="N664" i="34"/>
  <c r="S664" i="34"/>
  <c r="T664" i="34"/>
  <c r="U664" i="34"/>
  <c r="Y664" i="34"/>
  <c r="Z664" i="34"/>
  <c r="N665" i="34"/>
  <c r="S665" i="34"/>
  <c r="T665" i="34"/>
  <c r="U665" i="34"/>
  <c r="Y665" i="34"/>
  <c r="Z665" i="34"/>
  <c r="N666" i="34"/>
  <c r="S666" i="34"/>
  <c r="T666" i="34"/>
  <c r="U666" i="34"/>
  <c r="Y666" i="34"/>
  <c r="Z666" i="34"/>
  <c r="N667" i="34"/>
  <c r="S667" i="34"/>
  <c r="T667" i="34"/>
  <c r="U667" i="34"/>
  <c r="Y667" i="34"/>
  <c r="Z667" i="34"/>
  <c r="N668" i="34"/>
  <c r="S668" i="34"/>
  <c r="T668" i="34"/>
  <c r="U668" i="34"/>
  <c r="Y668" i="34"/>
  <c r="Z668" i="34"/>
  <c r="N669" i="34"/>
  <c r="S669" i="34"/>
  <c r="T669" i="34"/>
  <c r="U669" i="34"/>
  <c r="Y669" i="34"/>
  <c r="Z669" i="34"/>
  <c r="N670" i="34"/>
  <c r="S670" i="34"/>
  <c r="T670" i="34"/>
  <c r="U670" i="34"/>
  <c r="Y670" i="34"/>
  <c r="Z670" i="34"/>
  <c r="N671" i="34"/>
  <c r="S671" i="34"/>
  <c r="T671" i="34"/>
  <c r="U671" i="34"/>
  <c r="Y671" i="34"/>
  <c r="Z671" i="34"/>
  <c r="N672" i="34"/>
  <c r="S672" i="34"/>
  <c r="T672" i="34"/>
  <c r="U672" i="34"/>
  <c r="Y672" i="34"/>
  <c r="Z672" i="34"/>
  <c r="N673" i="34"/>
  <c r="Y673" i="34"/>
  <c r="Z673" i="34"/>
  <c r="N674" i="34"/>
  <c r="Y674" i="34"/>
  <c r="Z674" i="34"/>
  <c r="N675" i="34"/>
  <c r="Y675" i="34"/>
  <c r="Z675" i="34"/>
  <c r="N676" i="34"/>
  <c r="Y676" i="34"/>
  <c r="Z676" i="34"/>
  <c r="N677" i="34"/>
  <c r="Y677" i="34"/>
  <c r="Z677" i="34"/>
  <c r="N678" i="34"/>
  <c r="Y678" i="34"/>
  <c r="Z678" i="34"/>
  <c r="N679" i="34"/>
  <c r="Y679" i="34"/>
  <c r="Z679" i="34"/>
  <c r="N680" i="34"/>
  <c r="Y680" i="34"/>
  <c r="Z680" i="34"/>
  <c r="N681" i="34"/>
  <c r="Y681" i="34"/>
  <c r="Z681" i="34"/>
  <c r="N682" i="34"/>
  <c r="Y682" i="34"/>
  <c r="Z682" i="34"/>
  <c r="N683" i="34"/>
  <c r="Y683" i="34"/>
  <c r="Z683" i="34"/>
  <c r="N684" i="34"/>
  <c r="Y684" i="34"/>
  <c r="Z684" i="34"/>
  <c r="N685" i="34"/>
  <c r="Y685" i="34"/>
  <c r="Z685" i="34"/>
  <c r="N686" i="34"/>
  <c r="Y686" i="34"/>
  <c r="Z686" i="34"/>
  <c r="N687" i="34"/>
  <c r="Y687" i="34"/>
  <c r="Z687" i="34"/>
  <c r="N688" i="34"/>
  <c r="Y688" i="34"/>
  <c r="Z688" i="34"/>
  <c r="N689" i="34"/>
  <c r="Y689" i="34"/>
  <c r="Z689" i="34"/>
  <c r="N690" i="34"/>
  <c r="Y690" i="34"/>
  <c r="Z690" i="34"/>
  <c r="N691" i="34"/>
  <c r="Y691" i="34"/>
  <c r="Z691" i="34"/>
  <c r="N692" i="34"/>
  <c r="Y692" i="34"/>
  <c r="Z692" i="34"/>
  <c r="N693" i="34"/>
  <c r="Y693" i="34"/>
  <c r="Z693" i="34"/>
  <c r="N694" i="34"/>
  <c r="Y694" i="34"/>
  <c r="Z694" i="34"/>
  <c r="N695" i="34"/>
  <c r="Y695" i="34"/>
  <c r="Z695" i="34"/>
  <c r="N696" i="34"/>
  <c r="Y696" i="34"/>
  <c r="Z696" i="34"/>
  <c r="N697" i="34"/>
  <c r="Y697" i="34"/>
  <c r="Z697" i="34"/>
  <c r="N698" i="34"/>
  <c r="Y698" i="34"/>
  <c r="Z698" i="34"/>
  <c r="N699" i="34"/>
  <c r="Y699" i="34"/>
  <c r="Z699" i="34"/>
  <c r="N700" i="34"/>
  <c r="Y700" i="34"/>
  <c r="Z700" i="34"/>
  <c r="N701" i="34"/>
  <c r="Y701" i="34"/>
  <c r="Z701" i="34"/>
  <c r="N702" i="34"/>
  <c r="Y702" i="34"/>
  <c r="Z702" i="34"/>
  <c r="N703" i="34"/>
  <c r="Y703" i="34"/>
  <c r="Z703" i="34"/>
  <c r="N704" i="34"/>
  <c r="Y704" i="34"/>
  <c r="Z704" i="34"/>
  <c r="N705" i="34"/>
  <c r="Y705" i="34"/>
  <c r="Z705" i="34"/>
  <c r="N706" i="34"/>
  <c r="Y706" i="34"/>
  <c r="Z706" i="34"/>
  <c r="N707" i="34"/>
  <c r="Y707" i="34"/>
  <c r="Z707" i="34"/>
  <c r="N708" i="34"/>
  <c r="Y708" i="34"/>
  <c r="Z708" i="34"/>
  <c r="N709" i="34"/>
  <c r="Y709" i="34"/>
  <c r="Z709" i="34"/>
  <c r="N710" i="34"/>
  <c r="Y710" i="34"/>
  <c r="Z710" i="34"/>
  <c r="N711" i="34"/>
  <c r="Y711" i="34"/>
  <c r="Z711" i="34"/>
  <c r="N712" i="34"/>
  <c r="Y712" i="34"/>
  <c r="Z712" i="34"/>
  <c r="N713" i="34"/>
  <c r="Y713" i="34"/>
  <c r="Z713" i="34"/>
  <c r="N714" i="34"/>
  <c r="Y714" i="34"/>
  <c r="Z714" i="34"/>
  <c r="N715" i="34"/>
  <c r="Y715" i="34"/>
  <c r="Z715" i="34"/>
  <c r="N716" i="34"/>
  <c r="Y716" i="34"/>
  <c r="Z716" i="34"/>
  <c r="N717" i="34"/>
  <c r="Y717" i="34"/>
  <c r="Z717" i="34"/>
  <c r="N718" i="34"/>
  <c r="Y718" i="34"/>
  <c r="Z718" i="34"/>
  <c r="N719" i="34"/>
  <c r="Y719" i="34"/>
  <c r="Z719" i="34"/>
  <c r="N720" i="34"/>
  <c r="Y720" i="34"/>
  <c r="Z720" i="34"/>
  <c r="N721" i="34"/>
  <c r="Y721" i="34"/>
  <c r="Z721" i="34"/>
  <c r="N722" i="34"/>
  <c r="Y722" i="34"/>
  <c r="Z722" i="34"/>
  <c r="N723" i="34"/>
  <c r="Y723" i="34"/>
  <c r="Z723" i="34"/>
  <c r="N724" i="34"/>
  <c r="Y724" i="34"/>
  <c r="Z724" i="34"/>
  <c r="N725" i="34"/>
  <c r="Y725" i="34"/>
  <c r="Z725" i="34"/>
  <c r="N726" i="34"/>
  <c r="Y726" i="34"/>
  <c r="Z726" i="34"/>
  <c r="N727" i="34"/>
  <c r="Y727" i="34"/>
  <c r="Z727" i="34"/>
  <c r="N728" i="34"/>
  <c r="Y728" i="34"/>
  <c r="Z728" i="34"/>
  <c r="N729" i="34"/>
  <c r="Y729" i="34"/>
  <c r="Z729" i="34"/>
  <c r="N730" i="34"/>
  <c r="Y730" i="34"/>
  <c r="Z730" i="34"/>
  <c r="N731" i="34"/>
  <c r="Y731" i="34"/>
  <c r="Z731" i="34"/>
  <c r="N732" i="34"/>
  <c r="Y732" i="34"/>
  <c r="Z732" i="34"/>
  <c r="N733" i="34"/>
  <c r="Y733" i="34"/>
  <c r="Z733" i="34"/>
  <c r="N734" i="34"/>
  <c r="Y734" i="34"/>
  <c r="Z734" i="34"/>
  <c r="N735" i="34"/>
  <c r="Y735" i="34"/>
  <c r="Z735" i="34"/>
  <c r="N736" i="34"/>
  <c r="Y736" i="34"/>
  <c r="Z736" i="34"/>
  <c r="N737" i="34"/>
  <c r="Y737" i="34"/>
  <c r="Z737" i="34"/>
  <c r="N738" i="34"/>
  <c r="Y738" i="34"/>
  <c r="Z738" i="34"/>
  <c r="N739" i="34"/>
  <c r="Y739" i="34"/>
  <c r="Z739" i="34"/>
  <c r="N740" i="34"/>
  <c r="Y740" i="34"/>
  <c r="Z740" i="34"/>
  <c r="N741" i="34"/>
  <c r="Y741" i="34"/>
  <c r="Z741" i="34"/>
  <c r="N742" i="34"/>
  <c r="Y742" i="34"/>
  <c r="Z742" i="34"/>
  <c r="N743" i="34"/>
  <c r="Y743" i="34"/>
  <c r="Z743" i="34"/>
  <c r="N744" i="34"/>
  <c r="Y744" i="34"/>
  <c r="Z744" i="34"/>
  <c r="N745" i="34"/>
  <c r="Y745" i="34"/>
  <c r="Z745" i="34"/>
  <c r="N746" i="34"/>
  <c r="Y746" i="34"/>
  <c r="Z746" i="34"/>
  <c r="N747" i="34"/>
  <c r="Y747" i="34"/>
  <c r="Z747" i="34"/>
  <c r="N748" i="34"/>
  <c r="Y748" i="34"/>
  <c r="Z748" i="34"/>
  <c r="N749" i="34"/>
  <c r="Y749" i="34"/>
  <c r="Z749" i="34"/>
  <c r="N750" i="34"/>
  <c r="Y750" i="34"/>
  <c r="Z750" i="34"/>
  <c r="N751" i="34"/>
  <c r="Y751" i="34"/>
  <c r="Z751" i="34"/>
  <c r="N752" i="34"/>
  <c r="Y752" i="34"/>
  <c r="Z752" i="34"/>
  <c r="N753" i="34"/>
  <c r="Y753" i="34"/>
  <c r="Z753" i="34"/>
  <c r="N754" i="34"/>
  <c r="Y754" i="34"/>
  <c r="Z754" i="34"/>
  <c r="N755" i="34"/>
  <c r="Y755" i="34"/>
  <c r="Z755" i="34"/>
  <c r="N756" i="34"/>
  <c r="Y756" i="34"/>
  <c r="Z756" i="34"/>
  <c r="N757" i="34"/>
  <c r="Y757" i="34"/>
  <c r="Z757" i="34"/>
  <c r="N758" i="34"/>
  <c r="Y758" i="34"/>
  <c r="Z758" i="34"/>
  <c r="N759" i="34"/>
  <c r="Y759" i="34"/>
  <c r="Z759" i="34"/>
  <c r="N760" i="34"/>
  <c r="Y760" i="34"/>
  <c r="Z760" i="34"/>
  <c r="N761" i="34"/>
  <c r="Y761" i="34"/>
  <c r="Z761" i="34"/>
  <c r="N762" i="34"/>
  <c r="Y762" i="34"/>
  <c r="Z762" i="34"/>
  <c r="N763" i="34"/>
  <c r="Y763" i="34"/>
  <c r="Z763" i="34"/>
  <c r="N764" i="34"/>
  <c r="Y764" i="34"/>
  <c r="Z764" i="34"/>
  <c r="N765" i="34"/>
  <c r="Y765" i="34"/>
  <c r="Z765" i="34"/>
  <c r="N766" i="34"/>
  <c r="Y766" i="34"/>
  <c r="Z766" i="34"/>
  <c r="N767" i="34"/>
  <c r="Y767" i="34"/>
  <c r="Z767" i="34"/>
  <c r="N768" i="34"/>
  <c r="Y768" i="34"/>
  <c r="Z768" i="34"/>
  <c r="N769" i="34"/>
  <c r="Y769" i="34"/>
  <c r="Z769" i="34"/>
  <c r="N770" i="34"/>
  <c r="Y770" i="34"/>
  <c r="Z770" i="34"/>
  <c r="N771" i="34"/>
  <c r="Y771" i="34"/>
  <c r="Z771" i="34"/>
  <c r="N772" i="34"/>
  <c r="Y772" i="34"/>
  <c r="Z772" i="34"/>
  <c r="N773" i="34"/>
  <c r="Y773" i="34"/>
  <c r="Z773" i="34"/>
  <c r="N774" i="34"/>
  <c r="Y774" i="34"/>
  <c r="Z774" i="34"/>
  <c r="N775" i="34"/>
  <c r="Y775" i="34"/>
  <c r="Z775" i="34"/>
  <c r="N776" i="34"/>
  <c r="Y776" i="34"/>
  <c r="Z776" i="34"/>
  <c r="N777" i="34"/>
  <c r="Y777" i="34"/>
  <c r="Z777" i="34"/>
  <c r="N778" i="34"/>
  <c r="Y778" i="34"/>
  <c r="Z778" i="34"/>
  <c r="N779" i="34"/>
  <c r="Y779" i="34"/>
  <c r="Z779" i="34"/>
  <c r="N780" i="34"/>
  <c r="Y780" i="34"/>
  <c r="Z780" i="34"/>
  <c r="N781" i="34"/>
  <c r="Y781" i="34"/>
  <c r="Z781" i="34"/>
  <c r="N782" i="34"/>
  <c r="Y782" i="34"/>
  <c r="Z782" i="34"/>
  <c r="N783" i="34"/>
  <c r="Y783" i="34"/>
  <c r="Z783" i="34"/>
  <c r="N784" i="34"/>
  <c r="Y784" i="34"/>
  <c r="Z784" i="34"/>
  <c r="N785" i="34"/>
  <c r="Y785" i="34"/>
  <c r="Z785" i="34"/>
  <c r="N786" i="34"/>
  <c r="Y786" i="34"/>
  <c r="Z786" i="34"/>
  <c r="N787" i="34"/>
  <c r="Y787" i="34"/>
  <c r="Z787" i="34"/>
  <c r="N788" i="34"/>
  <c r="Y788" i="34"/>
  <c r="Z788" i="34"/>
  <c r="N789" i="34"/>
  <c r="Y789" i="34"/>
  <c r="Z789" i="34"/>
  <c r="N790" i="34"/>
  <c r="Y790" i="34"/>
  <c r="Z790" i="34"/>
  <c r="N791" i="34"/>
  <c r="Y791" i="34"/>
  <c r="Z791" i="34"/>
  <c r="N792" i="34"/>
  <c r="Y792" i="34"/>
  <c r="Z792" i="34"/>
  <c r="N793" i="34"/>
  <c r="Y793" i="34"/>
  <c r="Z793" i="34"/>
  <c r="N794" i="34"/>
  <c r="Y794" i="34"/>
  <c r="Z794" i="34"/>
  <c r="N795" i="34"/>
  <c r="Y795" i="34"/>
  <c r="Z795" i="34"/>
  <c r="N796" i="34"/>
  <c r="Y796" i="34"/>
  <c r="Z796" i="34"/>
  <c r="N797" i="34"/>
  <c r="Y797" i="34"/>
  <c r="Z797" i="34"/>
  <c r="N798" i="34"/>
  <c r="Y798" i="34"/>
  <c r="Z798" i="34"/>
  <c r="N799" i="34"/>
  <c r="Y799" i="34"/>
  <c r="Z799" i="34"/>
  <c r="N800" i="34"/>
  <c r="Y800" i="34"/>
  <c r="Z800" i="34"/>
  <c r="N801" i="34"/>
  <c r="Y801" i="34"/>
  <c r="Z801" i="34"/>
  <c r="N802" i="34"/>
  <c r="Y802" i="34"/>
  <c r="Z802" i="34"/>
  <c r="N803" i="34"/>
  <c r="Y803" i="34"/>
  <c r="Z803" i="34"/>
  <c r="N804" i="34"/>
  <c r="Y804" i="34"/>
  <c r="Z804" i="34"/>
  <c r="N805" i="34"/>
  <c r="Y805" i="34"/>
  <c r="Z805" i="34"/>
  <c r="N806" i="34"/>
  <c r="Y806" i="34"/>
  <c r="Z806" i="34"/>
  <c r="N807" i="34"/>
  <c r="Y807" i="34"/>
  <c r="Z807" i="34"/>
  <c r="N808" i="34"/>
  <c r="Y808" i="34"/>
  <c r="Z808" i="34"/>
  <c r="N809" i="34"/>
  <c r="Y809" i="34"/>
  <c r="Z809" i="34"/>
  <c r="N810" i="34"/>
  <c r="Y810" i="34"/>
  <c r="Z810" i="34"/>
  <c r="N811" i="34"/>
  <c r="Y811" i="34"/>
  <c r="Z811" i="34"/>
  <c r="N812" i="34"/>
  <c r="Y812" i="34"/>
  <c r="Z812" i="34"/>
  <c r="N813" i="34"/>
  <c r="Y813" i="34"/>
  <c r="Z813" i="34"/>
  <c r="N814" i="34"/>
  <c r="Y814" i="34"/>
  <c r="Z814" i="34"/>
  <c r="N815" i="34"/>
  <c r="Y815" i="34"/>
  <c r="Z815" i="34"/>
  <c r="N816" i="34"/>
  <c r="Y816" i="34"/>
  <c r="Z816" i="34"/>
  <c r="N817" i="34"/>
  <c r="Y817" i="34"/>
  <c r="Z817" i="34"/>
  <c r="N818" i="34"/>
  <c r="Y818" i="34"/>
  <c r="Z818" i="34"/>
  <c r="N819" i="34"/>
  <c r="Y819" i="34"/>
  <c r="Z819" i="34"/>
  <c r="N820" i="34"/>
  <c r="Y820" i="34"/>
  <c r="Z820" i="34"/>
  <c r="N821" i="34"/>
  <c r="Y821" i="34"/>
  <c r="Z821" i="34"/>
  <c r="N822" i="34"/>
  <c r="Y822" i="34"/>
  <c r="Z822" i="34"/>
  <c r="N823" i="34"/>
  <c r="Y823" i="34"/>
  <c r="Z823" i="34"/>
  <c r="N824" i="34"/>
  <c r="Y824" i="34"/>
  <c r="Z824" i="34"/>
  <c r="N825" i="34"/>
  <c r="Y825" i="34"/>
  <c r="Z825" i="34"/>
  <c r="N826" i="34"/>
  <c r="Y826" i="34"/>
  <c r="Z826" i="34"/>
  <c r="N827" i="34"/>
  <c r="Y827" i="34"/>
  <c r="Z827" i="34"/>
  <c r="N828" i="34"/>
  <c r="Y828" i="34"/>
  <c r="Z828" i="34"/>
  <c r="N829" i="34"/>
  <c r="Y829" i="34"/>
  <c r="Z829" i="34"/>
  <c r="N830" i="34"/>
  <c r="Y830" i="34"/>
  <c r="Z830" i="34"/>
  <c r="N831" i="34"/>
  <c r="Y831" i="34"/>
  <c r="Z831" i="34"/>
  <c r="N832" i="34"/>
  <c r="Y832" i="34"/>
  <c r="Z832" i="34"/>
  <c r="N833" i="34"/>
  <c r="Y833" i="34"/>
  <c r="Z833" i="34"/>
  <c r="N834" i="34"/>
  <c r="Y834" i="34"/>
  <c r="Z834" i="34"/>
  <c r="N835" i="34"/>
  <c r="Y835" i="34"/>
  <c r="Z835" i="34"/>
  <c r="N836" i="34"/>
  <c r="Y836" i="34"/>
  <c r="Z836" i="34"/>
  <c r="N837" i="34"/>
  <c r="Y837" i="34"/>
  <c r="Z837" i="34"/>
  <c r="N838" i="34"/>
  <c r="Y838" i="34"/>
  <c r="Z838" i="34"/>
  <c r="N839" i="34"/>
  <c r="Y839" i="34"/>
  <c r="Z839" i="34"/>
  <c r="N840" i="34"/>
  <c r="Y840" i="34"/>
  <c r="Z840" i="34"/>
  <c r="N841" i="34"/>
  <c r="Y841" i="34"/>
  <c r="Z841" i="34"/>
  <c r="N842" i="34"/>
  <c r="Y842" i="34"/>
  <c r="Z842" i="34"/>
  <c r="N843" i="34"/>
  <c r="Y843" i="34"/>
  <c r="Z843" i="34"/>
  <c r="N844" i="34"/>
  <c r="Y844" i="34"/>
  <c r="Z844" i="34"/>
  <c r="N845" i="34"/>
  <c r="Y845" i="34"/>
  <c r="Z845" i="34"/>
  <c r="N846" i="34"/>
  <c r="Y846" i="34"/>
  <c r="Z846" i="34"/>
  <c r="N847" i="34"/>
  <c r="Y847" i="34"/>
  <c r="Z847" i="34"/>
  <c r="N848" i="34"/>
  <c r="Y848" i="34"/>
  <c r="Z848" i="34"/>
  <c r="N849" i="34"/>
  <c r="Y849" i="34"/>
  <c r="Z849" i="34"/>
  <c r="N850" i="34"/>
  <c r="Y850" i="34"/>
  <c r="Z850" i="34"/>
  <c r="N851" i="34"/>
  <c r="Y851" i="34"/>
  <c r="Z851" i="34"/>
  <c r="N852" i="34"/>
  <c r="Y852" i="34"/>
  <c r="Z852" i="34"/>
  <c r="N853" i="34"/>
  <c r="Y853" i="34"/>
  <c r="Z853" i="34"/>
  <c r="N854" i="34"/>
  <c r="Y854" i="34"/>
  <c r="Z854" i="34"/>
  <c r="N855" i="34"/>
  <c r="Y855" i="34"/>
  <c r="Z855" i="34"/>
  <c r="N856" i="34"/>
  <c r="Y856" i="34"/>
  <c r="Z856" i="34"/>
  <c r="N857" i="34"/>
  <c r="Y857" i="34"/>
  <c r="Z857" i="34"/>
  <c r="N858" i="34"/>
  <c r="Y858" i="34"/>
  <c r="Z858" i="34"/>
  <c r="N859" i="34"/>
  <c r="S859" i="34"/>
  <c r="T859" i="34"/>
  <c r="U859" i="34"/>
  <c r="Y859" i="34"/>
  <c r="Z859" i="34"/>
  <c r="N860" i="34"/>
  <c r="S860" i="34"/>
  <c r="T860" i="34"/>
  <c r="U860" i="34"/>
  <c r="Y860" i="34"/>
  <c r="Z860" i="34"/>
  <c r="N861" i="34"/>
  <c r="S861" i="34"/>
  <c r="T861" i="34"/>
  <c r="U861" i="34"/>
  <c r="Y861" i="34"/>
  <c r="Z861" i="34"/>
  <c r="N862" i="34"/>
  <c r="S862" i="34"/>
  <c r="T862" i="34"/>
  <c r="U862" i="34"/>
  <c r="Y862" i="34"/>
  <c r="Z862" i="34"/>
  <c r="N863" i="34"/>
  <c r="S863" i="34"/>
  <c r="T863" i="34"/>
  <c r="U863" i="34"/>
  <c r="Y863" i="34"/>
  <c r="Z863" i="34"/>
  <c r="N864" i="34"/>
  <c r="S864" i="34"/>
  <c r="T864" i="34"/>
  <c r="U864" i="34"/>
  <c r="Y864" i="34"/>
  <c r="Z864" i="34"/>
  <c r="N865" i="34"/>
  <c r="S865" i="34"/>
  <c r="T865" i="34"/>
  <c r="U865" i="34"/>
  <c r="Y865" i="34"/>
  <c r="Z865" i="34"/>
  <c r="N866" i="34"/>
  <c r="S866" i="34"/>
  <c r="T866" i="34"/>
  <c r="U866" i="34"/>
  <c r="Y866" i="34"/>
  <c r="Z866" i="34"/>
  <c r="N867" i="34"/>
  <c r="S867" i="34"/>
  <c r="T867" i="34"/>
  <c r="U867" i="34"/>
  <c r="Y867" i="34"/>
  <c r="Z867" i="34"/>
  <c r="N868" i="34"/>
  <c r="S868" i="34"/>
  <c r="T868" i="34"/>
  <c r="U868" i="34"/>
  <c r="Y868" i="34"/>
  <c r="Z868" i="34"/>
  <c r="N869" i="34"/>
  <c r="S869" i="34"/>
  <c r="T869" i="34"/>
  <c r="U869" i="34"/>
  <c r="Y869" i="34"/>
  <c r="Z869" i="34"/>
  <c r="N870" i="34"/>
  <c r="S870" i="34"/>
  <c r="T870" i="34"/>
  <c r="U870" i="34"/>
  <c r="Y870" i="34"/>
  <c r="Z870" i="34"/>
  <c r="N871" i="34"/>
  <c r="S871" i="34"/>
  <c r="T871" i="34"/>
  <c r="U871" i="34"/>
  <c r="Y871" i="34"/>
  <c r="Z871" i="34"/>
  <c r="N872" i="34"/>
  <c r="S872" i="34"/>
  <c r="T872" i="34"/>
  <c r="U872" i="34"/>
  <c r="Y872" i="34"/>
  <c r="Z872" i="34"/>
  <c r="N873" i="34"/>
  <c r="S873" i="34"/>
  <c r="T873" i="34"/>
  <c r="U873" i="34"/>
  <c r="Y873" i="34"/>
  <c r="Z873" i="34"/>
  <c r="N874" i="34"/>
  <c r="S874" i="34"/>
  <c r="T874" i="34"/>
  <c r="U874" i="34"/>
  <c r="Y874" i="34"/>
  <c r="Z874" i="34"/>
  <c r="N877" i="34"/>
  <c r="S877" i="34"/>
  <c r="T877" i="34"/>
  <c r="U877" i="34"/>
  <c r="Y877" i="34"/>
  <c r="Z877" i="34"/>
  <c r="N878" i="34"/>
  <c r="S878" i="34"/>
  <c r="T878" i="34"/>
  <c r="U878" i="34"/>
  <c r="Y878" i="34"/>
  <c r="Z878" i="34"/>
  <c r="N879" i="34"/>
  <c r="S879" i="34"/>
  <c r="T879" i="34"/>
  <c r="U879" i="34"/>
  <c r="Y879" i="34"/>
  <c r="Z879" i="34"/>
  <c r="N880" i="34"/>
  <c r="S880" i="34"/>
  <c r="T880" i="34"/>
  <c r="U880" i="34"/>
  <c r="Y880" i="34"/>
  <c r="Z880" i="34"/>
  <c r="N881" i="34"/>
  <c r="S881" i="34"/>
  <c r="T881" i="34"/>
  <c r="U881" i="34"/>
  <c r="Y881" i="34"/>
  <c r="Z881" i="34"/>
  <c r="N882" i="34"/>
  <c r="S882" i="34"/>
  <c r="T882" i="34"/>
  <c r="U882" i="34"/>
  <c r="Y882" i="34"/>
  <c r="Z882" i="34"/>
  <c r="N883" i="34"/>
  <c r="S883" i="34"/>
  <c r="T883" i="34"/>
  <c r="U883" i="34"/>
  <c r="Y883" i="34"/>
  <c r="Z883" i="34"/>
  <c r="N884" i="34"/>
  <c r="S884" i="34"/>
  <c r="T884" i="34"/>
  <c r="U884" i="34"/>
  <c r="Y884" i="34"/>
  <c r="Z884" i="34"/>
  <c r="N885" i="34"/>
  <c r="S885" i="34"/>
  <c r="T885" i="34"/>
  <c r="U885" i="34"/>
  <c r="Y885" i="34"/>
  <c r="Z885" i="34"/>
  <c r="N886" i="34"/>
  <c r="S886" i="34"/>
  <c r="T886" i="34"/>
  <c r="U886" i="34"/>
  <c r="Y886" i="34"/>
  <c r="Z886" i="34"/>
  <c r="N887" i="34"/>
  <c r="S887" i="34"/>
  <c r="T887" i="34"/>
  <c r="U887" i="34"/>
  <c r="Y887" i="34"/>
  <c r="Z887" i="34"/>
  <c r="N888" i="34"/>
  <c r="S888" i="34"/>
  <c r="T888" i="34"/>
  <c r="U888" i="34"/>
  <c r="Y888" i="34"/>
  <c r="Z888" i="34"/>
  <c r="N889" i="34"/>
  <c r="S889" i="34"/>
  <c r="T889" i="34"/>
  <c r="U889" i="34"/>
  <c r="Y889" i="34"/>
  <c r="Z889" i="34"/>
  <c r="N890" i="34"/>
  <c r="S890" i="34"/>
  <c r="T890" i="34"/>
  <c r="U890" i="34"/>
  <c r="Y890" i="34"/>
  <c r="Z890" i="34"/>
  <c r="N891" i="34"/>
  <c r="S891" i="34"/>
  <c r="T891" i="34"/>
  <c r="U891" i="34"/>
  <c r="Y891" i="34"/>
  <c r="Z891" i="34"/>
  <c r="N892" i="34"/>
  <c r="S892" i="34"/>
  <c r="T892" i="34"/>
  <c r="U892" i="34"/>
  <c r="Y892" i="34"/>
  <c r="Z892" i="34"/>
  <c r="N893" i="34"/>
  <c r="S893" i="34"/>
  <c r="T893" i="34"/>
  <c r="U893" i="34"/>
  <c r="Y893" i="34"/>
  <c r="Z893" i="34"/>
  <c r="N894" i="34"/>
  <c r="S894" i="34"/>
  <c r="T894" i="34"/>
  <c r="U894" i="34"/>
  <c r="Y894" i="34"/>
  <c r="Z894" i="34"/>
  <c r="N895" i="34"/>
  <c r="S895" i="34"/>
  <c r="T895" i="34"/>
  <c r="U895" i="34"/>
  <c r="Y895" i="34"/>
  <c r="Z895" i="34"/>
  <c r="N896" i="34"/>
  <c r="S896" i="34"/>
  <c r="T896" i="34"/>
  <c r="U896" i="34"/>
  <c r="Y896" i="34"/>
  <c r="Z896" i="34"/>
  <c r="N897" i="34"/>
  <c r="S897" i="34"/>
  <c r="T897" i="34"/>
  <c r="U897" i="34"/>
  <c r="Y897" i="34"/>
  <c r="Z897" i="34"/>
  <c r="N898" i="34"/>
  <c r="S898" i="34"/>
  <c r="T898" i="34"/>
  <c r="U898" i="34"/>
  <c r="Y898" i="34"/>
  <c r="Z898" i="34"/>
  <c r="N899" i="34"/>
  <c r="S899" i="34"/>
  <c r="T899" i="34"/>
  <c r="U899" i="34"/>
  <c r="Y899" i="34"/>
  <c r="Z899" i="34"/>
  <c r="N900" i="34"/>
  <c r="S900" i="34"/>
  <c r="T900" i="34"/>
  <c r="U900" i="34"/>
  <c r="Y900" i="34"/>
  <c r="Z900" i="34"/>
  <c r="N902" i="34"/>
  <c r="S902" i="34"/>
  <c r="T902" i="34"/>
  <c r="U902" i="34"/>
  <c r="Y902" i="34"/>
  <c r="Z902" i="34"/>
  <c r="N903" i="34"/>
  <c r="S903" i="34"/>
  <c r="T903" i="34"/>
  <c r="U903" i="34"/>
  <c r="Y903" i="34"/>
  <c r="Z903" i="34"/>
  <c r="N904" i="34"/>
  <c r="S904" i="34"/>
  <c r="T904" i="34"/>
  <c r="U904" i="34"/>
  <c r="Y904" i="34"/>
  <c r="Z904" i="34"/>
  <c r="N905" i="34"/>
  <c r="S905" i="34"/>
  <c r="T905" i="34"/>
  <c r="U905" i="34"/>
  <c r="Y905" i="34"/>
  <c r="Z905" i="34"/>
  <c r="N907" i="34"/>
  <c r="S907" i="34"/>
  <c r="T907" i="34"/>
  <c r="U907" i="34"/>
  <c r="Y907" i="34"/>
  <c r="Z907" i="34"/>
  <c r="N908" i="34"/>
  <c r="S908" i="34"/>
  <c r="T908" i="34"/>
  <c r="U908" i="34"/>
  <c r="Y908" i="34"/>
  <c r="Z908" i="34"/>
  <c r="N909" i="34"/>
  <c r="S909" i="34"/>
  <c r="T909" i="34"/>
  <c r="U909" i="34"/>
  <c r="Y909" i="34"/>
  <c r="Z909" i="34"/>
  <c r="N910" i="34"/>
  <c r="S910" i="34"/>
  <c r="T910" i="34"/>
  <c r="U910" i="34"/>
  <c r="Y910" i="34"/>
  <c r="Z910" i="34"/>
  <c r="N911" i="34"/>
  <c r="S911" i="34"/>
  <c r="T911" i="34"/>
  <c r="U911" i="34"/>
  <c r="Y911" i="34"/>
  <c r="Z911" i="34"/>
  <c r="N912" i="34"/>
  <c r="S912" i="34"/>
  <c r="T912" i="34"/>
  <c r="U912" i="34"/>
  <c r="Y912" i="34"/>
  <c r="Z912" i="34"/>
  <c r="N913" i="34"/>
  <c r="S913" i="34"/>
  <c r="T913" i="34"/>
  <c r="U913" i="34"/>
  <c r="Y913" i="34"/>
  <c r="Z913" i="34"/>
  <c r="N914" i="34"/>
  <c r="S914" i="34"/>
  <c r="T914" i="34"/>
  <c r="U914" i="34"/>
  <c r="Y914" i="34"/>
  <c r="Z914" i="34"/>
  <c r="N915" i="34"/>
  <c r="S915" i="34"/>
  <c r="T915" i="34"/>
  <c r="U915" i="34"/>
  <c r="Y915" i="34"/>
  <c r="Z915" i="34"/>
  <c r="N916" i="34"/>
  <c r="S916" i="34"/>
  <c r="T916" i="34"/>
  <c r="U916" i="34"/>
  <c r="Y916" i="34"/>
  <c r="Z916" i="34"/>
  <c r="N917" i="34"/>
  <c r="S917" i="34"/>
  <c r="T917" i="34"/>
  <c r="U917" i="34"/>
  <c r="Y917" i="34"/>
  <c r="Z917" i="34"/>
  <c r="N918" i="34"/>
  <c r="S918" i="34"/>
  <c r="T918" i="34"/>
  <c r="U918" i="34"/>
  <c r="Y918" i="34"/>
  <c r="Z918" i="34"/>
  <c r="N919" i="34"/>
  <c r="S919" i="34"/>
  <c r="T919" i="34"/>
  <c r="U919" i="34"/>
  <c r="Y919" i="34"/>
  <c r="Z919" i="34"/>
  <c r="N920" i="34"/>
  <c r="S920" i="34"/>
  <c r="T920" i="34"/>
  <c r="U920" i="34"/>
  <c r="Y920" i="34"/>
  <c r="Z920" i="34"/>
  <c r="N921" i="34"/>
  <c r="S921" i="34"/>
  <c r="T921" i="34"/>
  <c r="U921" i="34"/>
  <c r="Y921" i="34"/>
  <c r="Z921" i="34"/>
  <c r="N922" i="34"/>
  <c r="S922" i="34"/>
  <c r="T922" i="34"/>
  <c r="U922" i="34"/>
  <c r="Y922" i="34"/>
  <c r="Z922" i="34"/>
  <c r="N923" i="34"/>
  <c r="S923" i="34"/>
  <c r="T923" i="34"/>
  <c r="U923" i="34"/>
  <c r="Y923" i="34"/>
  <c r="Z923" i="34"/>
  <c r="N924" i="34"/>
  <c r="S924" i="34"/>
  <c r="T924" i="34"/>
  <c r="U924" i="34"/>
  <c r="Y924" i="34"/>
  <c r="Z924" i="34"/>
  <c r="N925" i="34"/>
  <c r="S925" i="34"/>
  <c r="T925" i="34"/>
  <c r="U925" i="34"/>
  <c r="Y925" i="34"/>
  <c r="Z925" i="34"/>
  <c r="N926" i="34"/>
  <c r="S926" i="34"/>
  <c r="T926" i="34"/>
  <c r="U926" i="34"/>
  <c r="Y926" i="34"/>
  <c r="Z926" i="34"/>
  <c r="N927" i="34"/>
  <c r="S927" i="34"/>
  <c r="T927" i="34"/>
  <c r="U927" i="34"/>
  <c r="Y927" i="34"/>
  <c r="Z927" i="34"/>
  <c r="N928" i="34"/>
  <c r="S928" i="34"/>
  <c r="T928" i="34"/>
  <c r="U928" i="34"/>
  <c r="Y928" i="34"/>
  <c r="Z928" i="34"/>
  <c r="N929" i="34"/>
  <c r="S929" i="34"/>
  <c r="T929" i="34"/>
  <c r="U929" i="34"/>
  <c r="Y929" i="34"/>
  <c r="Z929" i="34"/>
  <c r="N930" i="34"/>
  <c r="S930" i="34"/>
  <c r="T930" i="34"/>
  <c r="U930" i="34"/>
  <c r="Y930" i="34"/>
  <c r="Z930" i="34"/>
  <c r="N931" i="34"/>
  <c r="S931" i="34"/>
  <c r="T931" i="34"/>
  <c r="U931" i="34"/>
  <c r="Y931" i="34"/>
  <c r="Z931" i="34"/>
  <c r="N932" i="34"/>
  <c r="S932" i="34"/>
  <c r="T932" i="34"/>
  <c r="U932" i="34"/>
  <c r="Y932" i="34"/>
  <c r="Z932" i="34"/>
  <c r="N933" i="34"/>
  <c r="S933" i="34"/>
  <c r="T933" i="34"/>
  <c r="U933" i="34"/>
  <c r="Y933" i="34"/>
  <c r="Z933" i="34"/>
  <c r="N934" i="34"/>
  <c r="S934" i="34"/>
  <c r="T934" i="34"/>
  <c r="U934" i="34"/>
  <c r="Y934" i="34"/>
  <c r="Z934" i="34"/>
  <c r="N935" i="34"/>
  <c r="S935" i="34"/>
  <c r="T935" i="34"/>
  <c r="U935" i="34"/>
  <c r="Y935" i="34"/>
  <c r="Z935" i="34"/>
  <c r="N936" i="34"/>
  <c r="S936" i="34"/>
  <c r="T936" i="34"/>
  <c r="U936" i="34"/>
  <c r="Y936" i="34"/>
  <c r="Z936" i="34"/>
  <c r="N937" i="34"/>
  <c r="S937" i="34"/>
  <c r="T937" i="34"/>
  <c r="U937" i="34"/>
  <c r="Y937" i="34"/>
  <c r="Z937" i="34"/>
  <c r="N938" i="34"/>
  <c r="S938" i="34"/>
  <c r="T938" i="34"/>
  <c r="U938" i="34"/>
  <c r="Y938" i="34"/>
  <c r="Z938" i="34"/>
  <c r="N939" i="34"/>
  <c r="S939" i="34"/>
  <c r="T939" i="34"/>
  <c r="U939" i="34"/>
  <c r="Y939" i="34"/>
  <c r="Z939" i="34"/>
  <c r="N940" i="34"/>
  <c r="S940" i="34"/>
  <c r="T940" i="34"/>
  <c r="U940" i="34"/>
  <c r="Y940" i="34"/>
  <c r="Z940" i="34"/>
  <c r="N941" i="34"/>
  <c r="S941" i="34"/>
  <c r="T941" i="34"/>
  <c r="U941" i="34"/>
  <c r="Y941" i="34"/>
  <c r="Z941" i="34"/>
  <c r="N942" i="34"/>
  <c r="S942" i="34"/>
  <c r="T942" i="34"/>
  <c r="U942" i="34"/>
  <c r="Y942" i="34"/>
  <c r="Z942" i="34"/>
  <c r="N943" i="34"/>
  <c r="S943" i="34"/>
  <c r="T943" i="34"/>
  <c r="U943" i="34"/>
  <c r="Y943" i="34"/>
  <c r="Z943" i="34"/>
  <c r="N944" i="34"/>
  <c r="S944" i="34"/>
  <c r="T944" i="34"/>
  <c r="U944" i="34"/>
  <c r="Y944" i="34"/>
  <c r="Z944" i="34"/>
  <c r="N945" i="34"/>
  <c r="S945" i="34"/>
  <c r="T945" i="34"/>
  <c r="U945" i="34"/>
  <c r="Y945" i="34"/>
  <c r="Z945" i="34"/>
  <c r="N946" i="34"/>
  <c r="S946" i="34"/>
  <c r="T946" i="34"/>
  <c r="U946" i="34"/>
  <c r="Y946" i="34"/>
  <c r="Z946" i="34"/>
  <c r="N947" i="34"/>
  <c r="S947" i="34"/>
  <c r="T947" i="34"/>
  <c r="U947" i="34"/>
  <c r="Y947" i="34"/>
  <c r="Z947" i="34"/>
  <c r="N948" i="34"/>
  <c r="S948" i="34"/>
  <c r="T948" i="34"/>
  <c r="U948" i="34"/>
  <c r="Y948" i="34"/>
  <c r="Z948" i="34"/>
  <c r="N949" i="34"/>
  <c r="S949" i="34"/>
  <c r="T949" i="34"/>
  <c r="U949" i="34"/>
  <c r="Y949" i="34"/>
  <c r="Z949" i="34"/>
  <c r="N950" i="34"/>
  <c r="S950" i="34"/>
  <c r="T950" i="34"/>
  <c r="U950" i="34"/>
  <c r="Y950" i="34"/>
  <c r="Z950" i="34"/>
  <c r="N951" i="34"/>
  <c r="S951" i="34"/>
  <c r="T951" i="34"/>
  <c r="U951" i="34"/>
  <c r="Y951" i="34"/>
  <c r="Z951" i="34"/>
  <c r="N952" i="34"/>
  <c r="S952" i="34"/>
  <c r="T952" i="34"/>
  <c r="U952" i="34"/>
  <c r="Y952" i="34"/>
  <c r="Z952" i="34"/>
  <c r="N953" i="34"/>
  <c r="S953" i="34"/>
  <c r="T953" i="34"/>
  <c r="U953" i="34"/>
  <c r="Y953" i="34"/>
  <c r="Z953" i="34"/>
  <c r="N954" i="34"/>
  <c r="S954" i="34"/>
  <c r="T954" i="34"/>
  <c r="U954" i="34"/>
  <c r="Y954" i="34"/>
  <c r="Z954" i="34"/>
  <c r="N955" i="34"/>
  <c r="S955" i="34"/>
  <c r="T955" i="34"/>
  <c r="U955" i="34"/>
  <c r="Y955" i="34"/>
  <c r="Z955" i="34"/>
  <c r="N956" i="34"/>
  <c r="S956" i="34"/>
  <c r="T956" i="34"/>
  <c r="U956" i="34"/>
  <c r="Y956" i="34"/>
  <c r="Z956" i="34"/>
  <c r="N957" i="34"/>
  <c r="S957" i="34"/>
  <c r="T957" i="34"/>
  <c r="U957" i="34"/>
  <c r="Y957" i="34"/>
  <c r="Z957" i="34"/>
  <c r="N958" i="34"/>
  <c r="S958" i="34"/>
  <c r="T958" i="34"/>
  <c r="U958" i="34"/>
  <c r="Y958" i="34"/>
  <c r="Z958" i="34"/>
  <c r="N959" i="34"/>
  <c r="S959" i="34"/>
  <c r="T959" i="34"/>
  <c r="U959" i="34"/>
  <c r="Y959" i="34"/>
  <c r="Z959" i="34"/>
  <c r="N960" i="34"/>
  <c r="S960" i="34"/>
  <c r="T960" i="34"/>
  <c r="U960" i="34"/>
  <c r="Y960" i="34"/>
  <c r="Z960" i="34"/>
  <c r="N961" i="34"/>
  <c r="S961" i="34"/>
  <c r="T961" i="34"/>
  <c r="U961" i="34"/>
  <c r="Y961" i="34"/>
  <c r="Z961" i="34"/>
  <c r="N962" i="34"/>
  <c r="S962" i="34"/>
  <c r="T962" i="34"/>
  <c r="U962" i="34"/>
  <c r="Y962" i="34"/>
  <c r="Z962" i="34"/>
  <c r="N963" i="34"/>
  <c r="S963" i="34"/>
  <c r="T963" i="34"/>
  <c r="U963" i="34"/>
  <c r="Y963" i="34"/>
  <c r="Z963" i="34"/>
  <c r="N964" i="34"/>
  <c r="S964" i="34"/>
  <c r="T964" i="34"/>
  <c r="U964" i="34"/>
  <c r="Y964" i="34"/>
  <c r="Z964" i="34"/>
  <c r="N965" i="34"/>
  <c r="S965" i="34"/>
  <c r="T965" i="34"/>
  <c r="U965" i="34"/>
  <c r="Y965" i="34"/>
  <c r="Z965" i="34"/>
  <c r="N966" i="34"/>
  <c r="S966" i="34"/>
  <c r="T966" i="34"/>
  <c r="U966" i="34"/>
  <c r="Y966" i="34"/>
  <c r="Z966" i="34"/>
  <c r="N967" i="34"/>
  <c r="S967" i="34"/>
  <c r="T967" i="34"/>
  <c r="U967" i="34"/>
  <c r="Y967" i="34"/>
  <c r="Z967" i="34"/>
  <c r="N968" i="34"/>
  <c r="S968" i="34"/>
  <c r="T968" i="34"/>
  <c r="U968" i="34"/>
  <c r="Y968" i="34"/>
  <c r="Z968" i="34"/>
  <c r="N969" i="34"/>
  <c r="S969" i="34"/>
  <c r="T969" i="34"/>
  <c r="U969" i="34"/>
  <c r="Y969" i="34"/>
  <c r="Z969" i="34"/>
  <c r="N970" i="34"/>
  <c r="S970" i="34"/>
  <c r="T970" i="34"/>
  <c r="U970" i="34"/>
  <c r="Y970" i="34"/>
  <c r="Z970" i="34"/>
  <c r="N971" i="34"/>
  <c r="S971" i="34"/>
  <c r="T971" i="34"/>
  <c r="U971" i="34"/>
  <c r="Y971" i="34"/>
  <c r="Z971" i="34"/>
  <c r="N972" i="34"/>
  <c r="S972" i="34"/>
  <c r="T972" i="34"/>
  <c r="U972" i="34"/>
  <c r="Y972" i="34"/>
  <c r="Z972" i="34"/>
  <c r="N973" i="34"/>
  <c r="S973" i="34"/>
  <c r="T973" i="34"/>
  <c r="U973" i="34"/>
  <c r="Y973" i="34"/>
  <c r="Z973" i="34"/>
  <c r="N974" i="34"/>
  <c r="S974" i="34"/>
  <c r="T974" i="34"/>
  <c r="U974" i="34"/>
  <c r="Y974" i="34"/>
  <c r="Z974" i="34"/>
  <c r="N975" i="34"/>
  <c r="S975" i="34"/>
  <c r="T975" i="34"/>
  <c r="U975" i="34"/>
  <c r="Y975" i="34"/>
  <c r="Z975" i="34"/>
  <c r="N976" i="34"/>
  <c r="S976" i="34"/>
  <c r="T976" i="34"/>
  <c r="U976" i="34"/>
  <c r="Y976" i="34"/>
  <c r="Z976" i="34"/>
  <c r="N977" i="34"/>
  <c r="S977" i="34"/>
  <c r="T977" i="34"/>
  <c r="U977" i="34"/>
  <c r="Y977" i="34"/>
  <c r="Z977" i="34"/>
  <c r="N978" i="34"/>
  <c r="S978" i="34"/>
  <c r="T978" i="34"/>
  <c r="U978" i="34"/>
  <c r="Y978" i="34"/>
  <c r="Z978" i="34"/>
  <c r="N979" i="34"/>
  <c r="S979" i="34"/>
  <c r="T979" i="34"/>
  <c r="U979" i="34"/>
  <c r="Y979" i="34"/>
  <c r="Z979" i="34"/>
  <c r="N980" i="34"/>
  <c r="S980" i="34"/>
  <c r="T980" i="34"/>
  <c r="U980" i="34"/>
  <c r="Y980" i="34"/>
  <c r="Z980" i="34"/>
  <c r="N981" i="34"/>
  <c r="S981" i="34"/>
  <c r="T981" i="34"/>
  <c r="U981" i="34"/>
  <c r="Y981" i="34"/>
  <c r="Z981" i="34"/>
  <c r="N982" i="34"/>
  <c r="S982" i="34"/>
  <c r="T982" i="34"/>
  <c r="U982" i="34"/>
  <c r="Y982" i="34"/>
  <c r="Z982" i="34"/>
  <c r="N983" i="34"/>
  <c r="S983" i="34"/>
  <c r="T983" i="34"/>
  <c r="U983" i="34"/>
  <c r="Y983" i="34"/>
  <c r="Z983" i="34"/>
  <c r="N984" i="34"/>
  <c r="S984" i="34"/>
  <c r="T984" i="34"/>
  <c r="U984" i="34"/>
  <c r="Y984" i="34"/>
  <c r="Z984" i="34"/>
  <c r="N985" i="34"/>
  <c r="S985" i="34"/>
  <c r="T985" i="34"/>
  <c r="U985" i="34"/>
  <c r="Y985" i="34"/>
  <c r="Z985" i="34"/>
  <c r="N986" i="34"/>
  <c r="S986" i="34"/>
  <c r="T986" i="34"/>
  <c r="U986" i="34"/>
  <c r="Y986" i="34"/>
  <c r="Z986" i="34"/>
  <c r="N987" i="34"/>
  <c r="S987" i="34"/>
  <c r="T987" i="34"/>
  <c r="U987" i="34"/>
  <c r="Y987" i="34"/>
  <c r="Z987" i="34"/>
  <c r="N988" i="34"/>
  <c r="S988" i="34"/>
  <c r="T988" i="34"/>
  <c r="U988" i="34"/>
  <c r="Y988" i="34"/>
  <c r="Z988" i="34"/>
  <c r="N989" i="34"/>
  <c r="S989" i="34"/>
  <c r="T989" i="34"/>
  <c r="U989" i="34"/>
  <c r="Y989" i="34"/>
  <c r="Z989" i="34"/>
  <c r="N990" i="34"/>
  <c r="S990" i="34"/>
  <c r="T990" i="34"/>
  <c r="U990" i="34"/>
  <c r="Y990" i="34"/>
  <c r="Z990" i="34"/>
  <c r="N991" i="34"/>
  <c r="S991" i="34"/>
  <c r="T991" i="34"/>
  <c r="U991" i="34"/>
  <c r="Y991" i="34"/>
  <c r="Z991" i="34"/>
  <c r="N992" i="34"/>
  <c r="S992" i="34"/>
  <c r="T992" i="34"/>
  <c r="U992" i="34"/>
  <c r="Y992" i="34"/>
  <c r="Z992" i="34"/>
  <c r="N993" i="34"/>
  <c r="S993" i="34"/>
  <c r="T993" i="34"/>
  <c r="U993" i="34"/>
  <c r="Y993" i="34"/>
  <c r="Z993" i="34"/>
  <c r="N994" i="34"/>
  <c r="S994" i="34"/>
  <c r="T994" i="34"/>
  <c r="U994" i="34"/>
  <c r="Y994" i="34"/>
  <c r="Z994" i="34"/>
  <c r="N995" i="34"/>
  <c r="S995" i="34"/>
  <c r="T995" i="34"/>
  <c r="U995" i="34"/>
  <c r="Y995" i="34"/>
  <c r="Z995" i="34"/>
  <c r="N996" i="34"/>
  <c r="S996" i="34"/>
  <c r="T996" i="34"/>
  <c r="U996" i="34"/>
  <c r="Y996" i="34"/>
  <c r="Z996" i="34"/>
  <c r="N997" i="34"/>
  <c r="S997" i="34"/>
  <c r="T997" i="34"/>
  <c r="U997" i="34"/>
  <c r="Y997" i="34"/>
  <c r="Z997" i="34"/>
  <c r="N998" i="34"/>
  <c r="S998" i="34"/>
  <c r="T998" i="34"/>
  <c r="U998" i="34"/>
  <c r="Y998" i="34"/>
  <c r="Z998" i="34"/>
  <c r="N999" i="34"/>
  <c r="S999" i="34"/>
  <c r="T999" i="34"/>
  <c r="U999" i="34"/>
  <c r="Y999" i="34"/>
  <c r="Z999" i="34"/>
  <c r="N1000" i="34"/>
  <c r="S1000" i="34"/>
  <c r="T1000" i="34"/>
  <c r="U1000" i="34"/>
  <c r="Y1000" i="34"/>
  <c r="Z1000" i="34"/>
  <c r="N1001" i="34"/>
  <c r="S1001" i="34"/>
  <c r="T1001" i="34"/>
  <c r="U1001" i="34"/>
  <c r="Y1001" i="34"/>
  <c r="Z1001" i="34"/>
  <c r="N1002" i="34"/>
  <c r="S1002" i="34"/>
  <c r="T1002" i="34"/>
  <c r="U1002" i="34"/>
  <c r="Y1002" i="34"/>
  <c r="Z1002" i="34"/>
  <c r="N1003" i="34"/>
  <c r="S1003" i="34"/>
  <c r="T1003" i="34"/>
  <c r="U1003" i="34"/>
  <c r="Y1003" i="34"/>
  <c r="Z1003" i="34"/>
  <c r="N1004" i="34"/>
  <c r="S1004" i="34"/>
  <c r="T1004" i="34"/>
  <c r="U1004" i="34"/>
  <c r="Y1004" i="34"/>
  <c r="Z1004" i="34"/>
  <c r="N1005" i="34"/>
  <c r="S1005" i="34"/>
  <c r="T1005" i="34"/>
  <c r="U1005" i="34"/>
  <c r="Y1005" i="34"/>
  <c r="Z1005" i="34"/>
  <c r="N1006" i="34"/>
  <c r="S1006" i="34"/>
  <c r="T1006" i="34"/>
  <c r="U1006" i="34"/>
  <c r="Y1006" i="34"/>
  <c r="Z1006" i="34"/>
  <c r="N1007" i="34"/>
  <c r="S1007" i="34"/>
  <c r="T1007" i="34"/>
  <c r="U1007" i="34"/>
  <c r="Y1007" i="34"/>
  <c r="Z1007" i="34"/>
  <c r="N1008" i="34"/>
  <c r="S1008" i="34"/>
  <c r="T1008" i="34"/>
  <c r="U1008" i="34"/>
  <c r="Y1008" i="34"/>
  <c r="Z1008" i="34"/>
  <c r="N1009" i="34"/>
  <c r="S1009" i="34"/>
  <c r="T1009" i="34"/>
  <c r="U1009" i="34"/>
  <c r="Y1009" i="34"/>
  <c r="Z1009" i="34"/>
  <c r="N1010" i="34"/>
  <c r="S1010" i="34"/>
  <c r="T1010" i="34"/>
  <c r="U1010" i="34"/>
  <c r="Y1010" i="34"/>
  <c r="Z1010" i="34"/>
  <c r="N1011" i="34"/>
  <c r="S1011" i="34"/>
  <c r="T1011" i="34"/>
  <c r="U1011" i="34"/>
  <c r="Y1011" i="34"/>
  <c r="Z1011" i="34"/>
  <c r="N1012" i="34"/>
  <c r="S1012" i="34"/>
  <c r="T1012" i="34"/>
  <c r="U1012" i="34"/>
  <c r="Y1012" i="34"/>
  <c r="Z1012" i="34"/>
  <c r="N1013" i="34"/>
  <c r="S1013" i="34"/>
  <c r="T1013" i="34"/>
  <c r="U1013" i="34"/>
  <c r="Y1013" i="34"/>
  <c r="Z1013" i="34"/>
  <c r="N1014" i="34"/>
  <c r="S1014" i="34"/>
  <c r="T1014" i="34"/>
  <c r="U1014" i="34"/>
  <c r="Y1014" i="34"/>
  <c r="Z1014" i="34"/>
  <c r="N1015" i="34"/>
  <c r="S1015" i="34"/>
  <c r="T1015" i="34"/>
  <c r="U1015" i="34"/>
  <c r="Y1015" i="34"/>
  <c r="Z1015" i="34"/>
  <c r="N1016" i="34"/>
  <c r="S1016" i="34"/>
  <c r="T1016" i="34"/>
  <c r="U1016" i="34"/>
  <c r="Y1016" i="34"/>
  <c r="Z1016" i="34"/>
  <c r="N1017" i="34"/>
  <c r="S1017" i="34"/>
  <c r="T1017" i="34"/>
  <c r="U1017" i="34"/>
  <c r="Y1017" i="34"/>
  <c r="Z1017" i="34"/>
  <c r="N1018" i="34"/>
  <c r="S1018" i="34"/>
  <c r="T1018" i="34"/>
  <c r="U1018" i="34"/>
  <c r="Y1018" i="34"/>
  <c r="Z1018" i="34"/>
  <c r="N1019" i="34"/>
  <c r="S1019" i="34"/>
  <c r="T1019" i="34"/>
  <c r="U1019" i="34"/>
  <c r="Y1019" i="34"/>
  <c r="Z1019" i="34"/>
  <c r="N1020" i="34"/>
  <c r="S1020" i="34"/>
  <c r="T1020" i="34"/>
  <c r="U1020" i="34"/>
  <c r="Y1020" i="34"/>
  <c r="Z1020" i="34"/>
  <c r="N1021" i="34"/>
  <c r="S1021" i="34"/>
  <c r="T1021" i="34"/>
  <c r="U1021" i="34"/>
  <c r="Y1021" i="34"/>
  <c r="Z1021" i="34"/>
  <c r="N1022" i="34"/>
  <c r="S1022" i="34"/>
  <c r="T1022" i="34"/>
  <c r="U1022" i="34"/>
  <c r="Y1022" i="34"/>
  <c r="Z1022" i="34"/>
  <c r="N1023" i="34"/>
  <c r="S1023" i="34"/>
  <c r="T1023" i="34"/>
  <c r="U1023" i="34"/>
  <c r="Y1023" i="34"/>
  <c r="Z1023" i="34"/>
  <c r="N1024" i="34"/>
  <c r="S1024" i="34"/>
  <c r="T1024" i="34"/>
  <c r="U1024" i="34"/>
  <c r="Y1024" i="34"/>
  <c r="Z1024" i="34"/>
  <c r="N1025" i="34"/>
  <c r="S1025" i="34"/>
  <c r="T1025" i="34"/>
  <c r="U1025" i="34"/>
  <c r="Y1025" i="34"/>
  <c r="Z1025" i="34"/>
  <c r="N1026" i="34"/>
  <c r="S1026" i="34"/>
  <c r="T1026" i="34"/>
  <c r="U1026" i="34"/>
  <c r="Y1026" i="34"/>
  <c r="Z1026" i="34"/>
  <c r="N1027" i="34"/>
  <c r="S1027" i="34"/>
  <c r="T1027" i="34"/>
  <c r="U1027" i="34"/>
  <c r="Y1027" i="34"/>
  <c r="Z1027" i="34"/>
  <c r="N1028" i="34"/>
  <c r="S1028" i="34"/>
  <c r="T1028" i="34"/>
  <c r="U1028" i="34"/>
  <c r="Y1028" i="34"/>
  <c r="Z1028" i="34"/>
  <c r="N1029" i="34"/>
  <c r="S1029" i="34"/>
  <c r="T1029" i="34"/>
  <c r="U1029" i="34"/>
  <c r="Y1029" i="34"/>
  <c r="Z1029" i="34"/>
  <c r="N1030" i="34"/>
  <c r="S1030" i="34"/>
  <c r="T1030" i="34"/>
  <c r="U1030" i="34"/>
  <c r="Y1030" i="34"/>
  <c r="Z1030" i="34"/>
  <c r="N1031" i="34"/>
  <c r="S1031" i="34"/>
  <c r="T1031" i="34"/>
  <c r="U1031" i="34"/>
  <c r="Y1031" i="34"/>
  <c r="Z1031" i="34"/>
  <c r="N1032" i="34"/>
  <c r="S1032" i="34"/>
  <c r="T1032" i="34"/>
  <c r="U1032" i="34"/>
  <c r="Y1032" i="34"/>
  <c r="Z1032" i="34"/>
  <c r="N1033" i="34"/>
  <c r="S1033" i="34"/>
  <c r="T1033" i="34"/>
  <c r="U1033" i="34"/>
  <c r="Y1033" i="34"/>
  <c r="Z1033" i="34"/>
  <c r="N1034" i="34"/>
  <c r="S1034" i="34"/>
  <c r="T1034" i="34"/>
  <c r="U1034" i="34"/>
  <c r="Y1034" i="34"/>
  <c r="Z1034" i="34"/>
  <c r="N1035" i="34"/>
  <c r="S1035" i="34"/>
  <c r="T1035" i="34"/>
  <c r="U1035" i="34"/>
  <c r="Y1035" i="34"/>
  <c r="Z1035" i="34"/>
  <c r="N1036" i="34"/>
  <c r="S1036" i="34"/>
  <c r="T1036" i="34"/>
  <c r="U1036" i="34"/>
  <c r="Y1036" i="34"/>
  <c r="Z1036" i="34"/>
  <c r="N1037" i="34"/>
  <c r="S1037" i="34"/>
  <c r="T1037" i="34"/>
  <c r="U1037" i="34"/>
  <c r="Y1037" i="34"/>
  <c r="Z1037" i="34"/>
  <c r="N1038" i="34"/>
  <c r="S1038" i="34"/>
  <c r="T1038" i="34"/>
  <c r="U1038" i="34"/>
  <c r="Y1038" i="34"/>
  <c r="Z1038" i="34"/>
  <c r="N1039" i="34"/>
  <c r="S1039" i="34"/>
  <c r="T1039" i="34"/>
  <c r="U1039" i="34"/>
  <c r="Y1039" i="34"/>
  <c r="Z1039" i="34"/>
  <c r="N1040" i="34"/>
  <c r="S1040" i="34"/>
  <c r="T1040" i="34"/>
  <c r="U1040" i="34"/>
  <c r="Y1040" i="34"/>
  <c r="Z1040" i="34"/>
  <c r="N1041" i="34"/>
  <c r="S1041" i="34"/>
  <c r="T1041" i="34"/>
  <c r="U1041" i="34"/>
  <c r="Y1041" i="34"/>
  <c r="Z1041" i="34"/>
  <c r="N1042" i="34"/>
  <c r="S1042" i="34"/>
  <c r="T1042" i="34"/>
  <c r="U1042" i="34"/>
  <c r="Y1042" i="34"/>
  <c r="Z1042" i="34"/>
  <c r="N1043" i="34"/>
  <c r="S1043" i="34"/>
  <c r="T1043" i="34"/>
  <c r="U1043" i="34"/>
  <c r="Y1043" i="34"/>
  <c r="Z1043" i="34"/>
  <c r="N1044" i="34"/>
  <c r="S1044" i="34"/>
  <c r="T1044" i="34"/>
  <c r="U1044" i="34"/>
  <c r="Y1044" i="34"/>
  <c r="Z1044" i="34"/>
  <c r="N1045" i="34"/>
  <c r="S1045" i="34"/>
  <c r="T1045" i="34"/>
  <c r="U1045" i="34"/>
  <c r="Y1045" i="34"/>
  <c r="Z1045" i="34"/>
  <c r="N1046" i="34"/>
  <c r="S1046" i="34"/>
  <c r="T1046" i="34"/>
  <c r="U1046" i="34"/>
  <c r="Y1046" i="34"/>
  <c r="Z1046" i="34"/>
  <c r="N1047" i="34"/>
  <c r="S1047" i="34"/>
  <c r="T1047" i="34"/>
  <c r="U1047" i="34"/>
  <c r="Y1047" i="34"/>
  <c r="Z1047" i="34"/>
  <c r="N1048" i="34"/>
  <c r="S1048" i="34"/>
  <c r="T1048" i="34"/>
  <c r="U1048" i="34"/>
  <c r="Y1048" i="34"/>
  <c r="Z1048" i="34"/>
  <c r="N1049" i="34"/>
  <c r="S1049" i="34"/>
  <c r="T1049" i="34"/>
  <c r="U1049" i="34"/>
  <c r="Y1049" i="34"/>
  <c r="Z1049" i="34"/>
  <c r="N1050" i="34"/>
  <c r="S1050" i="34"/>
  <c r="T1050" i="34"/>
  <c r="U1050" i="34"/>
  <c r="Y1050" i="34"/>
  <c r="Z1050" i="34"/>
  <c r="N1051" i="34"/>
  <c r="S1051" i="34"/>
  <c r="T1051" i="34"/>
  <c r="U1051" i="34"/>
  <c r="Y1051" i="34"/>
  <c r="Z1051" i="34"/>
  <c r="N1052" i="34"/>
  <c r="S1052" i="34"/>
  <c r="T1052" i="34"/>
  <c r="U1052" i="34"/>
  <c r="Y1052" i="34"/>
  <c r="Z1052" i="34"/>
  <c r="N1053" i="34"/>
  <c r="S1053" i="34"/>
  <c r="T1053" i="34"/>
  <c r="U1053" i="34"/>
  <c r="Y1053" i="34"/>
  <c r="Z1053" i="34"/>
  <c r="N1054" i="34"/>
  <c r="S1054" i="34"/>
  <c r="T1054" i="34"/>
  <c r="U1054" i="34"/>
  <c r="Y1054" i="34"/>
  <c r="Z1054" i="34"/>
  <c r="N1055" i="34"/>
  <c r="S1055" i="34"/>
  <c r="T1055" i="34"/>
  <c r="U1055" i="34"/>
  <c r="Y1055" i="34"/>
  <c r="Z1055" i="34"/>
  <c r="N1056" i="34"/>
  <c r="S1056" i="34"/>
  <c r="T1056" i="34"/>
  <c r="U1056" i="34"/>
  <c r="Y1056" i="34"/>
  <c r="Z1056" i="34"/>
  <c r="N1057" i="34"/>
  <c r="S1057" i="34"/>
  <c r="T1057" i="34"/>
  <c r="U1057" i="34"/>
  <c r="Y1057" i="34"/>
  <c r="Z1057" i="34"/>
  <c r="N1058" i="34"/>
  <c r="S1058" i="34"/>
  <c r="T1058" i="34"/>
  <c r="U1058" i="34"/>
  <c r="Y1058" i="34"/>
  <c r="Z1058" i="34"/>
  <c r="N1059" i="34"/>
  <c r="S1059" i="34"/>
  <c r="T1059" i="34"/>
  <c r="U1059" i="34"/>
  <c r="Y1059" i="34"/>
  <c r="Z1059" i="34"/>
  <c r="N1060" i="34"/>
  <c r="S1060" i="34"/>
  <c r="T1060" i="34"/>
  <c r="U1060" i="34"/>
  <c r="Y1060" i="34"/>
  <c r="Z1060" i="34"/>
  <c r="N1061" i="34"/>
  <c r="S1061" i="34"/>
  <c r="T1061" i="34"/>
  <c r="U1061" i="34"/>
  <c r="Y1061" i="34"/>
  <c r="Z1061" i="34"/>
  <c r="N1062" i="34"/>
  <c r="S1062" i="34"/>
  <c r="T1062" i="34"/>
  <c r="U1062" i="34"/>
  <c r="Y1062" i="34"/>
  <c r="Z1062" i="34"/>
  <c r="N1063" i="34"/>
  <c r="S1063" i="34"/>
  <c r="T1063" i="34"/>
  <c r="U1063" i="34"/>
  <c r="Y1063" i="34"/>
  <c r="Z1063" i="34"/>
  <c r="N1064" i="34"/>
  <c r="S1064" i="34"/>
  <c r="T1064" i="34"/>
  <c r="U1064" i="34"/>
  <c r="Y1064" i="34"/>
  <c r="Z1064" i="34"/>
  <c r="N1065" i="34"/>
  <c r="S1065" i="34"/>
  <c r="T1065" i="34"/>
  <c r="U1065" i="34"/>
  <c r="Y1065" i="34"/>
  <c r="Z1065" i="34"/>
  <c r="N1066" i="34"/>
  <c r="S1066" i="34"/>
  <c r="T1066" i="34"/>
  <c r="U1066" i="34"/>
  <c r="Y1066" i="34"/>
  <c r="Z1066" i="34"/>
  <c r="N1067" i="34"/>
  <c r="S1067" i="34"/>
  <c r="T1067" i="34"/>
  <c r="U1067" i="34"/>
  <c r="Y1067" i="34"/>
  <c r="Z1067" i="34"/>
  <c r="N1068" i="34"/>
  <c r="S1068" i="34"/>
  <c r="T1068" i="34"/>
  <c r="U1068" i="34"/>
  <c r="Y1068" i="34"/>
  <c r="Z1068" i="34"/>
  <c r="N1069" i="34"/>
  <c r="S1069" i="34"/>
  <c r="T1069" i="34"/>
  <c r="U1069" i="34"/>
  <c r="Y1069" i="34"/>
  <c r="Z1069" i="34"/>
  <c r="N1070" i="34"/>
  <c r="S1070" i="34"/>
  <c r="T1070" i="34"/>
  <c r="U1070" i="34"/>
  <c r="Y1070" i="34"/>
  <c r="Z1070" i="34"/>
  <c r="N1071" i="34"/>
  <c r="S1071" i="34"/>
  <c r="T1071" i="34"/>
  <c r="U1071" i="34"/>
  <c r="Y1071" i="34"/>
  <c r="Z1071" i="34"/>
  <c r="N1072" i="34"/>
  <c r="S1072" i="34"/>
  <c r="T1072" i="34"/>
  <c r="U1072" i="34"/>
  <c r="Y1072" i="34"/>
  <c r="Z1072" i="34"/>
  <c r="N1073" i="34"/>
  <c r="S1073" i="34"/>
  <c r="T1073" i="34"/>
  <c r="U1073" i="34"/>
  <c r="Y1073" i="34"/>
  <c r="Z1073" i="34"/>
  <c r="N1074" i="34"/>
  <c r="S1074" i="34"/>
  <c r="T1074" i="34"/>
  <c r="U1074" i="34"/>
  <c r="Y1074" i="34"/>
  <c r="Z1074" i="34"/>
  <c r="N1075" i="34"/>
  <c r="S1075" i="34"/>
  <c r="T1075" i="34"/>
  <c r="U1075" i="34"/>
  <c r="Y1075" i="34"/>
  <c r="Z1075" i="34"/>
  <c r="N1076" i="34"/>
  <c r="S1076" i="34"/>
  <c r="T1076" i="34"/>
  <c r="U1076" i="34"/>
  <c r="Y1076" i="34"/>
  <c r="Z1076" i="34"/>
  <c r="N1077" i="34"/>
  <c r="S1077" i="34"/>
  <c r="T1077" i="34"/>
  <c r="U1077" i="34"/>
  <c r="Y1077" i="34"/>
  <c r="Z1077" i="34"/>
  <c r="N1078" i="34"/>
  <c r="S1078" i="34"/>
  <c r="T1078" i="34"/>
  <c r="U1078" i="34"/>
  <c r="Y1078" i="34"/>
  <c r="Z1078" i="34"/>
  <c r="N1079" i="34"/>
  <c r="S1079" i="34"/>
  <c r="T1079" i="34"/>
  <c r="U1079" i="34"/>
  <c r="Y1079" i="34"/>
  <c r="Z1079" i="34"/>
  <c r="N1080" i="34"/>
  <c r="S1080" i="34"/>
  <c r="T1080" i="34"/>
  <c r="U1080" i="34"/>
  <c r="Y1080" i="34"/>
  <c r="Z1080" i="34"/>
  <c r="N1081" i="34"/>
  <c r="S1081" i="34"/>
  <c r="T1081" i="34"/>
  <c r="U1081" i="34"/>
  <c r="Y1081" i="34"/>
  <c r="Z1081" i="34"/>
  <c r="N1082" i="34"/>
  <c r="S1082" i="34"/>
  <c r="T1082" i="34"/>
  <c r="U1082" i="34"/>
  <c r="Y1082" i="34"/>
  <c r="Z1082" i="34"/>
  <c r="N1083" i="34"/>
  <c r="S1083" i="34"/>
  <c r="T1083" i="34"/>
  <c r="U1083" i="34"/>
  <c r="Y1083" i="34"/>
  <c r="Z1083" i="34"/>
  <c r="N1084" i="34"/>
  <c r="S1084" i="34"/>
  <c r="T1084" i="34"/>
  <c r="U1084" i="34"/>
  <c r="Y1084" i="34"/>
  <c r="Z1084" i="34"/>
  <c r="N1085" i="34"/>
  <c r="S1085" i="34"/>
  <c r="T1085" i="34"/>
  <c r="U1085" i="34"/>
  <c r="Y1085" i="34"/>
  <c r="Z1085" i="34"/>
  <c r="N1086" i="34"/>
  <c r="S1086" i="34"/>
  <c r="T1086" i="34"/>
  <c r="U1086" i="34"/>
  <c r="Y1086" i="34"/>
  <c r="Z1086" i="34"/>
  <c r="N1087" i="34"/>
  <c r="S1087" i="34"/>
  <c r="T1087" i="34"/>
  <c r="U1087" i="34"/>
  <c r="Y1087" i="34"/>
  <c r="Z1087" i="34"/>
  <c r="N1088" i="34"/>
  <c r="S1088" i="34"/>
  <c r="T1088" i="34"/>
  <c r="U1088" i="34"/>
  <c r="Y1088" i="34"/>
  <c r="Z1088" i="34"/>
  <c r="N1089" i="34"/>
  <c r="S1089" i="34"/>
  <c r="T1089" i="34"/>
  <c r="U1089" i="34"/>
  <c r="Y1089" i="34"/>
  <c r="Z1089" i="34"/>
  <c r="N1090" i="34"/>
  <c r="S1090" i="34"/>
  <c r="T1090" i="34"/>
  <c r="U1090" i="34"/>
  <c r="Y1090" i="34"/>
  <c r="Z1090" i="34"/>
  <c r="N1091" i="34"/>
  <c r="S1091" i="34"/>
  <c r="T1091" i="34"/>
  <c r="U1091" i="34"/>
  <c r="Y1091" i="34"/>
  <c r="Z1091" i="34"/>
  <c r="N1092" i="34"/>
  <c r="S1092" i="34"/>
  <c r="T1092" i="34"/>
  <c r="U1092" i="34"/>
  <c r="Y1092" i="34"/>
  <c r="Z1092" i="34"/>
  <c r="N1093" i="34"/>
  <c r="S1093" i="34"/>
  <c r="T1093" i="34"/>
  <c r="U1093" i="34"/>
  <c r="Y1093" i="34"/>
  <c r="Z1093" i="34"/>
  <c r="N1094" i="34"/>
  <c r="S1094" i="34"/>
  <c r="T1094" i="34"/>
  <c r="U1094" i="34"/>
  <c r="Y1094" i="34"/>
  <c r="Z1094" i="34"/>
  <c r="N1095" i="34"/>
  <c r="S1095" i="34"/>
  <c r="T1095" i="34"/>
  <c r="U1095" i="34"/>
  <c r="Y1095" i="34"/>
  <c r="Z1095" i="34"/>
  <c r="N1096" i="34"/>
  <c r="S1096" i="34"/>
  <c r="T1096" i="34"/>
  <c r="U1096" i="34"/>
  <c r="Y1096" i="34"/>
  <c r="Z1096" i="34"/>
  <c r="N1097" i="34"/>
  <c r="S1097" i="34"/>
  <c r="T1097" i="34"/>
  <c r="U1097" i="34"/>
  <c r="Y1097" i="34"/>
  <c r="Z1097" i="34"/>
  <c r="N1098" i="34"/>
  <c r="S1098" i="34"/>
  <c r="T1098" i="34"/>
  <c r="U1098" i="34"/>
  <c r="Y1098" i="34"/>
  <c r="Z1098" i="34"/>
  <c r="N1099" i="34"/>
  <c r="S1099" i="34"/>
  <c r="T1099" i="34"/>
  <c r="U1099" i="34"/>
  <c r="Y1099" i="34"/>
  <c r="Z1099" i="34"/>
  <c r="N1100" i="34"/>
  <c r="S1100" i="34"/>
  <c r="T1100" i="34"/>
  <c r="U1100" i="34"/>
  <c r="Y1100" i="34"/>
  <c r="Z1100" i="34"/>
  <c r="N1101" i="34"/>
  <c r="S1101" i="34"/>
  <c r="T1101" i="34"/>
  <c r="U1101" i="34"/>
  <c r="Y1101" i="34"/>
  <c r="Z1101" i="34"/>
  <c r="N1102" i="34"/>
  <c r="S1102" i="34"/>
  <c r="T1102" i="34"/>
  <c r="U1102" i="34"/>
  <c r="Y1102" i="34"/>
  <c r="Z1102" i="34"/>
  <c r="N1103" i="34"/>
  <c r="S1103" i="34"/>
  <c r="T1103" i="34"/>
  <c r="U1103" i="34"/>
  <c r="Y1103" i="34"/>
  <c r="Z1103" i="34"/>
  <c r="N1104" i="34"/>
  <c r="S1104" i="34"/>
  <c r="T1104" i="34"/>
  <c r="U1104" i="34"/>
  <c r="Y1104" i="34"/>
  <c r="Z1104" i="34"/>
  <c r="N1105" i="34"/>
  <c r="S1105" i="34"/>
  <c r="T1105" i="34"/>
  <c r="U1105" i="34"/>
  <c r="Y1105" i="34"/>
  <c r="Z1105" i="34"/>
  <c r="N1106" i="34"/>
  <c r="S1106" i="34"/>
  <c r="T1106" i="34"/>
  <c r="U1106" i="34"/>
  <c r="Y1106" i="34"/>
  <c r="Z1106" i="34"/>
  <c r="N1107" i="34"/>
  <c r="S1107" i="34"/>
  <c r="T1107" i="34"/>
  <c r="U1107" i="34"/>
  <c r="Y1107" i="34"/>
  <c r="Z1107" i="34"/>
  <c r="N1108" i="34"/>
  <c r="S1108" i="34"/>
  <c r="T1108" i="34"/>
  <c r="U1108" i="34"/>
  <c r="Y1108" i="34"/>
  <c r="Z1108" i="34"/>
  <c r="N1109" i="34"/>
  <c r="S1109" i="34"/>
  <c r="T1109" i="34"/>
  <c r="U1109" i="34"/>
  <c r="Y1109" i="34"/>
  <c r="Z1109" i="34"/>
  <c r="N1110" i="34"/>
  <c r="S1110" i="34"/>
  <c r="T1110" i="34"/>
  <c r="U1110" i="34"/>
  <c r="Y1110" i="34"/>
  <c r="Z1110" i="34"/>
  <c r="N1111" i="34"/>
  <c r="S1111" i="34"/>
  <c r="T1111" i="34"/>
  <c r="U1111" i="34"/>
  <c r="Y1111" i="34"/>
  <c r="Z1111" i="34"/>
  <c r="N1112" i="34"/>
  <c r="S1112" i="34"/>
  <c r="T1112" i="34"/>
  <c r="U1112" i="34"/>
  <c r="Y1112" i="34"/>
  <c r="Z1112" i="34"/>
  <c r="N1113" i="34"/>
  <c r="S1113" i="34"/>
  <c r="T1113" i="34"/>
  <c r="U1113" i="34"/>
  <c r="Y1113" i="34"/>
  <c r="Z1113" i="34"/>
  <c r="N1114" i="34"/>
  <c r="S1114" i="34"/>
  <c r="T1114" i="34"/>
  <c r="U1114" i="34"/>
  <c r="Y1114" i="34"/>
  <c r="Z1114" i="34"/>
  <c r="N1115" i="34"/>
  <c r="S1115" i="34"/>
  <c r="T1115" i="34"/>
  <c r="U1115" i="34"/>
  <c r="Y1115" i="34"/>
  <c r="Z1115" i="34"/>
  <c r="N1116" i="34"/>
  <c r="S1116" i="34"/>
  <c r="T1116" i="34"/>
  <c r="U1116" i="34"/>
  <c r="Y1116" i="34"/>
  <c r="Z1116" i="34"/>
  <c r="N1117" i="34"/>
  <c r="S1117" i="34"/>
  <c r="T1117" i="34"/>
  <c r="U1117" i="34"/>
  <c r="Y1117" i="34"/>
  <c r="Z1117" i="34"/>
  <c r="N1118" i="34"/>
  <c r="S1118" i="34"/>
  <c r="T1118" i="34"/>
  <c r="U1118" i="34"/>
  <c r="Y1118" i="34"/>
  <c r="Z1118" i="34"/>
  <c r="N1119" i="34"/>
  <c r="S1119" i="34"/>
  <c r="T1119" i="34"/>
  <c r="U1119" i="34"/>
  <c r="Y1119" i="34"/>
  <c r="Z1119" i="34"/>
  <c r="N1120" i="34"/>
  <c r="S1120" i="34"/>
  <c r="T1120" i="34"/>
  <c r="U1120" i="34"/>
  <c r="Y1120" i="34"/>
  <c r="Z1120" i="34"/>
  <c r="N1121" i="34"/>
  <c r="S1121" i="34"/>
  <c r="T1121" i="34"/>
  <c r="U1121" i="34"/>
  <c r="Y1121" i="34"/>
  <c r="Z1121" i="34"/>
  <c r="N1122" i="34"/>
  <c r="S1122" i="34"/>
  <c r="T1122" i="34"/>
  <c r="U1122" i="34"/>
  <c r="Y1122" i="34"/>
  <c r="Z1122" i="34"/>
  <c r="N1123" i="34"/>
  <c r="S1123" i="34"/>
  <c r="T1123" i="34"/>
  <c r="U1123" i="34"/>
  <c r="Y1123" i="34"/>
  <c r="Z1123" i="34"/>
  <c r="N1124" i="34"/>
  <c r="S1124" i="34"/>
  <c r="T1124" i="34"/>
  <c r="U1124" i="34"/>
  <c r="Y1124" i="34"/>
  <c r="Z1124" i="34"/>
  <c r="N1125" i="34"/>
  <c r="S1125" i="34"/>
  <c r="T1125" i="34"/>
  <c r="U1125" i="34"/>
  <c r="Y1125" i="34"/>
  <c r="Z1125" i="34"/>
  <c r="N1126" i="34"/>
  <c r="S1126" i="34"/>
  <c r="T1126" i="34"/>
  <c r="U1126" i="34"/>
  <c r="Y1126" i="34"/>
  <c r="Z1126" i="34"/>
  <c r="N1127" i="34"/>
  <c r="S1127" i="34"/>
  <c r="T1127" i="34"/>
  <c r="U1127" i="34"/>
  <c r="Y1127" i="34"/>
  <c r="Z1127" i="34"/>
  <c r="N1128" i="34"/>
  <c r="S1128" i="34"/>
  <c r="T1128" i="34"/>
  <c r="U1128" i="34"/>
  <c r="Y1128" i="34"/>
  <c r="Z1128" i="34"/>
  <c r="N1129" i="34"/>
  <c r="S1129" i="34"/>
  <c r="T1129" i="34"/>
  <c r="U1129" i="34"/>
  <c r="Y1129" i="34"/>
  <c r="Z1129" i="34"/>
  <c r="N1130" i="34"/>
  <c r="S1130" i="34"/>
  <c r="T1130" i="34"/>
  <c r="U1130" i="34"/>
  <c r="Y1130" i="34"/>
  <c r="Z1130" i="34"/>
  <c r="N1131" i="34"/>
  <c r="S1131" i="34"/>
  <c r="T1131" i="34"/>
  <c r="U1131" i="34"/>
  <c r="Y1131" i="34"/>
  <c r="Z1131" i="34"/>
  <c r="N1132" i="34"/>
  <c r="S1132" i="34"/>
  <c r="T1132" i="34"/>
  <c r="U1132" i="34"/>
  <c r="Y1132" i="34"/>
  <c r="Z1132" i="34"/>
  <c r="N1133" i="34"/>
  <c r="S1133" i="34"/>
  <c r="T1133" i="34"/>
  <c r="U1133" i="34"/>
  <c r="Y1133" i="34"/>
  <c r="Z1133" i="34"/>
  <c r="N1134" i="34"/>
  <c r="S1134" i="34"/>
  <c r="T1134" i="34"/>
  <c r="U1134" i="34"/>
  <c r="Y1134" i="34"/>
  <c r="Z1134" i="34"/>
  <c r="N1135" i="34"/>
  <c r="S1135" i="34"/>
  <c r="T1135" i="34"/>
  <c r="U1135" i="34"/>
  <c r="Y1135" i="34"/>
  <c r="Z1135" i="34"/>
  <c r="N1136" i="34"/>
  <c r="S1136" i="34"/>
  <c r="T1136" i="34"/>
  <c r="U1136" i="34"/>
  <c r="Y1136" i="34"/>
  <c r="Z1136" i="34"/>
  <c r="N1137" i="34"/>
  <c r="S1137" i="34"/>
  <c r="T1137" i="34"/>
  <c r="U1137" i="34"/>
  <c r="Y1137" i="34"/>
  <c r="Z1137" i="34"/>
  <c r="N1138" i="34"/>
  <c r="S1138" i="34"/>
  <c r="T1138" i="34"/>
  <c r="U1138" i="34"/>
  <c r="Y1138" i="34"/>
  <c r="Z1138" i="34"/>
  <c r="N1139" i="34"/>
  <c r="S1139" i="34"/>
  <c r="T1139" i="34"/>
  <c r="U1139" i="34"/>
  <c r="Y1139" i="34"/>
  <c r="Z1139" i="34"/>
  <c r="N1140" i="34"/>
  <c r="S1140" i="34"/>
  <c r="T1140" i="34"/>
  <c r="U1140" i="34"/>
  <c r="Y1140" i="34"/>
  <c r="Z1140" i="34"/>
  <c r="N1141" i="34"/>
  <c r="S1141" i="34"/>
  <c r="T1141" i="34"/>
  <c r="U1141" i="34"/>
  <c r="Y1141" i="34"/>
  <c r="Z1141" i="34"/>
  <c r="N1142" i="34"/>
  <c r="S1142" i="34"/>
  <c r="T1142" i="34"/>
  <c r="U1142" i="34"/>
  <c r="Y1142" i="34"/>
  <c r="Z1142" i="34"/>
  <c r="N1143" i="34"/>
  <c r="S1143" i="34"/>
  <c r="T1143" i="34"/>
  <c r="U1143" i="34"/>
  <c r="Y1143" i="34"/>
  <c r="Z1143" i="34"/>
  <c r="N1144" i="34"/>
  <c r="S1144" i="34"/>
  <c r="T1144" i="34"/>
  <c r="U1144" i="34"/>
  <c r="Y1144" i="34"/>
  <c r="Z1144" i="34"/>
  <c r="N1145" i="34"/>
  <c r="S1145" i="34"/>
  <c r="T1145" i="34"/>
  <c r="U1145" i="34"/>
  <c r="Y1145" i="34"/>
  <c r="Z1145" i="34"/>
  <c r="N1146" i="34"/>
  <c r="S1146" i="34"/>
  <c r="T1146" i="34"/>
  <c r="U1146" i="34"/>
  <c r="Y1146" i="34"/>
  <c r="Z1146" i="34"/>
  <c r="N1147" i="34"/>
  <c r="S1147" i="34"/>
  <c r="T1147" i="34"/>
  <c r="U1147" i="34"/>
  <c r="Y1147" i="34"/>
  <c r="Z1147" i="34"/>
  <c r="N1148" i="34"/>
  <c r="S1148" i="34"/>
  <c r="T1148" i="34"/>
  <c r="U1148" i="34"/>
  <c r="Y1148" i="34"/>
  <c r="Z1148" i="34"/>
  <c r="N1149" i="34"/>
  <c r="S1149" i="34"/>
  <c r="T1149" i="34"/>
  <c r="U1149" i="34"/>
  <c r="Y1149" i="34"/>
  <c r="Z1149" i="34"/>
  <c r="N1150" i="34"/>
  <c r="S1150" i="34"/>
  <c r="T1150" i="34"/>
  <c r="U1150" i="34"/>
  <c r="Y1150" i="34"/>
  <c r="Z1150" i="34"/>
  <c r="N1151" i="34"/>
  <c r="S1151" i="34"/>
  <c r="T1151" i="34"/>
  <c r="U1151" i="34"/>
  <c r="Y1151" i="34"/>
  <c r="Z1151" i="34"/>
  <c r="N1152" i="34"/>
  <c r="S1152" i="34"/>
  <c r="T1152" i="34"/>
  <c r="U1152" i="34"/>
  <c r="Y1152" i="34"/>
  <c r="Z1152" i="34"/>
  <c r="N1153" i="34"/>
  <c r="S1153" i="34"/>
  <c r="T1153" i="34"/>
  <c r="U1153" i="34"/>
  <c r="Y1153" i="34"/>
  <c r="Z1153" i="34"/>
  <c r="N1154" i="34"/>
  <c r="S1154" i="34"/>
  <c r="T1154" i="34"/>
  <c r="U1154" i="34"/>
  <c r="Y1154" i="34"/>
  <c r="Z1154" i="34"/>
  <c r="N1155" i="34"/>
  <c r="S1155" i="34"/>
  <c r="T1155" i="34"/>
  <c r="U1155" i="34"/>
  <c r="Y1155" i="34"/>
  <c r="Z1155" i="34"/>
  <c r="N1156" i="34"/>
  <c r="S1156" i="34"/>
  <c r="T1156" i="34"/>
  <c r="U1156" i="34"/>
  <c r="Y1156" i="34"/>
  <c r="Z1156" i="34"/>
  <c r="N1157" i="34"/>
  <c r="S1157" i="34"/>
  <c r="T1157" i="34"/>
  <c r="U1157" i="34"/>
  <c r="Y1157" i="34"/>
  <c r="Z1157" i="34"/>
  <c r="N1158" i="34"/>
  <c r="S1158" i="34"/>
  <c r="T1158" i="34"/>
  <c r="U1158" i="34"/>
  <c r="Y1158" i="34"/>
  <c r="Z1158" i="34"/>
  <c r="N1159" i="34"/>
  <c r="S1159" i="34"/>
  <c r="T1159" i="34"/>
  <c r="U1159" i="34"/>
  <c r="Y1159" i="34"/>
  <c r="Z1159" i="34"/>
  <c r="N1160" i="34"/>
  <c r="Y1160" i="34"/>
  <c r="Z1160" i="34"/>
  <c r="N1161" i="34"/>
  <c r="Y1161" i="34"/>
  <c r="Z1161" i="34"/>
  <c r="N1163" i="34"/>
  <c r="Y1163" i="34"/>
  <c r="Z1163" i="34"/>
  <c r="N1164" i="34"/>
  <c r="Y1164" i="34"/>
  <c r="Z1164" i="34"/>
  <c r="N1165" i="34"/>
  <c r="Y1165" i="34"/>
  <c r="Z1165" i="34"/>
  <c r="N1166" i="34"/>
  <c r="Y1166" i="34"/>
  <c r="Z1166" i="34"/>
  <c r="N1167" i="34"/>
  <c r="Y1167" i="34"/>
  <c r="Z1167" i="34"/>
  <c r="N1168" i="34"/>
  <c r="Y1168" i="34"/>
  <c r="Z1168" i="34"/>
  <c r="N1169" i="34"/>
  <c r="Y1169" i="34"/>
  <c r="Z1169" i="34"/>
  <c r="N1170" i="34"/>
  <c r="Y1170" i="34"/>
  <c r="Z1170" i="34"/>
  <c r="N1171" i="34"/>
  <c r="Y1171" i="34"/>
  <c r="Z1171" i="34"/>
  <c r="N1172" i="34"/>
  <c r="Y1172" i="34"/>
  <c r="Z1172" i="34"/>
  <c r="N1173" i="34"/>
  <c r="Y1173" i="34"/>
  <c r="Z1173" i="34"/>
  <c r="N1174" i="34"/>
  <c r="Y1174" i="34"/>
  <c r="Z1174" i="34"/>
  <c r="N1175" i="34"/>
  <c r="Y1175" i="34"/>
  <c r="Z1175" i="34"/>
  <c r="N1176" i="34"/>
  <c r="Y1176" i="34"/>
  <c r="Z1176" i="34"/>
  <c r="N1177" i="34"/>
  <c r="Y1177" i="34"/>
  <c r="Z1177" i="34"/>
  <c r="N1178" i="34"/>
  <c r="Y1178" i="34"/>
  <c r="Z1178" i="34"/>
  <c r="N1179" i="34"/>
  <c r="Y1179" i="34"/>
  <c r="Z1179" i="34"/>
  <c r="N1180" i="34"/>
  <c r="Y1180" i="34"/>
  <c r="Z1180" i="34"/>
  <c r="N1181" i="34"/>
  <c r="Y1181" i="34"/>
  <c r="Z1181" i="34"/>
  <c r="N1182" i="34"/>
  <c r="Y1182" i="34"/>
  <c r="Z1182" i="34"/>
  <c r="N1184" i="34"/>
  <c r="Y1184" i="34"/>
  <c r="Z1184" i="34"/>
  <c r="N1186" i="34"/>
  <c r="Y1186" i="34"/>
  <c r="Z1186" i="34"/>
  <c r="N1187" i="34"/>
  <c r="Y1187" i="34"/>
  <c r="Z1187" i="34"/>
  <c r="N1188" i="34"/>
  <c r="Y1188" i="34"/>
  <c r="Z1188" i="34"/>
  <c r="N1189" i="34"/>
  <c r="Y1189" i="34"/>
  <c r="Z1189" i="34"/>
  <c r="N1190" i="34"/>
  <c r="Y1190" i="34"/>
  <c r="Z1190" i="34"/>
  <c r="N1191" i="34"/>
  <c r="Y1191" i="34"/>
  <c r="Z1191" i="34"/>
  <c r="N1192" i="34"/>
  <c r="Y1192" i="34"/>
  <c r="Z1192" i="34"/>
  <c r="N1193" i="34"/>
  <c r="Y1193" i="34"/>
  <c r="Z1193" i="34"/>
  <c r="N1194" i="34"/>
  <c r="Y1194" i="34"/>
  <c r="Z1194" i="34"/>
  <c r="N1195" i="34"/>
  <c r="Y1195" i="34"/>
  <c r="Z1195" i="34"/>
  <c r="N1196" i="34"/>
  <c r="Y1196" i="34"/>
  <c r="Z1196" i="34"/>
  <c r="N1199" i="34"/>
  <c r="Y1199" i="34"/>
  <c r="Z1199" i="34"/>
  <c r="N1200" i="34"/>
  <c r="Y1200" i="34"/>
  <c r="Z1200" i="34"/>
  <c r="N1201" i="34"/>
  <c r="Y1201" i="34"/>
  <c r="Z1201" i="34"/>
  <c r="N1202" i="34"/>
  <c r="Y1202" i="34"/>
  <c r="Z1202" i="34"/>
  <c r="N1203" i="34"/>
  <c r="Y1203" i="34"/>
  <c r="Z1203" i="34"/>
  <c r="N1204" i="34"/>
  <c r="Y1204" i="34"/>
  <c r="Z1204" i="34"/>
  <c r="N1205" i="34"/>
  <c r="Y1205" i="34"/>
  <c r="Z1205" i="34"/>
  <c r="N1206" i="34"/>
  <c r="Y1206" i="34"/>
  <c r="Z1206" i="34"/>
  <c r="N1207" i="34"/>
  <c r="Y1207" i="34"/>
  <c r="Z1207" i="34"/>
  <c r="N1208" i="34"/>
  <c r="Y1208" i="34"/>
  <c r="Z1208" i="34"/>
  <c r="N1209" i="34"/>
  <c r="Y1209" i="34"/>
  <c r="Z1209" i="34"/>
  <c r="N1210" i="34"/>
  <c r="Y1210" i="34"/>
  <c r="Z1210" i="34"/>
  <c r="N1211" i="34"/>
  <c r="Y1211" i="34"/>
  <c r="Z1211" i="34"/>
  <c r="N1212" i="34"/>
  <c r="Y1212" i="34"/>
  <c r="Z1212" i="34"/>
  <c r="N1213" i="34"/>
  <c r="Y1213" i="34"/>
  <c r="Z1213" i="34"/>
  <c r="N1214" i="34"/>
  <c r="Y1214" i="34"/>
  <c r="Z1214" i="34"/>
  <c r="N1215" i="34"/>
  <c r="Y1215" i="34"/>
  <c r="Z1215" i="34"/>
  <c r="N1216" i="34"/>
  <c r="Y1216" i="34"/>
  <c r="Z1216" i="34"/>
  <c r="N1217" i="34"/>
  <c r="Y1217" i="34"/>
  <c r="Z1217" i="34"/>
  <c r="N1218" i="34"/>
  <c r="Y1218" i="34"/>
  <c r="Z1218" i="34"/>
  <c r="N1220" i="34"/>
  <c r="Y1220" i="34"/>
  <c r="Z1220" i="34"/>
  <c r="N1221" i="34"/>
  <c r="Y1221" i="34"/>
  <c r="Z1221" i="34"/>
  <c r="N1222" i="34"/>
  <c r="Y1222" i="34"/>
  <c r="Z1222" i="34"/>
  <c r="N1223" i="34"/>
  <c r="Y1223" i="34"/>
  <c r="Z1223" i="34"/>
  <c r="N1224" i="34"/>
  <c r="Y1224" i="34"/>
  <c r="Z1224" i="34"/>
  <c r="N1225" i="34"/>
  <c r="Y1225" i="34"/>
  <c r="Z1225" i="34"/>
  <c r="N1226" i="34"/>
  <c r="Y1226" i="34"/>
  <c r="Z1226" i="34"/>
  <c r="N1227" i="34"/>
  <c r="Y1227" i="34"/>
  <c r="Z1227" i="34"/>
  <c r="N1228" i="34"/>
  <c r="Y1228" i="34"/>
  <c r="Z1228" i="34"/>
  <c r="N1229" i="34"/>
  <c r="Y1229" i="34"/>
  <c r="Z1229" i="34"/>
  <c r="N1230" i="34"/>
  <c r="Y1230" i="34"/>
  <c r="Z1230" i="34"/>
  <c r="N1231" i="34"/>
  <c r="Y1231" i="34"/>
  <c r="Z1231" i="34"/>
  <c r="N1232" i="34"/>
  <c r="Y1232" i="34"/>
  <c r="Z1232" i="34"/>
  <c r="N1233" i="34"/>
  <c r="Y1233" i="34"/>
  <c r="Z1233" i="34"/>
  <c r="N1234" i="34"/>
  <c r="Y1234" i="34"/>
  <c r="Z1234" i="34"/>
  <c r="N1235" i="34"/>
  <c r="Y1235" i="34"/>
  <c r="Z1235" i="34"/>
  <c r="N1236" i="34"/>
  <c r="Y1236" i="34"/>
  <c r="Z1236" i="34"/>
  <c r="N1237" i="34"/>
  <c r="S1237" i="34"/>
  <c r="T1237" i="34"/>
  <c r="U1237" i="34"/>
  <c r="Y1237" i="34"/>
  <c r="Z1237" i="34"/>
  <c r="N1238" i="34"/>
  <c r="S1238" i="34"/>
  <c r="T1238" i="34"/>
  <c r="U1238" i="34"/>
  <c r="Y1238" i="34"/>
  <c r="Z1238" i="34"/>
  <c r="N1239" i="34"/>
  <c r="S1239" i="34"/>
  <c r="T1239" i="34"/>
  <c r="U1239" i="34"/>
  <c r="Y1239" i="34"/>
  <c r="Z1239" i="34"/>
  <c r="N1240" i="34"/>
  <c r="S1240" i="34"/>
  <c r="T1240" i="34"/>
  <c r="U1240" i="34"/>
  <c r="Y1240" i="34"/>
  <c r="Z1240" i="34"/>
  <c r="N1241" i="34"/>
  <c r="S1241" i="34"/>
  <c r="T1241" i="34"/>
  <c r="U1241" i="34"/>
  <c r="Y1241" i="34"/>
  <c r="Z1241" i="34"/>
  <c r="N1242" i="34"/>
  <c r="S1242" i="34"/>
  <c r="T1242" i="34"/>
  <c r="U1242" i="34"/>
  <c r="Y1242" i="34"/>
  <c r="Z1242" i="34"/>
  <c r="N1243" i="34"/>
  <c r="S1243" i="34"/>
  <c r="T1243" i="34"/>
  <c r="U1243" i="34"/>
  <c r="Y1243" i="34"/>
  <c r="Z1243" i="34"/>
  <c r="N1244" i="34"/>
  <c r="S1244" i="34"/>
  <c r="T1244" i="34"/>
  <c r="U1244" i="34"/>
  <c r="Y1244" i="34"/>
  <c r="Z1244" i="34"/>
  <c r="N1245" i="34"/>
  <c r="S1245" i="34"/>
  <c r="T1245" i="34"/>
  <c r="U1245" i="34"/>
  <c r="Y1245" i="34"/>
  <c r="Z1245" i="34"/>
  <c r="N1246" i="34"/>
  <c r="S1246" i="34"/>
  <c r="T1246" i="34"/>
  <c r="U1246" i="34"/>
  <c r="Y1246" i="34"/>
  <c r="Z1246" i="34"/>
  <c r="N1247" i="34"/>
  <c r="S1247" i="34"/>
  <c r="T1247" i="34"/>
  <c r="U1247" i="34"/>
  <c r="Y1247" i="34"/>
  <c r="Z1247" i="34"/>
  <c r="N1248" i="34"/>
  <c r="S1248" i="34"/>
  <c r="T1248" i="34"/>
  <c r="U1248" i="34"/>
  <c r="Y1248" i="34"/>
  <c r="Z1248" i="34"/>
  <c r="N1249" i="34"/>
  <c r="S1249" i="34"/>
  <c r="T1249" i="34"/>
  <c r="U1249" i="34"/>
  <c r="Y1249" i="34"/>
  <c r="Z1249" i="34"/>
  <c r="N1250" i="34"/>
  <c r="S1250" i="34"/>
  <c r="T1250" i="34"/>
  <c r="U1250" i="34"/>
  <c r="Y1250" i="34"/>
  <c r="Z1250" i="34"/>
  <c r="N1251" i="34"/>
  <c r="S1251" i="34"/>
  <c r="T1251" i="34"/>
  <c r="U1251" i="34"/>
  <c r="Y1251" i="34"/>
  <c r="Z1251" i="34"/>
  <c r="N1252" i="34"/>
  <c r="S1252" i="34"/>
  <c r="T1252" i="34"/>
  <c r="U1252" i="34"/>
  <c r="Y1252" i="34"/>
  <c r="Z1252" i="34"/>
  <c r="N1253" i="34"/>
  <c r="S1253" i="34"/>
  <c r="T1253" i="34"/>
  <c r="U1253" i="34"/>
  <c r="Y1253" i="34"/>
  <c r="Z1253" i="34"/>
  <c r="N1254" i="34"/>
  <c r="S1254" i="34"/>
  <c r="T1254" i="34"/>
  <c r="U1254" i="34"/>
  <c r="Y1254" i="34"/>
  <c r="Z1254" i="34"/>
  <c r="N1255" i="34"/>
  <c r="S1255" i="34"/>
  <c r="T1255" i="34"/>
  <c r="U1255" i="34"/>
  <c r="Y1255" i="34"/>
  <c r="Z1255" i="34"/>
  <c r="N1256" i="34"/>
  <c r="S1256" i="34"/>
  <c r="T1256" i="34"/>
  <c r="U1256" i="34"/>
  <c r="Y1256" i="34"/>
  <c r="Z1256" i="34"/>
  <c r="N1257" i="34"/>
  <c r="S1257" i="34"/>
  <c r="T1257" i="34"/>
  <c r="U1257" i="34"/>
  <c r="Y1257" i="34"/>
  <c r="Z1257" i="34"/>
  <c r="N1258" i="34"/>
  <c r="S1258" i="34"/>
  <c r="T1258" i="34"/>
  <c r="U1258" i="34"/>
  <c r="Y1258" i="34"/>
  <c r="Z1258" i="34"/>
  <c r="N1259" i="34"/>
  <c r="S1259" i="34"/>
  <c r="T1259" i="34"/>
  <c r="U1259" i="34"/>
  <c r="Y1259" i="34"/>
  <c r="Z1259" i="34"/>
  <c r="N1260" i="34"/>
  <c r="S1260" i="34"/>
  <c r="T1260" i="34"/>
  <c r="U1260" i="34"/>
  <c r="Y1260" i="34"/>
  <c r="Z1260" i="34"/>
  <c r="N1261" i="34"/>
  <c r="S1261" i="34"/>
  <c r="T1261" i="34"/>
  <c r="U1261" i="34"/>
  <c r="Y1261" i="34"/>
  <c r="Z1261" i="34"/>
  <c r="N1262" i="34"/>
  <c r="S1262" i="34"/>
  <c r="T1262" i="34"/>
  <c r="U1262" i="34"/>
  <c r="Y1262" i="34"/>
  <c r="Z1262" i="34"/>
  <c r="N1263" i="34"/>
  <c r="S1263" i="34"/>
  <c r="T1263" i="34"/>
  <c r="U1263" i="34"/>
  <c r="Y1263" i="34"/>
  <c r="Z1263" i="34"/>
  <c r="N1264" i="34"/>
  <c r="S1264" i="34"/>
  <c r="T1264" i="34"/>
  <c r="U1264" i="34"/>
  <c r="Y1264" i="34"/>
  <c r="Z1264" i="34"/>
  <c r="N1265" i="34"/>
  <c r="S1265" i="34"/>
  <c r="T1265" i="34"/>
  <c r="U1265" i="34"/>
  <c r="Y1265" i="34"/>
  <c r="Z1265" i="34"/>
  <c r="N1266" i="34"/>
  <c r="S1266" i="34"/>
  <c r="T1266" i="34"/>
  <c r="U1266" i="34"/>
  <c r="Y1266" i="34"/>
  <c r="Z1266" i="34"/>
  <c r="N1267" i="34"/>
  <c r="S1267" i="34"/>
  <c r="T1267" i="34"/>
  <c r="U1267" i="34"/>
  <c r="Y1267" i="34"/>
  <c r="Z1267" i="34"/>
  <c r="N1268" i="34"/>
  <c r="S1268" i="34"/>
  <c r="T1268" i="34"/>
  <c r="U1268" i="34"/>
  <c r="Y1268" i="34"/>
  <c r="Z1268" i="34"/>
  <c r="N1269" i="34"/>
  <c r="S1269" i="34"/>
  <c r="T1269" i="34"/>
  <c r="U1269" i="34"/>
  <c r="Y1269" i="34"/>
  <c r="Z1269" i="34"/>
  <c r="N1270" i="34"/>
  <c r="S1270" i="34"/>
  <c r="T1270" i="34"/>
  <c r="U1270" i="34"/>
  <c r="Y1270" i="34"/>
  <c r="Z1270" i="34"/>
  <c r="N1271" i="34"/>
  <c r="S1271" i="34"/>
  <c r="T1271" i="34"/>
  <c r="U1271" i="34"/>
  <c r="Y1271" i="34"/>
  <c r="Z1271" i="34"/>
  <c r="N1272" i="34"/>
  <c r="S1272" i="34"/>
  <c r="T1272" i="34"/>
  <c r="U1272" i="34"/>
  <c r="Y1272" i="34"/>
  <c r="Z1272" i="34"/>
  <c r="N1273" i="34"/>
  <c r="S1273" i="34"/>
  <c r="T1273" i="34"/>
  <c r="U1273" i="34"/>
  <c r="Y1273" i="34"/>
  <c r="Z1273" i="34"/>
  <c r="N1274" i="34"/>
  <c r="S1274" i="34"/>
  <c r="T1274" i="34"/>
  <c r="U1274" i="34"/>
  <c r="Y1274" i="34"/>
  <c r="Z1274" i="34"/>
  <c r="N1275" i="34"/>
  <c r="S1275" i="34"/>
  <c r="T1275" i="34"/>
  <c r="U1275" i="34"/>
  <c r="Y1275" i="34"/>
  <c r="Z1275" i="34"/>
  <c r="N1276" i="34"/>
  <c r="S1276" i="34"/>
  <c r="T1276" i="34"/>
  <c r="U1276" i="34"/>
  <c r="Y1276" i="34"/>
  <c r="Z1276" i="34"/>
  <c r="N1277" i="34"/>
  <c r="S1277" i="34"/>
  <c r="T1277" i="34"/>
  <c r="U1277" i="34"/>
  <c r="Y1277" i="34"/>
  <c r="Z1277" i="34"/>
  <c r="N1278" i="34"/>
  <c r="S1278" i="34"/>
  <c r="T1278" i="34"/>
  <c r="U1278" i="34"/>
  <c r="Y1278" i="34"/>
  <c r="Z1278" i="34"/>
  <c r="N1279" i="34"/>
  <c r="S1279" i="34"/>
  <c r="T1279" i="34"/>
  <c r="U1279" i="34"/>
  <c r="Y1279" i="34"/>
  <c r="Z1279" i="34"/>
  <c r="N1280" i="34"/>
  <c r="S1280" i="34"/>
  <c r="T1280" i="34"/>
  <c r="U1280" i="34"/>
  <c r="Y1280" i="34"/>
  <c r="Z1280" i="34"/>
  <c r="N1281" i="34"/>
  <c r="S1281" i="34"/>
  <c r="T1281" i="34"/>
  <c r="U1281" i="34"/>
  <c r="Y1281" i="34"/>
  <c r="Z1281" i="34"/>
  <c r="N1282" i="34"/>
  <c r="S1282" i="34"/>
  <c r="T1282" i="34"/>
  <c r="U1282" i="34"/>
  <c r="Y1282" i="34"/>
  <c r="Z1282" i="34"/>
  <c r="N1283" i="34"/>
  <c r="S1283" i="34"/>
  <c r="T1283" i="34"/>
  <c r="U1283" i="34"/>
  <c r="Y1283" i="34"/>
  <c r="Z1283" i="34"/>
  <c r="N1284" i="34"/>
  <c r="S1284" i="34"/>
  <c r="T1284" i="34"/>
  <c r="U1284" i="34"/>
  <c r="Y1284" i="34"/>
  <c r="Z1284" i="34"/>
  <c r="N1285" i="34"/>
  <c r="S1285" i="34"/>
  <c r="T1285" i="34"/>
  <c r="U1285" i="34"/>
  <c r="Y1285" i="34"/>
  <c r="Z1285" i="34"/>
  <c r="N1286" i="34"/>
  <c r="S1286" i="34"/>
  <c r="T1286" i="34"/>
  <c r="U1286" i="34"/>
  <c r="Y1286" i="34"/>
  <c r="Z1286" i="34"/>
  <c r="N1287" i="34"/>
  <c r="S1287" i="34"/>
  <c r="T1287" i="34"/>
  <c r="U1287" i="34"/>
  <c r="Y1287" i="34"/>
  <c r="Z1287" i="34"/>
  <c r="N1288" i="34"/>
  <c r="S1288" i="34"/>
  <c r="T1288" i="34"/>
  <c r="U1288" i="34"/>
  <c r="Y1288" i="34"/>
  <c r="Z1288" i="34"/>
  <c r="N1289" i="34"/>
  <c r="S1289" i="34"/>
  <c r="T1289" i="34"/>
  <c r="U1289" i="34"/>
  <c r="Y1289" i="34"/>
  <c r="Z1289" i="34"/>
  <c r="N1290" i="34"/>
  <c r="S1290" i="34"/>
  <c r="T1290" i="34"/>
  <c r="U1290" i="34"/>
  <c r="Y1290" i="34"/>
  <c r="Z1290" i="34"/>
  <c r="N1291" i="34"/>
  <c r="S1291" i="34"/>
  <c r="T1291" i="34"/>
  <c r="U1291" i="34"/>
  <c r="Y1291" i="34"/>
  <c r="Z1291" i="34"/>
  <c r="N1292" i="34"/>
  <c r="S1292" i="34"/>
  <c r="T1292" i="34"/>
  <c r="U1292" i="34"/>
  <c r="Y1292" i="34"/>
  <c r="Z1292" i="34"/>
  <c r="N1293" i="34"/>
  <c r="S1293" i="34"/>
  <c r="T1293" i="34"/>
  <c r="U1293" i="34"/>
  <c r="Y1293" i="34"/>
  <c r="Z1293" i="34"/>
  <c r="N1294" i="34"/>
  <c r="S1294" i="34"/>
  <c r="T1294" i="34"/>
  <c r="U1294" i="34"/>
  <c r="Y1294" i="34"/>
  <c r="Z1294" i="34"/>
  <c r="N1295" i="34"/>
  <c r="S1295" i="34"/>
  <c r="T1295" i="34"/>
  <c r="U1295" i="34"/>
  <c r="Y1295" i="34"/>
  <c r="Z1295" i="34"/>
  <c r="N1296" i="34"/>
  <c r="S1296" i="34"/>
  <c r="T1296" i="34"/>
  <c r="U1296" i="34"/>
  <c r="Y1296" i="34"/>
  <c r="Z1296" i="34"/>
  <c r="N1297" i="34"/>
  <c r="S1297" i="34"/>
  <c r="T1297" i="34"/>
  <c r="U1297" i="34"/>
  <c r="Y1297" i="34"/>
  <c r="Z1297" i="34"/>
  <c r="N1298" i="34"/>
  <c r="S1298" i="34"/>
  <c r="T1298" i="34"/>
  <c r="U1298" i="34"/>
  <c r="Y1298" i="34"/>
  <c r="Z1298" i="34"/>
  <c r="N1299" i="34"/>
  <c r="S1299" i="34"/>
  <c r="T1299" i="34"/>
  <c r="U1299" i="34"/>
  <c r="Y1299" i="34"/>
  <c r="Z1299" i="34"/>
  <c r="N1300" i="34"/>
  <c r="S1300" i="34"/>
  <c r="T1300" i="34"/>
  <c r="U1300" i="34"/>
  <c r="Y1300" i="34"/>
  <c r="Z1300" i="34"/>
  <c r="N1301" i="34"/>
  <c r="S1301" i="34"/>
  <c r="T1301" i="34"/>
  <c r="U1301" i="34"/>
  <c r="Y1301" i="34"/>
  <c r="Z1301" i="34"/>
  <c r="N1302" i="34"/>
  <c r="S1302" i="34"/>
  <c r="T1302" i="34"/>
  <c r="U1302" i="34"/>
  <c r="Y1302" i="34"/>
  <c r="Z1302" i="34"/>
  <c r="N1303" i="34"/>
  <c r="S1303" i="34"/>
  <c r="T1303" i="34"/>
  <c r="U1303" i="34"/>
  <c r="Y1303" i="34"/>
  <c r="Z1303" i="34"/>
  <c r="N1304" i="34"/>
  <c r="S1304" i="34"/>
  <c r="T1304" i="34"/>
  <c r="U1304" i="34"/>
  <c r="Y1304" i="34"/>
  <c r="Z1304" i="34"/>
  <c r="N1305" i="34"/>
  <c r="S1305" i="34"/>
  <c r="T1305" i="34"/>
  <c r="U1305" i="34"/>
  <c r="Y1305" i="34"/>
  <c r="Z1305" i="34"/>
  <c r="N1306" i="34"/>
  <c r="S1306" i="34"/>
  <c r="T1306" i="34"/>
  <c r="U1306" i="34"/>
  <c r="Y1306" i="34"/>
  <c r="Z1306" i="34"/>
  <c r="N1307" i="34"/>
  <c r="S1307" i="34"/>
  <c r="T1307" i="34"/>
  <c r="U1307" i="34"/>
  <c r="Y1307" i="34"/>
  <c r="Z1307" i="34"/>
  <c r="N1308" i="34"/>
  <c r="S1308" i="34"/>
  <c r="T1308" i="34"/>
  <c r="U1308" i="34"/>
  <c r="Y1308" i="34"/>
  <c r="Z1308" i="34"/>
  <c r="N1309" i="34"/>
  <c r="S1309" i="34"/>
  <c r="T1309" i="34"/>
  <c r="U1309" i="34"/>
  <c r="Y1309" i="34"/>
  <c r="Z1309" i="34"/>
  <c r="N1310" i="34"/>
  <c r="S1310" i="34"/>
  <c r="T1310" i="34"/>
  <c r="U1310" i="34"/>
  <c r="Y1310" i="34"/>
  <c r="Z1310" i="34"/>
  <c r="N1311" i="34"/>
  <c r="S1311" i="34"/>
  <c r="T1311" i="34"/>
  <c r="U1311" i="34"/>
  <c r="Y1311" i="34"/>
  <c r="Z1311" i="34"/>
  <c r="N1312" i="34"/>
  <c r="S1312" i="34"/>
  <c r="T1312" i="34"/>
  <c r="U1312" i="34"/>
  <c r="Y1312" i="34"/>
  <c r="Z1312" i="34"/>
  <c r="N1313" i="34"/>
  <c r="S1313" i="34"/>
  <c r="T1313" i="34"/>
  <c r="U1313" i="34"/>
  <c r="Y1313" i="34"/>
  <c r="Z1313" i="34"/>
  <c r="N1314" i="34"/>
  <c r="S1314" i="34"/>
  <c r="T1314" i="34"/>
  <c r="U1314" i="34"/>
  <c r="Y1314" i="34"/>
  <c r="Z1314" i="34"/>
  <c r="N1315" i="34"/>
  <c r="S1315" i="34"/>
  <c r="T1315" i="34"/>
  <c r="U1315" i="34"/>
  <c r="Y1315" i="34"/>
  <c r="Z1315" i="34"/>
  <c r="N1316" i="34"/>
  <c r="S1316" i="34"/>
  <c r="T1316" i="34"/>
  <c r="U1316" i="34"/>
  <c r="Y1316" i="34"/>
  <c r="Z1316" i="34"/>
  <c r="N1317" i="34"/>
  <c r="S1317" i="34"/>
  <c r="T1317" i="34"/>
  <c r="U1317" i="34"/>
  <c r="Y1317" i="34"/>
  <c r="Z1317" i="34"/>
  <c r="N1318" i="34"/>
  <c r="S1318" i="34"/>
  <c r="T1318" i="34"/>
  <c r="U1318" i="34"/>
  <c r="Y1318" i="34"/>
  <c r="Z1318" i="34"/>
  <c r="N1319" i="34"/>
  <c r="S1319" i="34"/>
  <c r="T1319" i="34"/>
  <c r="U1319" i="34"/>
  <c r="Y1319" i="34"/>
  <c r="Z1319" i="34"/>
  <c r="N1320" i="34"/>
  <c r="S1320" i="34"/>
  <c r="T1320" i="34"/>
  <c r="U1320" i="34"/>
  <c r="Y1320" i="34"/>
  <c r="Z1320" i="34"/>
  <c r="N1321" i="34"/>
  <c r="S1321" i="34"/>
  <c r="T1321" i="34"/>
  <c r="U1321" i="34"/>
  <c r="Y1321" i="34"/>
  <c r="Z1321" i="34"/>
  <c r="N1322" i="34"/>
  <c r="S1322" i="34"/>
  <c r="T1322" i="34"/>
  <c r="U1322" i="34"/>
  <c r="Y1322" i="34"/>
  <c r="Z1322" i="34"/>
  <c r="N1323" i="34"/>
  <c r="S1323" i="34"/>
  <c r="T1323" i="34"/>
  <c r="U1323" i="34"/>
  <c r="Y1323" i="34"/>
  <c r="Z1323" i="34"/>
  <c r="N1324" i="34"/>
  <c r="S1324" i="34"/>
  <c r="T1324" i="34"/>
  <c r="U1324" i="34"/>
  <c r="Y1324" i="34"/>
  <c r="Z1324" i="34"/>
  <c r="N1325" i="34"/>
  <c r="S1325" i="34"/>
  <c r="T1325" i="34"/>
  <c r="U1325" i="34"/>
  <c r="Y1325" i="34"/>
  <c r="Z1325" i="34"/>
  <c r="N1326" i="34"/>
  <c r="S1326" i="34"/>
  <c r="T1326" i="34"/>
  <c r="U1326" i="34"/>
  <c r="Y1326" i="34"/>
  <c r="Z1326" i="34"/>
  <c r="N1327" i="34"/>
  <c r="S1327" i="34"/>
  <c r="T1327" i="34"/>
  <c r="U1327" i="34"/>
  <c r="Y1327" i="34"/>
  <c r="Z1327" i="34"/>
  <c r="N1328" i="34"/>
  <c r="S1328" i="34"/>
  <c r="T1328" i="34"/>
  <c r="U1328" i="34"/>
  <c r="Y1328" i="34"/>
  <c r="Z1328" i="34"/>
  <c r="N1329" i="34"/>
  <c r="S1329" i="34"/>
  <c r="T1329" i="34"/>
  <c r="U1329" i="34"/>
  <c r="Y1329" i="34"/>
  <c r="Z1329" i="34"/>
  <c r="N1330" i="34"/>
  <c r="S1330" i="34"/>
  <c r="T1330" i="34"/>
  <c r="U1330" i="34"/>
  <c r="Y1330" i="34"/>
  <c r="Z1330" i="34"/>
  <c r="N1331" i="34"/>
  <c r="S1331" i="34"/>
  <c r="T1331" i="34"/>
  <c r="U1331" i="34"/>
  <c r="Y1331" i="34"/>
  <c r="Z1331" i="34"/>
  <c r="N1332" i="34"/>
  <c r="S1332" i="34"/>
  <c r="T1332" i="34"/>
  <c r="U1332" i="34"/>
  <c r="Y1332" i="34"/>
  <c r="Z1332" i="34"/>
  <c r="N1333" i="34"/>
  <c r="S1333" i="34"/>
  <c r="T1333" i="34"/>
  <c r="U1333" i="34"/>
  <c r="Y1333" i="34"/>
  <c r="Z1333" i="34"/>
  <c r="N1334" i="34"/>
  <c r="S1334" i="34"/>
  <c r="T1334" i="34"/>
  <c r="U1334" i="34"/>
  <c r="Y1334" i="34"/>
  <c r="Z1334" i="34"/>
  <c r="N1335" i="34"/>
  <c r="S1335" i="34"/>
  <c r="T1335" i="34"/>
  <c r="U1335" i="34"/>
  <c r="Y1335" i="34"/>
  <c r="Z1335" i="34"/>
  <c r="N1336" i="34"/>
  <c r="S1336" i="34"/>
  <c r="T1336" i="34"/>
  <c r="U1336" i="34"/>
  <c r="Y1336" i="34"/>
  <c r="Z1336" i="34"/>
  <c r="N1337" i="34"/>
  <c r="S1337" i="34"/>
  <c r="T1337" i="34"/>
  <c r="U1337" i="34"/>
  <c r="Y1337" i="34"/>
  <c r="Z1337" i="34"/>
  <c r="N1338" i="34"/>
  <c r="S1338" i="34"/>
  <c r="T1338" i="34"/>
  <c r="U1338" i="34"/>
  <c r="Y1338" i="34"/>
  <c r="Z1338" i="34"/>
  <c r="N1339" i="34"/>
  <c r="S1339" i="34"/>
  <c r="T1339" i="34"/>
  <c r="U1339" i="34"/>
  <c r="Y1339" i="34"/>
  <c r="Z1339" i="34"/>
  <c r="N1340" i="34"/>
  <c r="S1340" i="34"/>
  <c r="T1340" i="34"/>
  <c r="U1340" i="34"/>
  <c r="Y1340" i="34"/>
  <c r="Z1340" i="34"/>
  <c r="N1341" i="34"/>
  <c r="S1341" i="34"/>
  <c r="T1341" i="34"/>
  <c r="U1341" i="34"/>
  <c r="Y1341" i="34"/>
  <c r="Z1341" i="34"/>
  <c r="N1342" i="34"/>
  <c r="S1342" i="34"/>
  <c r="T1342" i="34"/>
  <c r="U1342" i="34"/>
  <c r="Y1342" i="34"/>
  <c r="Z1342" i="34"/>
  <c r="N1343" i="34"/>
  <c r="S1343" i="34"/>
  <c r="T1343" i="34"/>
  <c r="U1343" i="34"/>
  <c r="Y1343" i="34"/>
  <c r="Z1343" i="34"/>
  <c r="N1344" i="34"/>
  <c r="S1344" i="34"/>
  <c r="T1344" i="34"/>
  <c r="U1344" i="34"/>
  <c r="Y1344" i="34"/>
  <c r="Z1344" i="34"/>
  <c r="N1345" i="34"/>
  <c r="S1345" i="34"/>
  <c r="T1345" i="34"/>
  <c r="U1345" i="34"/>
  <c r="Y1345" i="34"/>
  <c r="Z1345" i="34"/>
  <c r="N1346" i="34"/>
  <c r="S1346" i="34"/>
  <c r="T1346" i="34"/>
  <c r="U1346" i="34"/>
  <c r="Y1346" i="34"/>
  <c r="Z1346" i="34"/>
  <c r="N1347" i="34"/>
  <c r="S1347" i="34"/>
  <c r="T1347" i="34"/>
  <c r="U1347" i="34"/>
  <c r="Y1347" i="34"/>
  <c r="Z1347" i="34"/>
  <c r="N1348" i="34"/>
  <c r="S1348" i="34"/>
  <c r="T1348" i="34"/>
  <c r="U1348" i="34"/>
  <c r="Y1348" i="34"/>
  <c r="Z1348" i="34"/>
  <c r="N1349" i="34"/>
  <c r="S1349" i="34"/>
  <c r="T1349" i="34"/>
  <c r="U1349" i="34"/>
  <c r="Y1349" i="34"/>
  <c r="Z1349" i="34"/>
  <c r="N1350" i="34"/>
  <c r="S1350" i="34"/>
  <c r="T1350" i="34"/>
  <c r="U1350" i="34"/>
  <c r="Y1350" i="34"/>
  <c r="Z1350" i="34"/>
  <c r="N1351" i="34"/>
  <c r="S1351" i="34"/>
  <c r="T1351" i="34"/>
  <c r="U1351" i="34"/>
  <c r="Y1351" i="34"/>
  <c r="Z1351" i="34"/>
  <c r="N1352" i="34"/>
  <c r="S1352" i="34"/>
  <c r="T1352" i="34"/>
  <c r="U1352" i="34"/>
  <c r="Y1352" i="34"/>
  <c r="Z1352" i="34"/>
  <c r="N1353" i="34"/>
  <c r="S1353" i="34"/>
  <c r="T1353" i="34"/>
  <c r="U1353" i="34"/>
  <c r="Y1353" i="34"/>
  <c r="Z1353" i="34"/>
  <c r="N1354" i="34"/>
  <c r="S1354" i="34"/>
  <c r="T1354" i="34"/>
  <c r="U1354" i="34"/>
  <c r="Y1354" i="34"/>
  <c r="Z1354" i="34"/>
  <c r="N1355" i="34"/>
  <c r="S1355" i="34"/>
  <c r="T1355" i="34"/>
  <c r="U1355" i="34"/>
  <c r="Y1355" i="34"/>
  <c r="Z1355" i="34"/>
  <c r="N1356" i="34"/>
  <c r="S1356" i="34"/>
  <c r="T1356" i="34"/>
  <c r="U1356" i="34"/>
  <c r="Y1356" i="34"/>
  <c r="Z1356" i="34"/>
  <c r="N1357" i="34"/>
  <c r="S1357" i="34"/>
  <c r="T1357" i="34"/>
  <c r="U1357" i="34"/>
  <c r="Y1357" i="34"/>
  <c r="Z1357" i="34"/>
  <c r="N1358" i="34"/>
  <c r="S1358" i="34"/>
  <c r="T1358" i="34"/>
  <c r="U1358" i="34"/>
  <c r="Y1358" i="34"/>
  <c r="Z1358" i="34"/>
  <c r="N1359" i="34"/>
  <c r="S1359" i="34"/>
  <c r="T1359" i="34"/>
  <c r="U1359" i="34"/>
  <c r="Y1359" i="34"/>
  <c r="Z1359" i="34"/>
  <c r="N1360" i="34"/>
  <c r="S1360" i="34"/>
  <c r="T1360" i="34"/>
  <c r="U1360" i="34"/>
  <c r="Y1360" i="34"/>
  <c r="Z1360" i="34"/>
  <c r="N1361" i="34"/>
  <c r="S1361" i="34"/>
  <c r="T1361" i="34"/>
  <c r="U1361" i="34"/>
  <c r="Y1361" i="34"/>
  <c r="Z1361" i="34"/>
  <c r="N1362" i="34"/>
  <c r="S1362" i="34"/>
  <c r="T1362" i="34"/>
  <c r="U1362" i="34"/>
  <c r="Y1362" i="34"/>
  <c r="Z1362" i="34"/>
  <c r="N1363" i="34"/>
  <c r="S1363" i="34"/>
  <c r="T1363" i="34"/>
  <c r="U1363" i="34"/>
  <c r="Y1363" i="34"/>
  <c r="Z1363" i="34"/>
  <c r="N1364" i="34"/>
  <c r="S1364" i="34"/>
  <c r="T1364" i="34"/>
  <c r="U1364" i="34"/>
  <c r="Y1364" i="34"/>
  <c r="Z1364" i="34"/>
  <c r="N1365" i="34"/>
  <c r="S1365" i="34"/>
  <c r="T1365" i="34"/>
  <c r="U1365" i="34"/>
  <c r="Y1365" i="34"/>
  <c r="Z1365" i="34"/>
  <c r="N1366" i="34"/>
  <c r="S1366" i="34"/>
  <c r="T1366" i="34"/>
  <c r="U1366" i="34"/>
  <c r="Y1366" i="34"/>
  <c r="Z1366" i="34"/>
  <c r="N1367" i="34"/>
  <c r="S1367" i="34"/>
  <c r="T1367" i="34"/>
  <c r="U1367" i="34"/>
  <c r="Y1367" i="34"/>
  <c r="Z1367" i="34"/>
  <c r="N1368" i="34"/>
  <c r="S1368" i="34"/>
  <c r="T1368" i="34"/>
  <c r="U1368" i="34"/>
  <c r="Y1368" i="34"/>
  <c r="Z1368" i="34"/>
  <c r="N1369" i="34"/>
  <c r="S1369" i="34"/>
  <c r="T1369" i="34"/>
  <c r="U1369" i="34"/>
  <c r="Y1369" i="34"/>
  <c r="Z1369" i="34"/>
  <c r="N1370" i="34"/>
  <c r="S1370" i="34"/>
  <c r="T1370" i="34"/>
  <c r="U1370" i="34"/>
  <c r="Y1370" i="34"/>
  <c r="Z1370" i="34"/>
  <c r="N1371" i="34"/>
  <c r="S1371" i="34"/>
  <c r="T1371" i="34"/>
  <c r="U1371" i="34"/>
  <c r="Y1371" i="34"/>
  <c r="Z1371" i="34"/>
  <c r="N1372" i="34"/>
  <c r="S1372" i="34"/>
  <c r="T1372" i="34"/>
  <c r="U1372" i="34"/>
  <c r="Y1372" i="34"/>
  <c r="Z1372" i="34"/>
  <c r="N1373" i="34"/>
  <c r="S1373" i="34"/>
  <c r="T1373" i="34"/>
  <c r="U1373" i="34"/>
  <c r="Y1373" i="34"/>
  <c r="Z1373" i="34"/>
  <c r="N1374" i="34"/>
  <c r="S1374" i="34"/>
  <c r="T1374" i="34"/>
  <c r="U1374" i="34"/>
  <c r="Y1374" i="34"/>
  <c r="Z1374" i="34"/>
  <c r="N1375" i="34"/>
  <c r="S1375" i="34"/>
  <c r="T1375" i="34"/>
  <c r="U1375" i="34"/>
  <c r="Y1375" i="34"/>
  <c r="Z1375" i="34"/>
  <c r="N1376" i="34"/>
  <c r="S1376" i="34"/>
  <c r="T1376" i="34"/>
  <c r="U1376" i="34"/>
  <c r="Y1376" i="34"/>
  <c r="Z1376" i="34"/>
  <c r="N1377" i="34"/>
  <c r="S1377" i="34"/>
  <c r="T1377" i="34"/>
  <c r="U1377" i="34"/>
  <c r="Y1377" i="34"/>
  <c r="Z1377" i="34"/>
  <c r="N1378" i="34"/>
  <c r="S1378" i="34"/>
  <c r="T1378" i="34"/>
  <c r="U1378" i="34"/>
  <c r="Y1378" i="34"/>
  <c r="Z1378" i="34"/>
  <c r="N1379" i="34"/>
  <c r="S1379" i="34"/>
  <c r="T1379" i="34"/>
  <c r="U1379" i="34"/>
  <c r="Y1379" i="34"/>
  <c r="Z1379" i="34"/>
  <c r="N1380" i="34"/>
  <c r="S1380" i="34"/>
  <c r="T1380" i="34"/>
  <c r="U1380" i="34"/>
  <c r="Y1380" i="34"/>
  <c r="Z1380" i="34"/>
  <c r="N1381" i="34"/>
  <c r="S1381" i="34"/>
  <c r="T1381" i="34"/>
  <c r="U1381" i="34"/>
  <c r="Y1381" i="34"/>
  <c r="Z1381" i="34"/>
  <c r="N1382" i="34"/>
  <c r="S1382" i="34"/>
  <c r="T1382" i="34"/>
  <c r="U1382" i="34"/>
  <c r="Y1382" i="34"/>
  <c r="Z1382" i="34"/>
  <c r="N1383" i="34"/>
  <c r="S1383" i="34"/>
  <c r="T1383" i="34"/>
  <c r="U1383" i="34"/>
  <c r="Y1383" i="34"/>
  <c r="Z1383" i="34"/>
  <c r="N1384" i="34"/>
  <c r="S1384" i="34"/>
  <c r="T1384" i="34"/>
  <c r="U1384" i="34"/>
  <c r="Y1384" i="34"/>
  <c r="Z1384" i="34"/>
  <c r="N1385" i="34"/>
  <c r="S1385" i="34"/>
  <c r="T1385" i="34"/>
  <c r="U1385" i="34"/>
  <c r="Y1385" i="34"/>
  <c r="Z1385" i="34"/>
  <c r="N1386" i="34"/>
  <c r="S1386" i="34"/>
  <c r="T1386" i="34"/>
  <c r="U1386" i="34"/>
  <c r="Y1386" i="34"/>
  <c r="Z1386" i="34"/>
  <c r="N1387" i="34"/>
  <c r="S1387" i="34"/>
  <c r="T1387" i="34"/>
  <c r="U1387" i="34"/>
  <c r="Y1387" i="34"/>
  <c r="Z1387" i="34"/>
  <c r="N1388" i="34"/>
  <c r="S1388" i="34"/>
  <c r="T1388" i="34"/>
  <c r="U1388" i="34"/>
  <c r="Y1388" i="34"/>
  <c r="Z1388" i="34"/>
  <c r="N1389" i="34"/>
  <c r="S1389" i="34"/>
  <c r="T1389" i="34"/>
  <c r="U1389" i="34"/>
  <c r="Y1389" i="34"/>
  <c r="Z1389" i="34"/>
  <c r="N1390" i="34"/>
  <c r="S1390" i="34"/>
  <c r="T1390" i="34"/>
  <c r="U1390" i="34"/>
  <c r="Y1390" i="34"/>
  <c r="Z1390" i="34"/>
  <c r="N1391" i="34"/>
  <c r="S1391" i="34"/>
  <c r="T1391" i="34"/>
  <c r="U1391" i="34"/>
  <c r="Y1391" i="34"/>
  <c r="Z1391" i="34"/>
  <c r="N1392" i="34"/>
  <c r="S1392" i="34"/>
  <c r="T1392" i="34"/>
  <c r="U1392" i="34"/>
  <c r="Y1392" i="34"/>
  <c r="Z1392" i="34"/>
  <c r="N1393" i="34"/>
  <c r="S1393" i="34"/>
  <c r="T1393" i="34"/>
  <c r="U1393" i="34"/>
  <c r="Y1393" i="34"/>
  <c r="Z1393" i="34"/>
  <c r="N1394" i="34"/>
  <c r="S1394" i="34"/>
  <c r="T1394" i="34"/>
  <c r="U1394" i="34"/>
  <c r="Y1394" i="34"/>
  <c r="Z1394" i="34"/>
  <c r="N1395" i="34"/>
  <c r="S1395" i="34"/>
  <c r="T1395" i="34"/>
  <c r="U1395" i="34"/>
  <c r="Y1395" i="34"/>
  <c r="Z1395" i="34"/>
  <c r="N1396" i="34"/>
  <c r="S1396" i="34"/>
  <c r="T1396" i="34"/>
  <c r="U1396" i="34"/>
  <c r="Y1396" i="34"/>
  <c r="Z1396" i="34"/>
  <c r="N1397" i="34"/>
  <c r="S1397" i="34"/>
  <c r="T1397" i="34"/>
  <c r="U1397" i="34"/>
  <c r="Y1397" i="34"/>
  <c r="Z1397" i="34"/>
  <c r="N1398" i="34"/>
  <c r="S1398" i="34"/>
  <c r="T1398" i="34"/>
  <c r="U1398" i="34"/>
  <c r="Y1398" i="34"/>
  <c r="Z1398" i="34"/>
  <c r="N1399" i="34"/>
  <c r="S1399" i="34"/>
  <c r="T1399" i="34"/>
  <c r="U1399" i="34"/>
  <c r="Y1399" i="34"/>
  <c r="Z1399" i="34"/>
  <c r="N1400" i="34"/>
  <c r="S1400" i="34"/>
  <c r="T1400" i="34"/>
  <c r="U1400" i="34"/>
  <c r="Y1400" i="34"/>
  <c r="Z1400" i="34"/>
  <c r="N1401" i="34"/>
  <c r="S1401" i="34"/>
  <c r="T1401" i="34"/>
  <c r="U1401" i="34"/>
  <c r="Y1401" i="34"/>
  <c r="Z1401" i="34"/>
  <c r="N1402" i="34"/>
  <c r="S1402" i="34"/>
  <c r="T1402" i="34"/>
  <c r="U1402" i="34"/>
  <c r="Y1402" i="34"/>
  <c r="Z1402" i="34"/>
  <c r="N1403" i="34"/>
  <c r="S1403" i="34"/>
  <c r="T1403" i="34"/>
  <c r="U1403" i="34"/>
  <c r="Y1403" i="34"/>
  <c r="Z1403" i="34"/>
  <c r="N1404" i="34"/>
  <c r="S1404" i="34"/>
  <c r="T1404" i="34"/>
  <c r="U1404" i="34"/>
  <c r="Y1404" i="34"/>
  <c r="Z1404" i="34"/>
  <c r="N1405" i="34"/>
  <c r="S1405" i="34"/>
  <c r="T1405" i="34"/>
  <c r="U1405" i="34"/>
  <c r="Y1405" i="34"/>
  <c r="Z1405" i="34"/>
  <c r="N1406" i="34"/>
  <c r="S1406" i="34"/>
  <c r="T1406" i="34"/>
  <c r="U1406" i="34"/>
  <c r="Y1406" i="34"/>
  <c r="Z1406" i="34"/>
  <c r="N1407" i="34"/>
  <c r="S1407" i="34"/>
  <c r="T1407" i="34"/>
  <c r="U1407" i="34"/>
  <c r="Y1407" i="34"/>
  <c r="Z1407" i="34"/>
  <c r="N1408" i="34"/>
  <c r="S1408" i="34"/>
  <c r="T1408" i="34"/>
  <c r="U1408" i="34"/>
  <c r="Y1408" i="34"/>
  <c r="Z1408" i="34"/>
  <c r="N1409" i="34"/>
  <c r="S1409" i="34"/>
  <c r="T1409" i="34"/>
  <c r="U1409" i="34"/>
  <c r="Y1409" i="34"/>
  <c r="Z1409" i="34"/>
  <c r="N1410" i="34"/>
  <c r="S1410" i="34"/>
  <c r="T1410" i="34"/>
  <c r="U1410" i="34"/>
  <c r="Y1410" i="34"/>
  <c r="Z1410" i="34"/>
  <c r="N1411" i="34"/>
  <c r="S1411" i="34"/>
  <c r="T1411" i="34"/>
  <c r="U1411" i="34"/>
  <c r="Y1411" i="34"/>
  <c r="Z1411" i="34"/>
  <c r="N1412" i="34"/>
  <c r="S1412" i="34"/>
  <c r="T1412" i="34"/>
  <c r="U1412" i="34"/>
  <c r="Y1412" i="34"/>
  <c r="Z1412" i="34"/>
  <c r="N1413" i="34"/>
  <c r="S1413" i="34"/>
  <c r="T1413" i="34"/>
  <c r="U1413" i="34"/>
  <c r="Y1413" i="34"/>
  <c r="Z1413" i="34"/>
  <c r="N1414" i="34"/>
  <c r="S1414" i="34"/>
  <c r="T1414" i="34"/>
  <c r="U1414" i="34"/>
  <c r="Y1414" i="34"/>
  <c r="Z1414" i="34"/>
  <c r="N1415" i="34"/>
  <c r="S1415" i="34"/>
  <c r="T1415" i="34"/>
  <c r="U1415" i="34"/>
  <c r="Y1415" i="34"/>
  <c r="Z1415" i="34"/>
  <c r="N1416" i="34"/>
  <c r="S1416" i="34"/>
  <c r="T1416" i="34"/>
  <c r="U1416" i="34"/>
  <c r="Y1416" i="34"/>
  <c r="Z1416" i="34"/>
  <c r="N1417" i="34"/>
  <c r="S1417" i="34"/>
  <c r="T1417" i="34"/>
  <c r="U1417" i="34"/>
  <c r="Y1417" i="34"/>
  <c r="Z1417" i="34"/>
  <c r="N1418" i="34"/>
  <c r="S1418" i="34"/>
  <c r="T1418" i="34"/>
  <c r="U1418" i="34"/>
  <c r="Y1418" i="34"/>
  <c r="Z1418" i="34"/>
  <c r="N1419" i="34"/>
  <c r="S1419" i="34"/>
  <c r="T1419" i="34"/>
  <c r="U1419" i="34"/>
  <c r="Y1419" i="34"/>
  <c r="Z1419" i="34"/>
  <c r="N1420" i="34"/>
  <c r="S1420" i="34"/>
  <c r="T1420" i="34"/>
  <c r="U1420" i="34"/>
  <c r="Y1420" i="34"/>
  <c r="Z1420" i="34"/>
  <c r="N1421" i="34"/>
  <c r="S1421" i="34"/>
  <c r="T1421" i="34"/>
  <c r="U1421" i="34"/>
  <c r="Y1421" i="34"/>
  <c r="Z1421" i="34"/>
  <c r="N1422" i="34"/>
  <c r="S1422" i="34"/>
  <c r="T1422" i="34"/>
  <c r="U1422" i="34"/>
  <c r="Y1422" i="34"/>
  <c r="Z1422" i="34"/>
  <c r="N1423" i="34"/>
  <c r="S1423" i="34"/>
  <c r="T1423" i="34"/>
  <c r="U1423" i="34"/>
  <c r="Y1423" i="34"/>
  <c r="Z1423" i="34"/>
  <c r="N1424" i="34"/>
  <c r="S1424" i="34"/>
  <c r="T1424" i="34"/>
  <c r="U1424" i="34"/>
  <c r="Y1424" i="34"/>
  <c r="Z1424" i="34"/>
  <c r="N1425" i="34"/>
  <c r="S1425" i="34"/>
  <c r="T1425" i="34"/>
  <c r="U1425" i="34"/>
  <c r="Y1425" i="34"/>
  <c r="Z1425" i="34"/>
  <c r="N1426" i="34"/>
  <c r="S1426" i="34"/>
  <c r="T1426" i="34"/>
  <c r="U1426" i="34"/>
  <c r="Y1426" i="34"/>
  <c r="Z1426" i="34"/>
  <c r="N1427" i="34"/>
  <c r="S1427" i="34"/>
  <c r="T1427" i="34"/>
  <c r="U1427" i="34"/>
  <c r="Y1427" i="34"/>
  <c r="Z1427" i="34"/>
  <c r="N1428" i="34"/>
  <c r="S1428" i="34"/>
  <c r="T1428" i="34"/>
  <c r="U1428" i="34"/>
  <c r="Y1428" i="34"/>
  <c r="Z1428" i="34"/>
  <c r="N1429" i="34"/>
  <c r="S1429" i="34"/>
  <c r="T1429" i="34"/>
  <c r="U1429" i="34"/>
  <c r="Y1429" i="34"/>
  <c r="Z1429" i="34"/>
  <c r="N1430" i="34"/>
  <c r="S1430" i="34"/>
  <c r="T1430" i="34"/>
  <c r="U1430" i="34"/>
  <c r="Y1430" i="34"/>
  <c r="Z1430" i="34"/>
  <c r="N1431" i="34"/>
  <c r="S1431" i="34"/>
  <c r="T1431" i="34"/>
  <c r="U1431" i="34"/>
  <c r="Y1431" i="34"/>
  <c r="Z1431" i="34"/>
  <c r="N1432" i="34"/>
  <c r="S1432" i="34"/>
  <c r="T1432" i="34"/>
  <c r="U1432" i="34"/>
  <c r="Y1432" i="34"/>
  <c r="Z1432" i="34"/>
  <c r="N1433" i="34"/>
  <c r="S1433" i="34"/>
  <c r="T1433" i="34"/>
  <c r="U1433" i="34"/>
  <c r="Y1433" i="34"/>
  <c r="Z1433" i="34"/>
  <c r="N1434" i="34"/>
  <c r="S1434" i="34"/>
  <c r="T1434" i="34"/>
  <c r="U1434" i="34"/>
  <c r="Y1434" i="34"/>
  <c r="Z1434" i="34"/>
  <c r="N1435" i="34"/>
  <c r="S1435" i="34"/>
  <c r="T1435" i="34"/>
  <c r="U1435" i="34"/>
  <c r="Y1435" i="34"/>
  <c r="Z1435" i="34"/>
  <c r="N1436" i="34"/>
  <c r="S1436" i="34"/>
  <c r="T1436" i="34"/>
  <c r="U1436" i="34"/>
  <c r="Y1436" i="34"/>
  <c r="Z1436" i="34"/>
  <c r="N1437" i="34"/>
  <c r="S1437" i="34"/>
  <c r="T1437" i="34"/>
  <c r="U1437" i="34"/>
  <c r="Y1437" i="34"/>
  <c r="Z1437" i="34"/>
  <c r="N1438" i="34"/>
  <c r="S1438" i="34"/>
  <c r="T1438" i="34"/>
  <c r="U1438" i="34"/>
  <c r="Y1438" i="34"/>
  <c r="Z1438" i="34"/>
  <c r="N1439" i="34"/>
  <c r="S1439" i="34"/>
  <c r="T1439" i="34"/>
  <c r="U1439" i="34"/>
  <c r="Y1439" i="34"/>
  <c r="Z1439" i="34"/>
  <c r="N1440" i="34"/>
  <c r="S1440" i="34"/>
  <c r="T1440" i="34"/>
  <c r="U1440" i="34"/>
  <c r="Y1440" i="34"/>
  <c r="Z1440" i="34"/>
  <c r="N1441" i="34"/>
  <c r="S1441" i="34"/>
  <c r="T1441" i="34"/>
  <c r="U1441" i="34"/>
  <c r="Y1441" i="34"/>
  <c r="Z1441" i="34"/>
  <c r="N1442" i="34"/>
  <c r="S1442" i="34"/>
  <c r="T1442" i="34"/>
  <c r="U1442" i="34"/>
  <c r="Y1442" i="34"/>
  <c r="Z1442" i="34"/>
  <c r="N1443" i="34"/>
  <c r="S1443" i="34"/>
  <c r="T1443" i="34"/>
  <c r="U1443" i="34"/>
  <c r="Y1443" i="34"/>
  <c r="Z1443" i="34"/>
  <c r="N1444" i="34"/>
  <c r="S1444" i="34"/>
  <c r="T1444" i="34"/>
  <c r="U1444" i="34"/>
  <c r="Y1444" i="34"/>
  <c r="Z1444" i="34"/>
  <c r="N1445" i="34"/>
  <c r="S1445" i="34"/>
  <c r="T1445" i="34"/>
  <c r="U1445" i="34"/>
  <c r="Y1445" i="34"/>
  <c r="Z1445" i="34"/>
  <c r="N1446" i="34"/>
  <c r="S1446" i="34"/>
  <c r="T1446" i="34"/>
  <c r="U1446" i="34"/>
  <c r="Y1446" i="34"/>
  <c r="Z1446" i="34"/>
  <c r="N1447" i="34"/>
  <c r="S1447" i="34"/>
  <c r="T1447" i="34"/>
  <c r="U1447" i="34"/>
  <c r="Y1447" i="34"/>
  <c r="Z1447" i="34"/>
  <c r="N1448" i="34"/>
  <c r="S1448" i="34"/>
  <c r="T1448" i="34"/>
  <c r="U1448" i="34"/>
  <c r="Y1448" i="34"/>
  <c r="Z1448" i="34"/>
  <c r="N1449" i="34"/>
  <c r="S1449" i="34"/>
  <c r="T1449" i="34"/>
  <c r="U1449" i="34"/>
  <c r="Y1449" i="34"/>
  <c r="Z1449" i="34"/>
  <c r="N1450" i="34"/>
  <c r="S1450" i="34"/>
  <c r="T1450" i="34"/>
  <c r="U1450" i="34"/>
  <c r="Y1450" i="34"/>
  <c r="Z1450" i="34"/>
  <c r="N1451" i="34"/>
  <c r="S1451" i="34"/>
  <c r="T1451" i="34"/>
  <c r="U1451" i="34"/>
  <c r="Y1451" i="34"/>
  <c r="Z1451" i="34"/>
  <c r="C886" i="34"/>
  <c r="C1159" i="34"/>
  <c r="C1160" i="34"/>
  <c r="C1161" i="34"/>
  <c r="C1163" i="34"/>
  <c r="C1164" i="34"/>
  <c r="C1165" i="34"/>
  <c r="C1166" i="34"/>
  <c r="C1167" i="34"/>
  <c r="C1168" i="34"/>
  <c r="C1169" i="34"/>
  <c r="C1170" i="34"/>
  <c r="A17" i="82" s="1"/>
  <c r="C1171" i="34"/>
  <c r="C1172" i="34"/>
  <c r="C1173" i="34"/>
  <c r="C1174" i="34"/>
  <c r="C1175" i="34"/>
  <c r="C1176" i="34"/>
  <c r="K931" i="34"/>
  <c r="K930" i="34"/>
  <c r="C899" i="34"/>
  <c r="C900" i="34"/>
  <c r="C930" i="34"/>
  <c r="C931" i="34"/>
  <c r="C932" i="34"/>
  <c r="C869" i="34"/>
  <c r="C870" i="34"/>
  <c r="C877" i="34"/>
  <c r="C878" i="34"/>
  <c r="C885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5" i="34"/>
  <c r="C986" i="34"/>
  <c r="C987" i="34"/>
  <c r="C988" i="34"/>
  <c r="K973" i="34"/>
  <c r="K974" i="34"/>
  <c r="K975" i="34"/>
  <c r="K976" i="34"/>
  <c r="K977" i="34"/>
  <c r="K978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49" i="34"/>
  <c r="K950" i="34"/>
  <c r="K951" i="34"/>
  <c r="K952" i="34"/>
  <c r="K953" i="34"/>
  <c r="K954" i="34"/>
  <c r="K955" i="34"/>
  <c r="K956" i="34"/>
  <c r="K957" i="34"/>
  <c r="K948" i="34"/>
  <c r="K945" i="34"/>
  <c r="K937" i="34"/>
  <c r="K938" i="34"/>
  <c r="K939" i="34"/>
  <c r="K936" i="34"/>
  <c r="K934" i="34"/>
  <c r="K933" i="34"/>
  <c r="K924" i="34"/>
  <c r="K925" i="34"/>
  <c r="K926" i="34"/>
  <c r="K927" i="34"/>
  <c r="K928" i="34"/>
  <c r="K923" i="34"/>
  <c r="C926" i="34"/>
  <c r="C927" i="34"/>
  <c r="C928" i="34"/>
  <c r="C929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K904" i="34"/>
  <c r="K902" i="34"/>
  <c r="K897" i="34"/>
  <c r="K892" i="34"/>
  <c r="K891" i="34"/>
  <c r="C891" i="34"/>
  <c r="C892" i="34"/>
  <c r="C893" i="34"/>
  <c r="C894" i="34"/>
  <c r="C895" i="34"/>
  <c r="C896" i="34"/>
  <c r="C897" i="34"/>
  <c r="C898" i="34"/>
  <c r="C902" i="34"/>
  <c r="C903" i="34"/>
  <c r="C904" i="34"/>
  <c r="C905" i="34"/>
  <c r="C923" i="34"/>
  <c r="C924" i="34"/>
  <c r="C925" i="34"/>
  <c r="K1130" i="34"/>
  <c r="K1157" i="34"/>
  <c r="K1155" i="34"/>
  <c r="K1153" i="34"/>
  <c r="K1151" i="34"/>
  <c r="K1148" i="34"/>
  <c r="K1146" i="34"/>
  <c r="K1142" i="34"/>
  <c r="K1140" i="34"/>
  <c r="K1136" i="34"/>
  <c r="K1134" i="34"/>
  <c r="K1132" i="34"/>
  <c r="K1120" i="34"/>
  <c r="K1116" i="34"/>
  <c r="K1109" i="34"/>
  <c r="K1103" i="34"/>
  <c r="K1083" i="34"/>
  <c r="K1066" i="34"/>
  <c r="K1065" i="34"/>
  <c r="K1063" i="34"/>
  <c r="K1060" i="34"/>
  <c r="K1054" i="34"/>
  <c r="K1053" i="34"/>
  <c r="K1051" i="34"/>
  <c r="K1049" i="34"/>
  <c r="K1043" i="34"/>
  <c r="K1042" i="34"/>
  <c r="K1038" i="34"/>
  <c r="K1036" i="34"/>
  <c r="K1034" i="34"/>
  <c r="K918" i="34"/>
  <c r="K919" i="34"/>
  <c r="K920" i="34"/>
  <c r="K914" i="34"/>
  <c r="K915" i="34"/>
  <c r="K916" i="34"/>
  <c r="K917" i="34"/>
  <c r="K913" i="34"/>
  <c r="K1027" i="34"/>
  <c r="K1021" i="34"/>
  <c r="K1015" i="34"/>
  <c r="K1019" i="34"/>
  <c r="C1014" i="34"/>
  <c r="C1019" i="34"/>
  <c r="C1020" i="34"/>
  <c r="C1015" i="34"/>
  <c r="C1016" i="34"/>
  <c r="C1021" i="34"/>
  <c r="C1022" i="34"/>
  <c r="C1027" i="34"/>
  <c r="C1028" i="34"/>
  <c r="C913" i="34"/>
  <c r="C914" i="34"/>
  <c r="C915" i="34"/>
  <c r="C916" i="34"/>
  <c r="C917" i="34"/>
  <c r="C918" i="34"/>
  <c r="C919" i="34"/>
  <c r="C920" i="34"/>
  <c r="C921" i="34"/>
  <c r="C1034" i="34"/>
  <c r="C1035" i="34"/>
  <c r="C1036" i="34"/>
  <c r="C1037" i="34"/>
  <c r="C1038" i="34"/>
  <c r="C1039" i="34"/>
  <c r="C1042" i="34"/>
  <c r="C1043" i="34"/>
  <c r="C1044" i="34"/>
  <c r="C1049" i="34"/>
  <c r="C1050" i="34"/>
  <c r="C1051" i="34"/>
  <c r="C1052" i="34"/>
  <c r="C1053" i="34"/>
  <c r="C1054" i="34"/>
  <c r="C1055" i="34"/>
  <c r="C1060" i="34"/>
  <c r="C1061" i="34"/>
  <c r="C1063" i="34"/>
  <c r="C1064" i="34"/>
  <c r="C1065" i="34"/>
  <c r="C1066" i="34"/>
  <c r="C1067" i="34"/>
  <c r="C1083" i="34"/>
  <c r="C1084" i="34"/>
  <c r="C1103" i="34"/>
  <c r="C1104" i="34"/>
  <c r="C1109" i="34"/>
  <c r="C1110" i="34"/>
  <c r="C1116" i="34"/>
  <c r="C1117" i="34"/>
  <c r="C1120" i="34"/>
  <c r="C1121" i="34"/>
  <c r="C1132" i="34"/>
  <c r="C1133" i="34"/>
  <c r="C1134" i="34"/>
  <c r="C1135" i="34"/>
  <c r="C1136" i="34"/>
  <c r="C1137" i="34"/>
  <c r="C1140" i="34"/>
  <c r="C1141" i="34"/>
  <c r="C1142" i="34"/>
  <c r="C1143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062" i="34"/>
  <c r="C1085" i="34"/>
  <c r="C1086" i="34"/>
  <c r="C1092" i="34"/>
  <c r="C1093" i="34"/>
  <c r="C1130" i="34"/>
  <c r="C1131" i="34"/>
  <c r="C984" i="34"/>
  <c r="C887" i="34"/>
  <c r="C888" i="34"/>
  <c r="C889" i="34"/>
  <c r="C890" i="34"/>
  <c r="K1013" i="34"/>
  <c r="K1005" i="34"/>
  <c r="K1000" i="34"/>
  <c r="K1010" i="34"/>
  <c r="K1011" i="34"/>
  <c r="K1009" i="34"/>
  <c r="K998" i="34"/>
  <c r="K997" i="34"/>
  <c r="C1003" i="34"/>
  <c r="C1004" i="34"/>
  <c r="C997" i="34"/>
  <c r="C998" i="34"/>
  <c r="C999" i="34"/>
  <c r="C1009" i="34"/>
  <c r="C1010" i="34"/>
  <c r="C1011" i="34"/>
  <c r="C1012" i="34"/>
  <c r="C1000" i="34"/>
  <c r="C1001" i="34"/>
  <c r="C1005" i="34"/>
  <c r="C1006" i="34"/>
  <c r="C1013" i="34"/>
  <c r="C1002" i="34"/>
  <c r="K1003" i="34"/>
  <c r="K1002" i="34"/>
  <c r="C990" i="34"/>
  <c r="C989" i="34"/>
  <c r="K989" i="34"/>
  <c r="K1025" i="34"/>
  <c r="K911" i="34"/>
  <c r="C911" i="34"/>
  <c r="B911" i="34" s="1"/>
  <c r="K908" i="34"/>
  <c r="K909" i="34"/>
  <c r="K910" i="34"/>
  <c r="K907" i="34"/>
  <c r="K995" i="34"/>
  <c r="K1139" i="34"/>
  <c r="K1138" i="34"/>
  <c r="K1119" i="34"/>
  <c r="K1118" i="34"/>
  <c r="K1100" i="34"/>
  <c r="K1099" i="34"/>
  <c r="K1129" i="34"/>
  <c r="K1128" i="34"/>
  <c r="K1125" i="34"/>
  <c r="K1122" i="34"/>
  <c r="K1114" i="34"/>
  <c r="K1111" i="34"/>
  <c r="C1098" i="34"/>
  <c r="B1098" i="34" s="1"/>
  <c r="K1096" i="34"/>
  <c r="K1087" i="34"/>
  <c r="K1080" i="34"/>
  <c r="K1079" i="34"/>
  <c r="K1073" i="34"/>
  <c r="K1072" i="34"/>
  <c r="K1071" i="34"/>
  <c r="C1070" i="34"/>
  <c r="B1070" i="34" s="1"/>
  <c r="C993" i="34"/>
  <c r="B993" i="34" s="1"/>
  <c r="K1068" i="34"/>
  <c r="K1058" i="34"/>
  <c r="K1056" i="34"/>
  <c r="K1046" i="34"/>
  <c r="K1047" i="34"/>
  <c r="K1045" i="34"/>
  <c r="E21" i="55"/>
  <c r="B15" i="55"/>
  <c r="A15" i="55" s="1"/>
  <c r="G15" i="55" a="1"/>
  <c r="G15" i="55" s="1"/>
  <c r="I15" i="55" a="1"/>
  <c r="I15" i="55" s="1"/>
  <c r="K1040" i="34"/>
  <c r="K1029" i="34"/>
  <c r="K33" i="55" l="1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70" i="34"/>
  <c r="P1070" i="34"/>
  <c r="X1070" i="34"/>
  <c r="Q1070" i="34"/>
  <c r="R1070" i="34"/>
  <c r="V1070" i="34"/>
  <c r="AA1070" i="34"/>
  <c r="A1098" i="34"/>
  <c r="R1098" i="34"/>
  <c r="V1098" i="34"/>
  <c r="AA1098" i="34"/>
  <c r="P1098" i="34"/>
  <c r="X1098" i="34"/>
  <c r="Q1098" i="34"/>
  <c r="A911" i="34"/>
  <c r="P911" i="34"/>
  <c r="X911" i="34"/>
  <c r="Q911" i="34"/>
  <c r="R911" i="34"/>
  <c r="V911" i="34"/>
  <c r="AA911" i="34"/>
  <c r="A993" i="34"/>
  <c r="Q993" i="34"/>
  <c r="R993" i="34"/>
  <c r="V993" i="34"/>
  <c r="AA993" i="34"/>
  <c r="P993" i="34"/>
  <c r="X993" i="34"/>
  <c r="K15" i="55"/>
  <c r="K1017" i="34"/>
  <c r="K1007" i="34"/>
  <c r="K991" i="34"/>
  <c r="K882" i="34"/>
  <c r="K881" i="34"/>
  <c r="K872" i="34"/>
  <c r="K871" i="34"/>
  <c r="K867" i="34"/>
  <c r="K860" i="34"/>
  <c r="K859" i="34"/>
  <c r="K863" i="34"/>
  <c r="K861" i="34"/>
  <c r="C859" i="34"/>
  <c r="C860" i="34"/>
  <c r="C861" i="34"/>
  <c r="C862" i="34"/>
  <c r="C863" i="34"/>
  <c r="C864" i="34"/>
  <c r="C865" i="34"/>
  <c r="C866" i="34"/>
  <c r="C867" i="34"/>
  <c r="C868" i="34"/>
  <c r="C871" i="34"/>
  <c r="C872" i="34"/>
  <c r="C873" i="34"/>
  <c r="C874" i="34"/>
  <c r="C881" i="34"/>
  <c r="C882" i="34"/>
  <c r="C883" i="34"/>
  <c r="C884" i="34"/>
  <c r="C991" i="34"/>
  <c r="C992" i="34"/>
  <c r="C1007" i="34"/>
  <c r="C1008" i="34"/>
  <c r="C1017" i="34"/>
  <c r="C1018" i="34"/>
  <c r="C1023" i="34"/>
  <c r="C1024" i="34"/>
  <c r="C1029" i="34"/>
  <c r="C1030" i="34"/>
  <c r="C1031" i="34"/>
  <c r="C1032" i="34"/>
  <c r="C1040" i="34"/>
  <c r="C1041" i="34"/>
  <c r="C1045" i="34"/>
  <c r="C1046" i="34"/>
  <c r="C1047" i="34"/>
  <c r="C1048" i="34"/>
  <c r="C1056" i="34"/>
  <c r="C1057" i="34"/>
  <c r="C1058" i="34"/>
  <c r="C1059" i="34"/>
  <c r="C1068" i="34"/>
  <c r="C1069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7" i="34"/>
  <c r="C1088" i="34"/>
  <c r="C1089" i="34"/>
  <c r="C1090" i="34"/>
  <c r="C1091" i="34"/>
  <c r="C1094" i="34"/>
  <c r="C1095" i="34"/>
  <c r="C1096" i="34"/>
  <c r="C1097" i="34"/>
  <c r="C1101" i="34"/>
  <c r="C1102" i="34"/>
  <c r="C1105" i="34"/>
  <c r="C1106" i="34"/>
  <c r="C1107" i="34"/>
  <c r="C1108" i="34"/>
  <c r="C1111" i="34"/>
  <c r="C1112" i="34"/>
  <c r="C1113" i="34"/>
  <c r="C1114" i="34"/>
  <c r="C1115" i="34"/>
  <c r="C1122" i="34"/>
  <c r="C1123" i="34"/>
  <c r="C1124" i="34"/>
  <c r="C1125" i="34"/>
  <c r="C1126" i="34"/>
  <c r="C1127" i="34"/>
  <c r="C1128" i="34"/>
  <c r="C1129" i="34"/>
  <c r="C1144" i="34"/>
  <c r="C1145" i="34"/>
  <c r="C1099" i="34"/>
  <c r="C1100" i="34"/>
  <c r="C1118" i="34"/>
  <c r="C1119" i="34"/>
  <c r="C1138" i="34"/>
  <c r="C1139" i="34"/>
  <c r="C879" i="34"/>
  <c r="C880" i="34"/>
  <c r="C922" i="34"/>
  <c r="C994" i="34"/>
  <c r="C995" i="34"/>
  <c r="C996" i="34"/>
  <c r="C1033" i="34"/>
  <c r="C907" i="34"/>
  <c r="C908" i="34"/>
  <c r="C909" i="34"/>
  <c r="C910" i="34"/>
  <c r="C912" i="34"/>
  <c r="C1025" i="34"/>
  <c r="C1026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C75" i="34" l="1"/>
  <c r="I23" i="12" l="1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C23" i="34"/>
  <c r="AC26" i="34"/>
  <c r="AC28" i="34"/>
  <c r="AC33" i="34"/>
  <c r="AC35" i="34"/>
  <c r="AC37" i="34"/>
  <c r="AC40" i="34"/>
  <c r="AC42" i="34"/>
  <c r="AC44" i="34"/>
  <c r="AC47" i="34"/>
  <c r="AC50" i="34"/>
  <c r="AC52" i="34"/>
  <c r="AC57" i="34"/>
  <c r="AC61" i="34"/>
  <c r="AC63" i="34"/>
  <c r="AC65" i="34"/>
  <c r="AC68" i="34"/>
  <c r="AC70" i="34"/>
  <c r="AC72" i="34"/>
  <c r="AC77" i="34"/>
  <c r="AC79" i="34"/>
  <c r="AC84" i="34"/>
  <c r="AC87" i="34"/>
  <c r="AC92" i="34"/>
  <c r="AC95" i="34"/>
  <c r="AC98" i="34"/>
  <c r="AC101" i="34"/>
  <c r="AC103" i="34"/>
  <c r="AC105" i="34"/>
  <c r="AC110" i="34"/>
  <c r="AC112" i="34"/>
  <c r="AC115" i="34"/>
  <c r="AC118" i="34"/>
  <c r="AC121" i="34"/>
  <c r="AC124" i="34"/>
  <c r="AC127" i="34"/>
  <c r="AC129" i="34"/>
  <c r="AC131" i="34"/>
  <c r="AC133" i="34"/>
  <c r="AC136" i="34"/>
  <c r="AC141" i="34"/>
  <c r="AC144" i="34"/>
  <c r="AC146" i="34"/>
  <c r="AC148" i="34"/>
  <c r="AC150" i="34"/>
  <c r="AC152" i="34"/>
  <c r="AC154" i="34"/>
  <c r="AC158" i="34"/>
  <c r="AC160" i="34"/>
  <c r="AC162" i="34"/>
  <c r="AC164" i="34"/>
  <c r="AC166" i="34"/>
  <c r="AC168" i="34"/>
  <c r="AC173" i="34"/>
  <c r="AC176" i="34"/>
  <c r="AC179" i="34"/>
  <c r="AC181" i="34"/>
  <c r="AC183" i="34"/>
  <c r="AC185" i="34"/>
  <c r="AC187" i="34"/>
  <c r="AC190" i="34"/>
  <c r="AC192" i="34"/>
  <c r="AC194" i="34"/>
  <c r="AC197" i="34"/>
  <c r="AC200" i="34"/>
  <c r="AC203" i="34"/>
  <c r="AC207" i="34"/>
  <c r="AC210" i="34"/>
  <c r="AC213" i="34"/>
  <c r="AC216" i="34"/>
  <c r="AC222" i="34"/>
  <c r="AC226" i="34"/>
  <c r="AC229" i="34"/>
  <c r="AC231" i="34"/>
  <c r="AC236" i="34"/>
  <c r="AC238" i="34"/>
  <c r="AC240" i="34"/>
  <c r="AC243" i="34"/>
  <c r="AC245" i="34"/>
  <c r="AC249" i="34"/>
  <c r="AC251" i="34"/>
  <c r="AC254" i="34"/>
  <c r="AC257" i="34"/>
  <c r="AC260" i="34"/>
  <c r="AC263" i="34"/>
  <c r="AC265" i="34"/>
  <c r="AC267" i="34"/>
  <c r="AC274" i="34"/>
  <c r="AC276" i="34"/>
  <c r="AC278" i="34"/>
  <c r="AC281" i="34"/>
  <c r="AC283" i="34"/>
  <c r="AC289" i="34"/>
  <c r="AC291" i="34"/>
  <c r="AC293" i="34"/>
  <c r="AC295" i="34"/>
  <c r="AC297" i="34"/>
  <c r="AC299" i="34"/>
  <c r="AC302" i="34"/>
  <c r="AC304" i="34"/>
  <c r="AC311" i="34"/>
  <c r="AC314" i="34"/>
  <c r="AC316" i="34"/>
  <c r="AC320" i="34"/>
  <c r="AC325" i="34"/>
  <c r="AC327" i="34"/>
  <c r="AC330" i="34"/>
  <c r="AC333" i="34"/>
  <c r="AC339" i="34"/>
  <c r="AC341" i="34"/>
  <c r="AC343" i="34"/>
  <c r="AC346" i="34"/>
  <c r="AC348" i="34"/>
  <c r="AC351" i="34"/>
  <c r="AC353" i="34"/>
  <c r="AC355" i="34"/>
  <c r="AC359" i="34"/>
  <c r="AC361" i="34"/>
  <c r="AC364" i="34"/>
  <c r="AC370" i="34"/>
  <c r="AC372" i="34"/>
  <c r="AC375" i="34"/>
  <c r="AC380" i="34"/>
  <c r="AC383" i="34"/>
  <c r="AC385" i="34"/>
  <c r="AC387" i="34"/>
  <c r="AC389" i="34"/>
  <c r="AC395" i="34"/>
  <c r="AC398" i="34"/>
  <c r="AC407" i="34"/>
  <c r="AC409" i="34"/>
  <c r="AC412" i="34"/>
  <c r="AC414" i="34"/>
  <c r="AC416" i="34"/>
  <c r="AC419" i="34"/>
  <c r="AC421" i="34"/>
  <c r="AC424" i="34"/>
  <c r="AC430" i="34"/>
  <c r="AC432" i="34"/>
  <c r="AC434" i="34"/>
  <c r="AC443" i="34"/>
  <c r="AC445" i="34"/>
  <c r="AC450" i="34"/>
  <c r="AC453" i="34"/>
  <c r="AC455" i="34"/>
  <c r="AC457" i="34"/>
  <c r="AC460" i="34"/>
  <c r="AC463" i="34"/>
  <c r="AC465" i="34"/>
  <c r="AC468" i="34"/>
  <c r="AC472" i="34"/>
  <c r="AC474" i="34"/>
  <c r="AC478" i="34"/>
  <c r="AC481" i="34"/>
  <c r="AC483" i="34"/>
  <c r="AC486" i="34"/>
  <c r="AC489" i="34"/>
  <c r="AC491" i="34"/>
  <c r="AC501" i="34"/>
  <c r="AC505" i="34"/>
  <c r="AC507" i="34"/>
  <c r="AC510" i="34"/>
  <c r="AC514" i="34"/>
  <c r="AC516" i="34"/>
  <c r="AC518" i="34"/>
  <c r="AC520" i="34"/>
  <c r="AC525" i="34"/>
  <c r="AC530" i="34"/>
  <c r="AC532" i="34"/>
  <c r="AC536" i="34"/>
  <c r="AC539" i="34"/>
  <c r="AC541" i="34"/>
  <c r="AC543" i="34"/>
  <c r="AC547" i="34"/>
  <c r="AC549" i="34"/>
  <c r="AC553" i="34"/>
  <c r="AC557" i="34"/>
  <c r="AC559" i="34"/>
  <c r="AC562" i="34"/>
  <c r="AC564" i="34"/>
  <c r="AC566" i="34"/>
  <c r="AC572" i="34"/>
  <c r="AC574" i="34"/>
  <c r="AC576" i="34"/>
  <c r="AC578" i="34"/>
  <c r="AC580" i="34"/>
  <c r="AC582" i="34"/>
  <c r="AC584" i="34"/>
  <c r="AC586" i="34"/>
  <c r="AC589" i="34"/>
  <c r="AC593" i="34"/>
  <c r="AC597" i="34"/>
  <c r="AC599" i="34"/>
  <c r="AC602" i="34"/>
  <c r="AC604" i="34"/>
  <c r="AC606" i="34"/>
  <c r="AC609" i="34"/>
  <c r="AC611" i="34"/>
  <c r="AC616" i="34"/>
  <c r="AC627" i="34"/>
  <c r="AC629" i="34"/>
  <c r="AC631" i="34"/>
  <c r="AC634" i="34"/>
  <c r="AC639" i="34"/>
  <c r="AC643" i="34"/>
  <c r="AC645" i="34"/>
  <c r="AC647" i="34"/>
  <c r="AC650" i="34"/>
  <c r="AC653" i="34"/>
  <c r="AC655" i="34"/>
  <c r="AC658" i="34"/>
  <c r="AC660" i="34"/>
  <c r="AC665" i="34"/>
  <c r="AC670" i="34"/>
  <c r="AC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2" i="60" l="1"/>
  <c r="K14" i="34" l="1"/>
  <c r="C14" i="34"/>
  <c r="B14" i="34" s="1"/>
  <c r="A14" i="34" l="1"/>
  <c r="Q14" i="34"/>
  <c r="R14" i="34"/>
  <c r="V14" i="34"/>
  <c r="AA14" i="34"/>
  <c r="P14" i="34"/>
  <c r="X14" i="34"/>
  <c r="N1452" i="34"/>
  <c r="S1452" i="34"/>
  <c r="T1452" i="34"/>
  <c r="U1452" i="34"/>
  <c r="Y1452" i="34"/>
  <c r="Z1452" i="34"/>
  <c r="N1453" i="34"/>
  <c r="S1453" i="34"/>
  <c r="T1453" i="34"/>
  <c r="U1453" i="34"/>
  <c r="Y1453" i="34"/>
  <c r="Z1453" i="34"/>
  <c r="N1454" i="34"/>
  <c r="S1454" i="34"/>
  <c r="T1454" i="34"/>
  <c r="U1454" i="34"/>
  <c r="Y1454" i="34"/>
  <c r="Z1454" i="34"/>
  <c r="N1455" i="34"/>
  <c r="S1455" i="34"/>
  <c r="T1455" i="34"/>
  <c r="U1455" i="34"/>
  <c r="Y1455" i="34"/>
  <c r="Z1455" i="34"/>
  <c r="N1456" i="34"/>
  <c r="S1456" i="34"/>
  <c r="T1456" i="34"/>
  <c r="U1456" i="34"/>
  <c r="Y1456" i="34"/>
  <c r="Z1456" i="34"/>
  <c r="N1457" i="34"/>
  <c r="S1457" i="34"/>
  <c r="T1457" i="34"/>
  <c r="U1457" i="34"/>
  <c r="Y1457" i="34"/>
  <c r="Z1457" i="34"/>
  <c r="N1458" i="34"/>
  <c r="S1458" i="34"/>
  <c r="T1458" i="34"/>
  <c r="U1458" i="34"/>
  <c r="Y1458" i="34"/>
  <c r="Z1458" i="34"/>
  <c r="N1459" i="34"/>
  <c r="S1459" i="34"/>
  <c r="T1459" i="34"/>
  <c r="U1459" i="34"/>
  <c r="Y1459" i="34"/>
  <c r="Z1459" i="34"/>
  <c r="N1460" i="34"/>
  <c r="S1460" i="34"/>
  <c r="T1460" i="34"/>
  <c r="U1460" i="34"/>
  <c r="Y1460" i="34"/>
  <c r="Z1460" i="34"/>
  <c r="N1461" i="34"/>
  <c r="S1461" i="34"/>
  <c r="T1461" i="34"/>
  <c r="U1461" i="34"/>
  <c r="Y1461" i="34"/>
  <c r="Z1461" i="34"/>
  <c r="N1462" i="34"/>
  <c r="S1462" i="34"/>
  <c r="T1462" i="34"/>
  <c r="U1462" i="34"/>
  <c r="Y1462" i="34"/>
  <c r="Z1462" i="34"/>
  <c r="N1463" i="34"/>
  <c r="S1463" i="34"/>
  <c r="T1463" i="34"/>
  <c r="U1463" i="34"/>
  <c r="Y1463" i="34"/>
  <c r="Z1463" i="34"/>
  <c r="N1464" i="34"/>
  <c r="S1464" i="34"/>
  <c r="T1464" i="34"/>
  <c r="U1464" i="34"/>
  <c r="Y1464" i="34"/>
  <c r="Z1464" i="34"/>
  <c r="N1465" i="34"/>
  <c r="S1465" i="34"/>
  <c r="T1465" i="34"/>
  <c r="U1465" i="34"/>
  <c r="Y1465" i="34"/>
  <c r="Z1465" i="34"/>
  <c r="N1466" i="34"/>
  <c r="S1466" i="34"/>
  <c r="T1466" i="34"/>
  <c r="U1466" i="34"/>
  <c r="Y1466" i="34"/>
  <c r="Z1466" i="34"/>
  <c r="N1467" i="34"/>
  <c r="S1467" i="34"/>
  <c r="T1467" i="34"/>
  <c r="U1467" i="34"/>
  <c r="Y1467" i="34"/>
  <c r="Z1467" i="34"/>
  <c r="N1468" i="34"/>
  <c r="S1468" i="34"/>
  <c r="T1468" i="34"/>
  <c r="U1468" i="34"/>
  <c r="Y1468" i="34"/>
  <c r="Z1468" i="34"/>
  <c r="N1469" i="34"/>
  <c r="S1469" i="34"/>
  <c r="T1469" i="34"/>
  <c r="U1469" i="34"/>
  <c r="Y1469" i="34"/>
  <c r="Z1469" i="34"/>
  <c r="N1470" i="34"/>
  <c r="S1470" i="34"/>
  <c r="T1470" i="34"/>
  <c r="U1470" i="34"/>
  <c r="Y1470" i="34"/>
  <c r="Z1470" i="34"/>
  <c r="N1471" i="34"/>
  <c r="S1471" i="34"/>
  <c r="T1471" i="34"/>
  <c r="U1471" i="34"/>
  <c r="Y1471" i="34"/>
  <c r="Z1471" i="34"/>
  <c r="N1472" i="34"/>
  <c r="S1472" i="34"/>
  <c r="T1472" i="34"/>
  <c r="U1472" i="34"/>
  <c r="Y1472" i="34"/>
  <c r="Z1472" i="34"/>
  <c r="N1473" i="34"/>
  <c r="S1473" i="34"/>
  <c r="T1473" i="34"/>
  <c r="U1473" i="34"/>
  <c r="Y1473" i="34"/>
  <c r="Z1473" i="34"/>
  <c r="N1474" i="34"/>
  <c r="S1474" i="34"/>
  <c r="T1474" i="34"/>
  <c r="U1474" i="34"/>
  <c r="Y1474" i="34"/>
  <c r="Z1474" i="34"/>
  <c r="N1475" i="34"/>
  <c r="S1475" i="34"/>
  <c r="T1475" i="34"/>
  <c r="U1475" i="34"/>
  <c r="Y1475" i="34"/>
  <c r="Z1475" i="34"/>
  <c r="N1476" i="34"/>
  <c r="S1476" i="34"/>
  <c r="T1476" i="34"/>
  <c r="U1476" i="34"/>
  <c r="Y1476" i="34"/>
  <c r="Z1476" i="34"/>
  <c r="N1477" i="34"/>
  <c r="S1477" i="34"/>
  <c r="T1477" i="34"/>
  <c r="U1477" i="34"/>
  <c r="Y1477" i="34"/>
  <c r="Z1477" i="34"/>
  <c r="N1478" i="34"/>
  <c r="Y1478" i="34"/>
  <c r="Z1478" i="34"/>
  <c r="N1479" i="34"/>
  <c r="S1479" i="34"/>
  <c r="T1479" i="34"/>
  <c r="U1479" i="34"/>
  <c r="Y1479" i="34"/>
  <c r="Z1479" i="34"/>
  <c r="N1480" i="34"/>
  <c r="S1480" i="34"/>
  <c r="T1480" i="34"/>
  <c r="U1480" i="34"/>
  <c r="Y1480" i="34"/>
  <c r="Z1480" i="34"/>
  <c r="N1481" i="34"/>
  <c r="S1481" i="34"/>
  <c r="T1481" i="34"/>
  <c r="U1481" i="34"/>
  <c r="Y1481" i="34"/>
  <c r="Z1481" i="34"/>
  <c r="N1482" i="34"/>
  <c r="S1482" i="34"/>
  <c r="T1482" i="34"/>
  <c r="U1482" i="34"/>
  <c r="Y1482" i="34"/>
  <c r="Z1482" i="34"/>
  <c r="N1483" i="34"/>
  <c r="S1483" i="34"/>
  <c r="T1483" i="34"/>
  <c r="U1483" i="34"/>
  <c r="Y1483" i="34"/>
  <c r="Z1483" i="34"/>
  <c r="N1484" i="34"/>
  <c r="S1484" i="34"/>
  <c r="T1484" i="34"/>
  <c r="U1484" i="34"/>
  <c r="Y1484" i="34"/>
  <c r="Z1484" i="34"/>
  <c r="N1485" i="34"/>
  <c r="S1485" i="34"/>
  <c r="T1485" i="34"/>
  <c r="U1485" i="34"/>
  <c r="Y1485" i="34"/>
  <c r="Z1485" i="34"/>
  <c r="N1486" i="34"/>
  <c r="S1486" i="34"/>
  <c r="T1486" i="34"/>
  <c r="U1486" i="34"/>
  <c r="Y1486" i="34"/>
  <c r="Z1486" i="34"/>
  <c r="N1487" i="34"/>
  <c r="S1487" i="34"/>
  <c r="T1487" i="34"/>
  <c r="U1487" i="34"/>
  <c r="Y1487" i="34"/>
  <c r="Z1487" i="34"/>
  <c r="N1488" i="34"/>
  <c r="S1488" i="34"/>
  <c r="T1488" i="34"/>
  <c r="U1488" i="34"/>
  <c r="Y1488" i="34"/>
  <c r="Z1488" i="34"/>
  <c r="N1489" i="34"/>
  <c r="S1489" i="34"/>
  <c r="T1489" i="34"/>
  <c r="U1489" i="34"/>
  <c r="Y1489" i="34"/>
  <c r="Z1489" i="34"/>
  <c r="N1490" i="34"/>
  <c r="Y1490" i="34"/>
  <c r="Z1490" i="34"/>
  <c r="N1491" i="34"/>
  <c r="S1491" i="34"/>
  <c r="T1491" i="34"/>
  <c r="U1491" i="34"/>
  <c r="Y1491" i="34"/>
  <c r="Z1491" i="34"/>
  <c r="N1492" i="34"/>
  <c r="S1492" i="34"/>
  <c r="T1492" i="34"/>
  <c r="U1492" i="34"/>
  <c r="Y1492" i="34"/>
  <c r="Z1492" i="34"/>
  <c r="N1493" i="34"/>
  <c r="S1493" i="34"/>
  <c r="T1493" i="34"/>
  <c r="U1493" i="34"/>
  <c r="Y1493" i="34"/>
  <c r="Z1493" i="34"/>
  <c r="N1494" i="34"/>
  <c r="S1494" i="34"/>
  <c r="T1494" i="34"/>
  <c r="U1494" i="34"/>
  <c r="Y1494" i="34"/>
  <c r="Z1494" i="34"/>
  <c r="N1495" i="34"/>
  <c r="S1495" i="34"/>
  <c r="T1495" i="34"/>
  <c r="U1495" i="34"/>
  <c r="Y1495" i="34"/>
  <c r="Z1495" i="34"/>
  <c r="N1496" i="34"/>
  <c r="S1496" i="34"/>
  <c r="T1496" i="34"/>
  <c r="U1496" i="34"/>
  <c r="Y1496" i="34"/>
  <c r="Z1496" i="34"/>
  <c r="N1497" i="34"/>
  <c r="S1497" i="34"/>
  <c r="T1497" i="34"/>
  <c r="U1497" i="34"/>
  <c r="Y1497" i="34"/>
  <c r="Z1497" i="34"/>
  <c r="N1498" i="34"/>
  <c r="Y1498" i="34"/>
  <c r="Z1498" i="34"/>
  <c r="N1499" i="34"/>
  <c r="Y1499" i="34"/>
  <c r="Z1499" i="34"/>
  <c r="N1500" i="34"/>
  <c r="Y1500" i="34"/>
  <c r="Z1500" i="34"/>
  <c r="N1501" i="34"/>
  <c r="Y1501" i="34"/>
  <c r="Z1501" i="34"/>
  <c r="N1502" i="34"/>
  <c r="Y1502" i="34"/>
  <c r="Z1502" i="34"/>
  <c r="N1503" i="34"/>
  <c r="Y1503" i="34"/>
  <c r="Z1503" i="34"/>
  <c r="N1504" i="34"/>
  <c r="Y1504" i="34"/>
  <c r="Z1504" i="34"/>
  <c r="N1505" i="34"/>
  <c r="S1505" i="34"/>
  <c r="T1505" i="34"/>
  <c r="U1505" i="34"/>
  <c r="Y1505" i="34"/>
  <c r="Z1505" i="34"/>
  <c r="N1506" i="34"/>
  <c r="S1506" i="34"/>
  <c r="T1506" i="34"/>
  <c r="U1506" i="34"/>
  <c r="Y1506" i="34"/>
  <c r="Z1506" i="34"/>
  <c r="N1507" i="34"/>
  <c r="S1507" i="34"/>
  <c r="T1507" i="34"/>
  <c r="U1507" i="34"/>
  <c r="Y1507" i="34"/>
  <c r="Z1507" i="34"/>
  <c r="N1508" i="34"/>
  <c r="S1508" i="34"/>
  <c r="T1508" i="34"/>
  <c r="U1508" i="34"/>
  <c r="Y1508" i="34"/>
  <c r="Z1508" i="34"/>
  <c r="N1509" i="34"/>
  <c r="S1509" i="34"/>
  <c r="T1509" i="34"/>
  <c r="U1509" i="34"/>
  <c r="Y1509" i="34"/>
  <c r="Z1509" i="34"/>
  <c r="N1510" i="34"/>
  <c r="S1510" i="34"/>
  <c r="T1510" i="34"/>
  <c r="U1510" i="34"/>
  <c r="Y1510" i="34"/>
  <c r="Z1510" i="34"/>
  <c r="N1511" i="34"/>
  <c r="S1511" i="34"/>
  <c r="T1511" i="34"/>
  <c r="U1511" i="34"/>
  <c r="Y1511" i="34"/>
  <c r="Z1511" i="34"/>
  <c r="N1512" i="34"/>
  <c r="S1512" i="34"/>
  <c r="T1512" i="34"/>
  <c r="U1512" i="34"/>
  <c r="Y1512" i="34"/>
  <c r="Z1512" i="34"/>
  <c r="N1513" i="34"/>
  <c r="S1513" i="34"/>
  <c r="T1513" i="34"/>
  <c r="U1513" i="34"/>
  <c r="Y1513" i="34"/>
  <c r="Z1513" i="34"/>
  <c r="N1514" i="34"/>
  <c r="S1514" i="34"/>
  <c r="T1514" i="34"/>
  <c r="U1514" i="34"/>
  <c r="Y1514" i="34"/>
  <c r="Z1514" i="34"/>
  <c r="N1515" i="34"/>
  <c r="S1515" i="34"/>
  <c r="T1515" i="34"/>
  <c r="U1515" i="34"/>
  <c r="Y1515" i="34"/>
  <c r="Z1515" i="34"/>
  <c r="N1516" i="34"/>
  <c r="S1516" i="34"/>
  <c r="T1516" i="34"/>
  <c r="U1516" i="34"/>
  <c r="Y1516" i="34"/>
  <c r="Z1516" i="34"/>
  <c r="N1517" i="34"/>
  <c r="S1517" i="34"/>
  <c r="T1517" i="34"/>
  <c r="U1517" i="34"/>
  <c r="Y1517" i="34"/>
  <c r="Z1517" i="34"/>
  <c r="N1518" i="34"/>
  <c r="S1518" i="34"/>
  <c r="T1518" i="34"/>
  <c r="U1518" i="34"/>
  <c r="Y1518" i="34"/>
  <c r="Z1518" i="34"/>
  <c r="N1519" i="34"/>
  <c r="S1519" i="34"/>
  <c r="T1519" i="34"/>
  <c r="U1519" i="34"/>
  <c r="Y1519" i="34"/>
  <c r="Z1519" i="34"/>
  <c r="N1520" i="34"/>
  <c r="S1520" i="34"/>
  <c r="T1520" i="34"/>
  <c r="U1520" i="34"/>
  <c r="Y1520" i="34"/>
  <c r="Z1520" i="34"/>
  <c r="N1521" i="34"/>
  <c r="S1521" i="34"/>
  <c r="T1521" i="34"/>
  <c r="U1521" i="34"/>
  <c r="Y1521" i="34"/>
  <c r="Z1521" i="34"/>
  <c r="N1522" i="34"/>
  <c r="S1522" i="34"/>
  <c r="T1522" i="34"/>
  <c r="U1522" i="34"/>
  <c r="Y1522" i="34"/>
  <c r="Z1522" i="34"/>
  <c r="N1523" i="34"/>
  <c r="S1523" i="34"/>
  <c r="T1523" i="34"/>
  <c r="U1523" i="34"/>
  <c r="Y1523" i="34"/>
  <c r="Z1523" i="34"/>
  <c r="N1524" i="34"/>
  <c r="S1524" i="34"/>
  <c r="T1524" i="34"/>
  <c r="U1524" i="34"/>
  <c r="Y1524" i="34"/>
  <c r="Z1524" i="34"/>
  <c r="N1525" i="34"/>
  <c r="S1525" i="34"/>
  <c r="T1525" i="34"/>
  <c r="U1525" i="34"/>
  <c r="Y1525" i="34"/>
  <c r="Z1525" i="34"/>
  <c r="N1526" i="34"/>
  <c r="S1526" i="34"/>
  <c r="T1526" i="34"/>
  <c r="U1526" i="34"/>
  <c r="Y1526" i="34"/>
  <c r="Z1526" i="34"/>
  <c r="N1527" i="34"/>
  <c r="S1527" i="34"/>
  <c r="T1527" i="34"/>
  <c r="U1527" i="34"/>
  <c r="Y1527" i="34"/>
  <c r="Z1527" i="34"/>
  <c r="N1528" i="34"/>
  <c r="S1528" i="34"/>
  <c r="T1528" i="34"/>
  <c r="U1528" i="34"/>
  <c r="Y1528" i="34"/>
  <c r="Z1528" i="34"/>
  <c r="N1529" i="34"/>
  <c r="S1529" i="34"/>
  <c r="T1529" i="34"/>
  <c r="U1529" i="34"/>
  <c r="Y1529" i="34"/>
  <c r="Z1529" i="34"/>
  <c r="N1530" i="34"/>
  <c r="S1530" i="34"/>
  <c r="T1530" i="34"/>
  <c r="U1530" i="34"/>
  <c r="Y1530" i="34"/>
  <c r="Z1530" i="34"/>
  <c r="N1531" i="34"/>
  <c r="S1531" i="34"/>
  <c r="T1531" i="34"/>
  <c r="U1531" i="34"/>
  <c r="Y1531" i="34"/>
  <c r="Z1531" i="34"/>
  <c r="N1532" i="34"/>
  <c r="S1532" i="34"/>
  <c r="T1532" i="34"/>
  <c r="U1532" i="34"/>
  <c r="Y1532" i="34"/>
  <c r="Z1532" i="34"/>
  <c r="N1533" i="34"/>
  <c r="S1533" i="34"/>
  <c r="T1533" i="34"/>
  <c r="U1533" i="34"/>
  <c r="Y1533" i="34"/>
  <c r="Z1533" i="34"/>
  <c r="N1534" i="34"/>
  <c r="S1534" i="34"/>
  <c r="T1534" i="34"/>
  <c r="U1534" i="34"/>
  <c r="Y1534" i="34"/>
  <c r="Z1534" i="34"/>
  <c r="N1535" i="34"/>
  <c r="S1535" i="34"/>
  <c r="T1535" i="34"/>
  <c r="U1535" i="34"/>
  <c r="Y1535" i="34"/>
  <c r="Z1535" i="34"/>
  <c r="N1536" i="34"/>
  <c r="S1536" i="34"/>
  <c r="T1536" i="34"/>
  <c r="U1536" i="34"/>
  <c r="Y1536" i="34"/>
  <c r="Z1536" i="34"/>
  <c r="N1537" i="34"/>
  <c r="S1537" i="34"/>
  <c r="T1537" i="34"/>
  <c r="U1537" i="34"/>
  <c r="Y1537" i="34"/>
  <c r="Z1537" i="34"/>
  <c r="N1538" i="34"/>
  <c r="S1538" i="34"/>
  <c r="T1538" i="34"/>
  <c r="U1538" i="34"/>
  <c r="Y1538" i="34"/>
  <c r="Z1538" i="34"/>
  <c r="N1539" i="34"/>
  <c r="S1539" i="34"/>
  <c r="T1539" i="34"/>
  <c r="U1539" i="34"/>
  <c r="Y1539" i="34"/>
  <c r="Z1539" i="34"/>
  <c r="N1540" i="34"/>
  <c r="S1540" i="34"/>
  <c r="T1540" i="34"/>
  <c r="U1540" i="34"/>
  <c r="Y1540" i="34"/>
  <c r="Z1540" i="34"/>
  <c r="N1541" i="34"/>
  <c r="S1541" i="34"/>
  <c r="T1541" i="34"/>
  <c r="U1541" i="34"/>
  <c r="Y1541" i="34"/>
  <c r="Z1541" i="34"/>
  <c r="N1542" i="34"/>
  <c r="S1542" i="34"/>
  <c r="T1542" i="34"/>
  <c r="U1542" i="34"/>
  <c r="Y1542" i="34"/>
  <c r="Z1542" i="34"/>
  <c r="N1543" i="34"/>
  <c r="S1543" i="34"/>
  <c r="T1543" i="34"/>
  <c r="U1543" i="34"/>
  <c r="Y1543" i="34"/>
  <c r="Z1543" i="34"/>
  <c r="N1544" i="34"/>
  <c r="S1544" i="34"/>
  <c r="T1544" i="34"/>
  <c r="U1544" i="34"/>
  <c r="Y1544" i="34"/>
  <c r="Z1544" i="34"/>
  <c r="N1545" i="34"/>
  <c r="S1545" i="34"/>
  <c r="T1545" i="34"/>
  <c r="U1545" i="34"/>
  <c r="Y1545" i="34"/>
  <c r="Z1545" i="34"/>
  <c r="N1546" i="34"/>
  <c r="S1546" i="34"/>
  <c r="T1546" i="34"/>
  <c r="U1546" i="34"/>
  <c r="Y1546" i="34"/>
  <c r="Z1546" i="34"/>
  <c r="N1547" i="34"/>
  <c r="S1547" i="34"/>
  <c r="T1547" i="34"/>
  <c r="U1547" i="34"/>
  <c r="Y1547" i="34"/>
  <c r="Z1547" i="34"/>
  <c r="N1548" i="34"/>
  <c r="S1548" i="34"/>
  <c r="T1548" i="34"/>
  <c r="U1548" i="34"/>
  <c r="Y1548" i="34"/>
  <c r="Z1548" i="34"/>
  <c r="N1549" i="34"/>
  <c r="S1549" i="34"/>
  <c r="T1549" i="34"/>
  <c r="U1549" i="34"/>
  <c r="Y1549" i="34"/>
  <c r="Z1549" i="34"/>
  <c r="N1550" i="34"/>
  <c r="S1550" i="34"/>
  <c r="T1550" i="34"/>
  <c r="U1550" i="34"/>
  <c r="Y1550" i="34"/>
  <c r="Z1550" i="34"/>
  <c r="N1551" i="34"/>
  <c r="S1551" i="34"/>
  <c r="T1551" i="34"/>
  <c r="U1551" i="34"/>
  <c r="Y1551" i="34"/>
  <c r="Z1551" i="34"/>
  <c r="N1552" i="34"/>
  <c r="S1552" i="34"/>
  <c r="T1552" i="34"/>
  <c r="U1552" i="34"/>
  <c r="Y1552" i="34"/>
  <c r="Z1552" i="34"/>
  <c r="N1553" i="34"/>
  <c r="S1553" i="34"/>
  <c r="T1553" i="34"/>
  <c r="U1553" i="34"/>
  <c r="Y1553" i="34"/>
  <c r="Z1553" i="34"/>
  <c r="N1554" i="34"/>
  <c r="S1554" i="34"/>
  <c r="T1554" i="34"/>
  <c r="U1554" i="34"/>
  <c r="Y1554" i="34"/>
  <c r="Z1554" i="34"/>
  <c r="N1555" i="34"/>
  <c r="S1555" i="34"/>
  <c r="T1555" i="34"/>
  <c r="U1555" i="34"/>
  <c r="Y1555" i="34"/>
  <c r="Z1555" i="34"/>
  <c r="N1556" i="34"/>
  <c r="S1556" i="34"/>
  <c r="T1556" i="34"/>
  <c r="U1556" i="34"/>
  <c r="Y1556" i="34"/>
  <c r="Z1556" i="34"/>
  <c r="N1557" i="34"/>
  <c r="S1557" i="34"/>
  <c r="T1557" i="34"/>
  <c r="U1557" i="34"/>
  <c r="Y1557" i="34"/>
  <c r="Z1557" i="34"/>
  <c r="N1558" i="34"/>
  <c r="S1558" i="34"/>
  <c r="T1558" i="34"/>
  <c r="U1558" i="34"/>
  <c r="Y1558" i="34"/>
  <c r="Z1558" i="34"/>
  <c r="N1559" i="34"/>
  <c r="S1559" i="34"/>
  <c r="T1559" i="34"/>
  <c r="U1559" i="34"/>
  <c r="Y1559" i="34"/>
  <c r="Z1559" i="34"/>
  <c r="N1560" i="34"/>
  <c r="S1560" i="34"/>
  <c r="T1560" i="34"/>
  <c r="U1560" i="34"/>
  <c r="Y1560" i="34"/>
  <c r="Z1560" i="34"/>
  <c r="N1561" i="34"/>
  <c r="S1561" i="34"/>
  <c r="T1561" i="34"/>
  <c r="U1561" i="34"/>
  <c r="Y1561" i="34"/>
  <c r="Z1561" i="34"/>
  <c r="N1562" i="34"/>
  <c r="S1562" i="34"/>
  <c r="T1562" i="34"/>
  <c r="U1562" i="34"/>
  <c r="Y1562" i="34"/>
  <c r="Z1562" i="34"/>
  <c r="N1563" i="34"/>
  <c r="S1563" i="34"/>
  <c r="T1563" i="34"/>
  <c r="U1563" i="34"/>
  <c r="Y1563" i="34"/>
  <c r="Z1563" i="34"/>
  <c r="N1564" i="34"/>
  <c r="S1564" i="34"/>
  <c r="T1564" i="34"/>
  <c r="U1564" i="34"/>
  <c r="Y1564" i="34"/>
  <c r="Z1564" i="34"/>
  <c r="N1565" i="34"/>
  <c r="S1565" i="34"/>
  <c r="T1565" i="34"/>
  <c r="U1565" i="34"/>
  <c r="Y1565" i="34"/>
  <c r="Z1565" i="34"/>
  <c r="N1566" i="34"/>
  <c r="S1566" i="34"/>
  <c r="T1566" i="34"/>
  <c r="U1566" i="34"/>
  <c r="Y1566" i="34"/>
  <c r="Z1566" i="34"/>
  <c r="N1567" i="34"/>
  <c r="S1567" i="34"/>
  <c r="T1567" i="34"/>
  <c r="U1567" i="34"/>
  <c r="Y1567" i="34"/>
  <c r="Z1567" i="34"/>
  <c r="N1568" i="34"/>
  <c r="Y1568" i="34"/>
  <c r="Z1568" i="34"/>
  <c r="N1569" i="34"/>
  <c r="S1569" i="34"/>
  <c r="T1569" i="34"/>
  <c r="U1569" i="34"/>
  <c r="Y1569" i="34"/>
  <c r="Z1569" i="34"/>
  <c r="N1570" i="34"/>
  <c r="S1570" i="34"/>
  <c r="T1570" i="34"/>
  <c r="U1570" i="34"/>
  <c r="Y1570" i="34"/>
  <c r="Z1570" i="34"/>
  <c r="N1571" i="34"/>
  <c r="S1571" i="34"/>
  <c r="T1571" i="34"/>
  <c r="U1571" i="34"/>
  <c r="Y1571" i="34"/>
  <c r="Z1571" i="34"/>
  <c r="N1572" i="34"/>
  <c r="S1572" i="34"/>
  <c r="T1572" i="34"/>
  <c r="U1572" i="34"/>
  <c r="Y1572" i="34"/>
  <c r="Z1572" i="34"/>
  <c r="N1573" i="34"/>
  <c r="S1573" i="34"/>
  <c r="T1573" i="34"/>
  <c r="U1573" i="34"/>
  <c r="Y1573" i="34"/>
  <c r="Z1573" i="34"/>
  <c r="N1574" i="34"/>
  <c r="S1574" i="34"/>
  <c r="T1574" i="34"/>
  <c r="U1574" i="34"/>
  <c r="Y1574" i="34"/>
  <c r="Z1574" i="34"/>
  <c r="N1575" i="34"/>
  <c r="S1575" i="34"/>
  <c r="T1575" i="34"/>
  <c r="U1575" i="34"/>
  <c r="Y1575" i="34"/>
  <c r="Z1575" i="34"/>
  <c r="N1576" i="34"/>
  <c r="S1576" i="34"/>
  <c r="T1576" i="34"/>
  <c r="U1576" i="34"/>
  <c r="Y1576" i="34"/>
  <c r="Z1576" i="34"/>
  <c r="N1577" i="34"/>
  <c r="S1577" i="34"/>
  <c r="T1577" i="34"/>
  <c r="U1577" i="34"/>
  <c r="Y1577" i="34"/>
  <c r="Z1577" i="34"/>
  <c r="N1578" i="34"/>
  <c r="S1578" i="34"/>
  <c r="T1578" i="34"/>
  <c r="U1578" i="34"/>
  <c r="Y1578" i="34"/>
  <c r="Z1578" i="34"/>
  <c r="N1579" i="34"/>
  <c r="S1579" i="34"/>
  <c r="T1579" i="34"/>
  <c r="U1579" i="34"/>
  <c r="Y1579" i="34"/>
  <c r="Z1579" i="34"/>
  <c r="N1580" i="34"/>
  <c r="S1580" i="34"/>
  <c r="T1580" i="34"/>
  <c r="U1580" i="34"/>
  <c r="Y1580" i="34"/>
  <c r="Z1580" i="34"/>
  <c r="N1581" i="34"/>
  <c r="S1581" i="34"/>
  <c r="T1581" i="34"/>
  <c r="U1581" i="34"/>
  <c r="Y1581" i="34"/>
  <c r="Z1581" i="34"/>
  <c r="N1582" i="34"/>
  <c r="S1582" i="34"/>
  <c r="T1582" i="34"/>
  <c r="U1582" i="34"/>
  <c r="Y1582" i="34"/>
  <c r="Z1582" i="34"/>
  <c r="N1583" i="34"/>
  <c r="S1583" i="34"/>
  <c r="T1583" i="34"/>
  <c r="U1583" i="34"/>
  <c r="Y1583" i="34"/>
  <c r="Z1583" i="34"/>
  <c r="N1584" i="34"/>
  <c r="S1584" i="34"/>
  <c r="T1584" i="34"/>
  <c r="U1584" i="34"/>
  <c r="Y1584" i="34"/>
  <c r="Z1584" i="34"/>
  <c r="N1585" i="34"/>
  <c r="S1585" i="34"/>
  <c r="T1585" i="34"/>
  <c r="U1585" i="34"/>
  <c r="Y1585" i="34"/>
  <c r="Z1585" i="34"/>
  <c r="N1586" i="34"/>
  <c r="S1586" i="34"/>
  <c r="T1586" i="34"/>
  <c r="U1586" i="34"/>
  <c r="Y1586" i="34"/>
  <c r="Z1586" i="34"/>
  <c r="N1587" i="34"/>
  <c r="S1587" i="34"/>
  <c r="T1587" i="34"/>
  <c r="U1587" i="34"/>
  <c r="Y1587" i="34"/>
  <c r="Z1587" i="34"/>
  <c r="N1588" i="34"/>
  <c r="S1588" i="34"/>
  <c r="T1588" i="34"/>
  <c r="U1588" i="34"/>
  <c r="Y1588" i="34"/>
  <c r="Z1588" i="34"/>
  <c r="N1589" i="34"/>
  <c r="S1589" i="34"/>
  <c r="T1589" i="34"/>
  <c r="U1589" i="34"/>
  <c r="Y1589" i="34"/>
  <c r="Z1589" i="34"/>
  <c r="N1590" i="34"/>
  <c r="S1590" i="34"/>
  <c r="T1590" i="34"/>
  <c r="U1590" i="34"/>
  <c r="Y1590" i="34"/>
  <c r="Z1590" i="34"/>
  <c r="N1591" i="34"/>
  <c r="S1591" i="34"/>
  <c r="T1591" i="34"/>
  <c r="U1591" i="34"/>
  <c r="Y1591" i="34"/>
  <c r="Z1591" i="34"/>
  <c r="N1592" i="34"/>
  <c r="S1592" i="34"/>
  <c r="T1592" i="34"/>
  <c r="U1592" i="34"/>
  <c r="Y1592" i="34"/>
  <c r="Z1592" i="34"/>
  <c r="N1593" i="34"/>
  <c r="S1593" i="34"/>
  <c r="T1593" i="34"/>
  <c r="U1593" i="34"/>
  <c r="Y1593" i="34"/>
  <c r="Z1593" i="34"/>
  <c r="N1594" i="34"/>
  <c r="S1594" i="34"/>
  <c r="T1594" i="34"/>
  <c r="U1594" i="34"/>
  <c r="Y1594" i="34"/>
  <c r="Z1594" i="34"/>
  <c r="N1595" i="34"/>
  <c r="S1595" i="34"/>
  <c r="T1595" i="34"/>
  <c r="U1595" i="34"/>
  <c r="Y1595" i="34"/>
  <c r="Z1595" i="34"/>
  <c r="N1596" i="34"/>
  <c r="S1596" i="34"/>
  <c r="T1596" i="34"/>
  <c r="U1596" i="34"/>
  <c r="Y1596" i="34"/>
  <c r="Z1596" i="34"/>
  <c r="N1597" i="34"/>
  <c r="S1597" i="34"/>
  <c r="T1597" i="34"/>
  <c r="U1597" i="34"/>
  <c r="Y1597" i="34"/>
  <c r="Z1597" i="34"/>
  <c r="N1598" i="34"/>
  <c r="S1598" i="34"/>
  <c r="T1598" i="34"/>
  <c r="U1598" i="34"/>
  <c r="Y1598" i="34"/>
  <c r="Z1598" i="34"/>
  <c r="N1599" i="34"/>
  <c r="S1599" i="34"/>
  <c r="T1599" i="34"/>
  <c r="U1599" i="34"/>
  <c r="Y1599" i="34"/>
  <c r="Z1599" i="34"/>
  <c r="N1600" i="34"/>
  <c r="S1600" i="34"/>
  <c r="T1600" i="34"/>
  <c r="U1600" i="34"/>
  <c r="Y1600" i="34"/>
  <c r="Z1600" i="34"/>
  <c r="N1601" i="34"/>
  <c r="S1601" i="34"/>
  <c r="T1601" i="34"/>
  <c r="U1601" i="34"/>
  <c r="Y1601" i="34"/>
  <c r="Z1601" i="34"/>
  <c r="N1602" i="34"/>
  <c r="S1602" i="34"/>
  <c r="T1602" i="34"/>
  <c r="U1602" i="34"/>
  <c r="Y1602" i="34"/>
  <c r="Z1602" i="34"/>
  <c r="N1603" i="34"/>
  <c r="S1603" i="34"/>
  <c r="T1603" i="34"/>
  <c r="U1603" i="34"/>
  <c r="Y1603" i="34"/>
  <c r="Z1603" i="34"/>
  <c r="N1604" i="34"/>
  <c r="S1604" i="34"/>
  <c r="T1604" i="34"/>
  <c r="U1604" i="34"/>
  <c r="Y1604" i="34"/>
  <c r="Z1604" i="34"/>
  <c r="N1605" i="34"/>
  <c r="S1605" i="34"/>
  <c r="T1605" i="34"/>
  <c r="U1605" i="34"/>
  <c r="Y1605" i="34"/>
  <c r="Z1605" i="34"/>
  <c r="N1606" i="34"/>
  <c r="S1606" i="34"/>
  <c r="T1606" i="34"/>
  <c r="U1606" i="34"/>
  <c r="Y1606" i="34"/>
  <c r="Z1606" i="34"/>
  <c r="N1607" i="34"/>
  <c r="S1607" i="34"/>
  <c r="T1607" i="34"/>
  <c r="U1607" i="34"/>
  <c r="Y1607" i="34"/>
  <c r="Z1607" i="34"/>
  <c r="N1608" i="34"/>
  <c r="S1608" i="34"/>
  <c r="T1608" i="34"/>
  <c r="U1608" i="34"/>
  <c r="Y1608" i="34"/>
  <c r="Z1608" i="34"/>
  <c r="N1609" i="34"/>
  <c r="S1609" i="34"/>
  <c r="T1609" i="34"/>
  <c r="U1609" i="34"/>
  <c r="Y1609" i="34"/>
  <c r="Z1609" i="34"/>
  <c r="N1610" i="34"/>
  <c r="S1610" i="34"/>
  <c r="T1610" i="34"/>
  <c r="U1610" i="34"/>
  <c r="Y1610" i="34"/>
  <c r="Z1610" i="34"/>
  <c r="N1611" i="34"/>
  <c r="S1611" i="34"/>
  <c r="T1611" i="34"/>
  <c r="U1611" i="34"/>
  <c r="Y1611" i="34"/>
  <c r="Z1611" i="34"/>
  <c r="N1612" i="34"/>
  <c r="S1612" i="34"/>
  <c r="T1612" i="34"/>
  <c r="U1612" i="34"/>
  <c r="Y1612" i="34"/>
  <c r="Z1612" i="34"/>
  <c r="N1613" i="34"/>
  <c r="S1613" i="34"/>
  <c r="T1613" i="34"/>
  <c r="U1613" i="34"/>
  <c r="Y1613" i="34"/>
  <c r="Z1613" i="34"/>
  <c r="N1614" i="34"/>
  <c r="S1614" i="34"/>
  <c r="T1614" i="34"/>
  <c r="U1614" i="34"/>
  <c r="Y1614" i="34"/>
  <c r="Z1614" i="34"/>
  <c r="N1615" i="34"/>
  <c r="S1615" i="34"/>
  <c r="T1615" i="34"/>
  <c r="U1615" i="34"/>
  <c r="Y1615" i="34"/>
  <c r="Z1615" i="34"/>
  <c r="N1616" i="34"/>
  <c r="S1616" i="34"/>
  <c r="T1616" i="34"/>
  <c r="U1616" i="34"/>
  <c r="Y1616" i="34"/>
  <c r="Z1616" i="34"/>
  <c r="N1617" i="34"/>
  <c r="S1617" i="34"/>
  <c r="T1617" i="34"/>
  <c r="U1617" i="34"/>
  <c r="Y1617" i="34"/>
  <c r="Z1617" i="34"/>
  <c r="N1618" i="34"/>
  <c r="S1618" i="34"/>
  <c r="T1618" i="34"/>
  <c r="U1618" i="34"/>
  <c r="Y1618" i="34"/>
  <c r="Z1618" i="34"/>
  <c r="N1619" i="34"/>
  <c r="S1619" i="34"/>
  <c r="T1619" i="34"/>
  <c r="U1619" i="34"/>
  <c r="Y1619" i="34"/>
  <c r="Z1619" i="34"/>
  <c r="N1620" i="34"/>
  <c r="S1620" i="34"/>
  <c r="T1620" i="34"/>
  <c r="U1620" i="34"/>
  <c r="Y1620" i="34"/>
  <c r="Z1620" i="34"/>
  <c r="N1621" i="34"/>
  <c r="S1621" i="34"/>
  <c r="T1621" i="34"/>
  <c r="U1621" i="34"/>
  <c r="Y1621" i="34"/>
  <c r="Z1621" i="34"/>
  <c r="N1622" i="34"/>
  <c r="S1622" i="34"/>
  <c r="T1622" i="34"/>
  <c r="U1622" i="34"/>
  <c r="Y1622" i="34"/>
  <c r="Z1622" i="34"/>
  <c r="N1623" i="34"/>
  <c r="S1623" i="34"/>
  <c r="T1623" i="34"/>
  <c r="U1623" i="34"/>
  <c r="Y1623" i="34"/>
  <c r="Z1623" i="34"/>
  <c r="N1624" i="34"/>
  <c r="S1624" i="34"/>
  <c r="T1624" i="34"/>
  <c r="U1624" i="34"/>
  <c r="Y1624" i="34"/>
  <c r="Z1624" i="34"/>
  <c r="N1625" i="34"/>
  <c r="S1625" i="34"/>
  <c r="T1625" i="34"/>
  <c r="U1625" i="34"/>
  <c r="Y1625" i="34"/>
  <c r="Z1625" i="34"/>
  <c r="N1626" i="34"/>
  <c r="S1626" i="34"/>
  <c r="T1626" i="34"/>
  <c r="U1626" i="34"/>
  <c r="Y1626" i="34"/>
  <c r="Z1626" i="34"/>
  <c r="N1627" i="34"/>
  <c r="S1627" i="34"/>
  <c r="T1627" i="34"/>
  <c r="U1627" i="34"/>
  <c r="Y1627" i="34"/>
  <c r="Z1627" i="34"/>
  <c r="N1628" i="34"/>
  <c r="S1628" i="34"/>
  <c r="T1628" i="34"/>
  <c r="U1628" i="34"/>
  <c r="Y1628" i="34"/>
  <c r="Z1628" i="34"/>
  <c r="N1629" i="34"/>
  <c r="S1629" i="34"/>
  <c r="T1629" i="34"/>
  <c r="U1629" i="34"/>
  <c r="Y1629" i="34"/>
  <c r="Z1629" i="34"/>
  <c r="N1630" i="34"/>
  <c r="S1630" i="34"/>
  <c r="T1630" i="34"/>
  <c r="U1630" i="34"/>
  <c r="Y1630" i="34"/>
  <c r="Z1630" i="34"/>
  <c r="N1631" i="34"/>
  <c r="S1631" i="34"/>
  <c r="T1631" i="34"/>
  <c r="U1631" i="34"/>
  <c r="Y1631" i="34"/>
  <c r="Z1631" i="34"/>
  <c r="N1632" i="34"/>
  <c r="S1632" i="34"/>
  <c r="T1632" i="34"/>
  <c r="U1632" i="34"/>
  <c r="Y1632" i="34"/>
  <c r="Z1632" i="34"/>
  <c r="N1633" i="34"/>
  <c r="S1633" i="34"/>
  <c r="T1633" i="34"/>
  <c r="U1633" i="34"/>
  <c r="Y1633" i="34"/>
  <c r="Z1633" i="34"/>
  <c r="N1634" i="34"/>
  <c r="S1634" i="34"/>
  <c r="T1634" i="34"/>
  <c r="U1634" i="34"/>
  <c r="Y1634" i="34"/>
  <c r="Z1634" i="34"/>
  <c r="N1635" i="34"/>
  <c r="S1635" i="34"/>
  <c r="T1635" i="34"/>
  <c r="U1635" i="34"/>
  <c r="Y1635" i="34"/>
  <c r="Z1635" i="34"/>
  <c r="N1636" i="34"/>
  <c r="S1636" i="34"/>
  <c r="T1636" i="34"/>
  <c r="U1636" i="34"/>
  <c r="Y1636" i="34"/>
  <c r="Z1636" i="34"/>
  <c r="N1637" i="34"/>
  <c r="S1637" i="34"/>
  <c r="T1637" i="34"/>
  <c r="U1637" i="34"/>
  <c r="Y1637" i="34"/>
  <c r="Z1637" i="34"/>
  <c r="N1638" i="34"/>
  <c r="S1638" i="34"/>
  <c r="T1638" i="34"/>
  <c r="U1638" i="34"/>
  <c r="Y1638" i="34"/>
  <c r="Z1638" i="34"/>
  <c r="N1639" i="34"/>
  <c r="S1639" i="34"/>
  <c r="T1639" i="34"/>
  <c r="U1639" i="34"/>
  <c r="Y1639" i="34"/>
  <c r="Z1639" i="34"/>
  <c r="N1640" i="34"/>
  <c r="S1640" i="34"/>
  <c r="T1640" i="34"/>
  <c r="U1640" i="34"/>
  <c r="Y1640" i="34"/>
  <c r="Z1640" i="34"/>
  <c r="N1641" i="34"/>
  <c r="S1641" i="34"/>
  <c r="T1641" i="34"/>
  <c r="U1641" i="34"/>
  <c r="Y1641" i="34"/>
  <c r="Z1641" i="34"/>
  <c r="N1642" i="34"/>
  <c r="S1642" i="34"/>
  <c r="T1642" i="34"/>
  <c r="U1642" i="34"/>
  <c r="Y1642" i="34"/>
  <c r="Z1642" i="34"/>
  <c r="N1643" i="34"/>
  <c r="S1643" i="34"/>
  <c r="T1643" i="34"/>
  <c r="U1643" i="34"/>
  <c r="Y1643" i="34"/>
  <c r="Z1643" i="34"/>
  <c r="N1644" i="34"/>
  <c r="S1644" i="34"/>
  <c r="T1644" i="34"/>
  <c r="U1644" i="34"/>
  <c r="Y1644" i="34"/>
  <c r="Z1644" i="34"/>
  <c r="N1645" i="34"/>
  <c r="S1645" i="34"/>
  <c r="T1645" i="34"/>
  <c r="U1645" i="34"/>
  <c r="Y1645" i="34"/>
  <c r="Z1645" i="34"/>
  <c r="N1646" i="34"/>
  <c r="S1646" i="34"/>
  <c r="T1646" i="34"/>
  <c r="U1646" i="34"/>
  <c r="Y1646" i="34"/>
  <c r="Z1646" i="34"/>
  <c r="N1647" i="34"/>
  <c r="S1647" i="34"/>
  <c r="T1647" i="34"/>
  <c r="U1647" i="34"/>
  <c r="Y1647" i="34"/>
  <c r="Z1647" i="34"/>
  <c r="N1648" i="34"/>
  <c r="S1648" i="34"/>
  <c r="T1648" i="34"/>
  <c r="U1648" i="34"/>
  <c r="Y1648" i="34"/>
  <c r="Z1648" i="34"/>
  <c r="N1649" i="34"/>
  <c r="S1649" i="34"/>
  <c r="T1649" i="34"/>
  <c r="U1649" i="34"/>
  <c r="Y1649" i="34"/>
  <c r="Z1649" i="34"/>
  <c r="N1650" i="34"/>
  <c r="S1650" i="34"/>
  <c r="T1650" i="34"/>
  <c r="U1650" i="34"/>
  <c r="Y1650" i="34"/>
  <c r="Z1650" i="34"/>
  <c r="N1651" i="34"/>
  <c r="S1651" i="34"/>
  <c r="T1651" i="34"/>
  <c r="U1651" i="34"/>
  <c r="Y1651" i="34"/>
  <c r="Z1651" i="34"/>
  <c r="N1652" i="34"/>
  <c r="S1652" i="34"/>
  <c r="T1652" i="34"/>
  <c r="U1652" i="34"/>
  <c r="Y1652" i="34"/>
  <c r="Z1652" i="34"/>
  <c r="N1653" i="34"/>
  <c r="S1653" i="34"/>
  <c r="T1653" i="34"/>
  <c r="U1653" i="34"/>
  <c r="Y1653" i="34"/>
  <c r="Z1653" i="34"/>
  <c r="N1654" i="34"/>
  <c r="S1654" i="34"/>
  <c r="T1654" i="34"/>
  <c r="U1654" i="34"/>
  <c r="Y1654" i="34"/>
  <c r="Z1654" i="34"/>
  <c r="N1655" i="34"/>
  <c r="S1655" i="34"/>
  <c r="T1655" i="34"/>
  <c r="U1655" i="34"/>
  <c r="Y1655" i="34"/>
  <c r="Z1655" i="34"/>
  <c r="N1656" i="34"/>
  <c r="S1656" i="34"/>
  <c r="T1656" i="34"/>
  <c r="U1656" i="34"/>
  <c r="Y1656" i="34"/>
  <c r="Z1656" i="34"/>
  <c r="N1657" i="34"/>
  <c r="S1657" i="34"/>
  <c r="T1657" i="34"/>
  <c r="U1657" i="34"/>
  <c r="Y1657" i="34"/>
  <c r="Z1657" i="34"/>
  <c r="N1658" i="34"/>
  <c r="S1658" i="34"/>
  <c r="T1658" i="34"/>
  <c r="U1658" i="34"/>
  <c r="Y1658" i="34"/>
  <c r="Z1658" i="34"/>
  <c r="N1659" i="34"/>
  <c r="S1659" i="34"/>
  <c r="T1659" i="34"/>
  <c r="U1659" i="34"/>
  <c r="Y1659" i="34"/>
  <c r="Z1659" i="34"/>
  <c r="N1660" i="34"/>
  <c r="S1660" i="34"/>
  <c r="T1660" i="34"/>
  <c r="U1660" i="34"/>
  <c r="Y1660" i="34"/>
  <c r="Z1660" i="34"/>
  <c r="N1661" i="34"/>
  <c r="S1661" i="34"/>
  <c r="T1661" i="34"/>
  <c r="U1661" i="34"/>
  <c r="Y1661" i="34"/>
  <c r="Z1661" i="34"/>
  <c r="N1662" i="34"/>
  <c r="S1662" i="34"/>
  <c r="T1662" i="34"/>
  <c r="U1662" i="34"/>
  <c r="Y1662" i="34"/>
  <c r="Z1662" i="34"/>
  <c r="N1663" i="34"/>
  <c r="S1663" i="34"/>
  <c r="T1663" i="34"/>
  <c r="U1663" i="34"/>
  <c r="Y1663" i="34"/>
  <c r="Z1663" i="34"/>
  <c r="N1664" i="34"/>
  <c r="S1664" i="34"/>
  <c r="T1664" i="34"/>
  <c r="U1664" i="34"/>
  <c r="Y1664" i="34"/>
  <c r="Z1664" i="34"/>
  <c r="N1665" i="34"/>
  <c r="S1665" i="34"/>
  <c r="T1665" i="34"/>
  <c r="U1665" i="34"/>
  <c r="Y1665" i="34"/>
  <c r="Z1665" i="34"/>
  <c r="N1666" i="34"/>
  <c r="S1666" i="34"/>
  <c r="T1666" i="34"/>
  <c r="U1666" i="34"/>
  <c r="Y1666" i="34"/>
  <c r="Z1666" i="34"/>
  <c r="N1667" i="34"/>
  <c r="S1667" i="34"/>
  <c r="T1667" i="34"/>
  <c r="U1667" i="34"/>
  <c r="Y1667" i="34"/>
  <c r="Z1667" i="34"/>
  <c r="N1668" i="34"/>
  <c r="S1668" i="34"/>
  <c r="T1668" i="34"/>
  <c r="U1668" i="34"/>
  <c r="Y1668" i="34"/>
  <c r="Z1668" i="34"/>
  <c r="N1669" i="34"/>
  <c r="S1669" i="34"/>
  <c r="T1669" i="34"/>
  <c r="U1669" i="34"/>
  <c r="Y1669" i="34"/>
  <c r="Z1669" i="34"/>
  <c r="N1670" i="34"/>
  <c r="S1670" i="34"/>
  <c r="T1670" i="34"/>
  <c r="U1670" i="34"/>
  <c r="Y1670" i="34"/>
  <c r="Z1670" i="34"/>
  <c r="N1671" i="34"/>
  <c r="S1671" i="34"/>
  <c r="T1671" i="34"/>
  <c r="U1671" i="34"/>
  <c r="Y1671" i="34"/>
  <c r="Z1671" i="34"/>
  <c r="N1672" i="34"/>
  <c r="S1672" i="34"/>
  <c r="T1672" i="34"/>
  <c r="U1672" i="34"/>
  <c r="Y1672" i="34"/>
  <c r="Z1672" i="34"/>
  <c r="N1673" i="34"/>
  <c r="S1673" i="34"/>
  <c r="T1673" i="34"/>
  <c r="U1673" i="34"/>
  <c r="Y1673" i="34"/>
  <c r="Z1673" i="34"/>
  <c r="N1674" i="34"/>
  <c r="S1674" i="34"/>
  <c r="T1674" i="34"/>
  <c r="U1674" i="34"/>
  <c r="Y1674" i="34"/>
  <c r="Z1674" i="34"/>
  <c r="N1675" i="34"/>
  <c r="S1675" i="34"/>
  <c r="T1675" i="34"/>
  <c r="U1675" i="34"/>
  <c r="Y1675" i="34"/>
  <c r="Z1675" i="34"/>
  <c r="N1676" i="34"/>
  <c r="S1676" i="34"/>
  <c r="T1676" i="34"/>
  <c r="U1676" i="34"/>
  <c r="Y1676" i="34"/>
  <c r="Z1676" i="34"/>
  <c r="N1677" i="34"/>
  <c r="S1677" i="34"/>
  <c r="T1677" i="34"/>
  <c r="U1677" i="34"/>
  <c r="Y1677" i="34"/>
  <c r="Z1677" i="34"/>
  <c r="N1678" i="34"/>
  <c r="S1678" i="34"/>
  <c r="T1678" i="34"/>
  <c r="U1678" i="34"/>
  <c r="Y1678" i="34"/>
  <c r="Z1678" i="34"/>
  <c r="N1679" i="34"/>
  <c r="S1679" i="34"/>
  <c r="T1679" i="34"/>
  <c r="U1679" i="34"/>
  <c r="Y1679" i="34"/>
  <c r="Z1679" i="34"/>
  <c r="N1680" i="34"/>
  <c r="S1680" i="34"/>
  <c r="T1680" i="34"/>
  <c r="U1680" i="34"/>
  <c r="Y1680" i="34"/>
  <c r="Z1680" i="34"/>
  <c r="N1681" i="34"/>
  <c r="S1681" i="34"/>
  <c r="T1681" i="34"/>
  <c r="U1681" i="34"/>
  <c r="Y1681" i="34"/>
  <c r="Z1681" i="34"/>
  <c r="N1682" i="34"/>
  <c r="S1682" i="34"/>
  <c r="T1682" i="34"/>
  <c r="U1682" i="34"/>
  <c r="Y1682" i="34"/>
  <c r="Z1682" i="34"/>
  <c r="N1683" i="34"/>
  <c r="S1683" i="34"/>
  <c r="T1683" i="34"/>
  <c r="U1683" i="34"/>
  <c r="Y1683" i="34"/>
  <c r="Z1683" i="34"/>
  <c r="N1684" i="34"/>
  <c r="S1684" i="34"/>
  <c r="T1684" i="34"/>
  <c r="U1684" i="34"/>
  <c r="Y1684" i="34"/>
  <c r="Z1684" i="34"/>
  <c r="N1685" i="34"/>
  <c r="S1685" i="34"/>
  <c r="T1685" i="34"/>
  <c r="U1685" i="34"/>
  <c r="Y1685" i="34"/>
  <c r="Z1685" i="34"/>
  <c r="N1686" i="34"/>
  <c r="S1686" i="34"/>
  <c r="T1686" i="34"/>
  <c r="U1686" i="34"/>
  <c r="Y1686" i="34"/>
  <c r="Z1686" i="34"/>
  <c r="N1687" i="34"/>
  <c r="S1687" i="34"/>
  <c r="T1687" i="34"/>
  <c r="U1687" i="34"/>
  <c r="Y1687" i="34"/>
  <c r="Z1687" i="34"/>
  <c r="N1688" i="34"/>
  <c r="S1688" i="34"/>
  <c r="T1688" i="34"/>
  <c r="U1688" i="34"/>
  <c r="Y1688" i="34"/>
  <c r="Z1688" i="34"/>
  <c r="N1689" i="34"/>
  <c r="S1689" i="34"/>
  <c r="T1689" i="34"/>
  <c r="U1689" i="34"/>
  <c r="Y1689" i="34"/>
  <c r="Z1689" i="34"/>
  <c r="N1690" i="34"/>
  <c r="S1690" i="34"/>
  <c r="T1690" i="34"/>
  <c r="U1690" i="34"/>
  <c r="Y1690" i="34"/>
  <c r="Z1690" i="34"/>
  <c r="N1691" i="34"/>
  <c r="Y1691" i="34"/>
  <c r="Z1691" i="34"/>
  <c r="N1692" i="34"/>
  <c r="S1692" i="34"/>
  <c r="T1692" i="34"/>
  <c r="U1692" i="34"/>
  <c r="Y1692" i="34"/>
  <c r="Z1692" i="34"/>
  <c r="N1693" i="34"/>
  <c r="S1693" i="34"/>
  <c r="T1693" i="34"/>
  <c r="U1693" i="34"/>
  <c r="Y1693" i="34"/>
  <c r="Z1693" i="34"/>
  <c r="N1694" i="34"/>
  <c r="S1694" i="34"/>
  <c r="T1694" i="34"/>
  <c r="U1694" i="34"/>
  <c r="Y1694" i="34"/>
  <c r="Z1694" i="34"/>
  <c r="N1695" i="34"/>
  <c r="S1695" i="34"/>
  <c r="T1695" i="34"/>
  <c r="U1695" i="34"/>
  <c r="Y1695" i="34"/>
  <c r="Z1695" i="34"/>
  <c r="N1696" i="34"/>
  <c r="Y1696" i="34"/>
  <c r="Z1696" i="34"/>
  <c r="N1697" i="34"/>
  <c r="Y1697" i="34"/>
  <c r="Z1697" i="34"/>
  <c r="N1698" i="34"/>
  <c r="Y1698" i="34"/>
  <c r="Z1698" i="34"/>
  <c r="N1699" i="34"/>
  <c r="S1699" i="34"/>
  <c r="T1699" i="34"/>
  <c r="U1699" i="34"/>
  <c r="Y1699" i="34"/>
  <c r="Z1699" i="34"/>
  <c r="N1700" i="34"/>
  <c r="S1700" i="34"/>
  <c r="T1700" i="34"/>
  <c r="U1700" i="34"/>
  <c r="Y1700" i="34"/>
  <c r="Z1700" i="34"/>
  <c r="N1701" i="34"/>
  <c r="S1701" i="34"/>
  <c r="T1701" i="34"/>
  <c r="U1701" i="34"/>
  <c r="Y1701" i="34"/>
  <c r="Z1701" i="34"/>
  <c r="N1702" i="34"/>
  <c r="S1702" i="34"/>
  <c r="T1702" i="34"/>
  <c r="U1702" i="34"/>
  <c r="Y1702" i="34"/>
  <c r="Z1702" i="34"/>
  <c r="N1703" i="34"/>
  <c r="S1703" i="34"/>
  <c r="T1703" i="34"/>
  <c r="U1703" i="34"/>
  <c r="Y1703" i="34"/>
  <c r="Z1703" i="34"/>
  <c r="N1704" i="34"/>
  <c r="S1704" i="34"/>
  <c r="T1704" i="34"/>
  <c r="U1704" i="34"/>
  <c r="Y1704" i="34"/>
  <c r="Z1704" i="34"/>
  <c r="N1705" i="34"/>
  <c r="S1705" i="34"/>
  <c r="T1705" i="34"/>
  <c r="U1705" i="34"/>
  <c r="Y1705" i="34"/>
  <c r="Z1705" i="34"/>
  <c r="N1706" i="34"/>
  <c r="S1706" i="34"/>
  <c r="T1706" i="34"/>
  <c r="U1706" i="34"/>
  <c r="Y1706" i="34"/>
  <c r="Z1706" i="34"/>
  <c r="N1707" i="34"/>
  <c r="S1707" i="34"/>
  <c r="T1707" i="34"/>
  <c r="U1707" i="34"/>
  <c r="Y1707" i="34"/>
  <c r="Z1707" i="34"/>
  <c r="N1708" i="34"/>
  <c r="S1708" i="34"/>
  <c r="T1708" i="34"/>
  <c r="U1708" i="34"/>
  <c r="Y1708" i="34"/>
  <c r="Z1708" i="34"/>
  <c r="N1709" i="34"/>
  <c r="S1709" i="34"/>
  <c r="T1709" i="34"/>
  <c r="U1709" i="34"/>
  <c r="Y1709" i="34"/>
  <c r="Z1709" i="34"/>
  <c r="N1710" i="34"/>
  <c r="S1710" i="34"/>
  <c r="T1710" i="34"/>
  <c r="U1710" i="34"/>
  <c r="Y1710" i="34"/>
  <c r="Z1710" i="34"/>
  <c r="N1711" i="34"/>
  <c r="S1711" i="34"/>
  <c r="T1711" i="34"/>
  <c r="U1711" i="34"/>
  <c r="Y1711" i="34"/>
  <c r="Z1711" i="34"/>
  <c r="N1712" i="34"/>
  <c r="Y1712" i="34"/>
  <c r="Z1712" i="34"/>
  <c r="N1713" i="34"/>
  <c r="S1713" i="34"/>
  <c r="T1713" i="34"/>
  <c r="U1713" i="34"/>
  <c r="Y1713" i="34"/>
  <c r="Z1713" i="34"/>
  <c r="N1714" i="34"/>
  <c r="S1714" i="34"/>
  <c r="T1714" i="34"/>
  <c r="U1714" i="34"/>
  <c r="Y1714" i="34"/>
  <c r="Z1714" i="34"/>
  <c r="N1715" i="34"/>
  <c r="S1715" i="34"/>
  <c r="T1715" i="34"/>
  <c r="U1715" i="34"/>
  <c r="Y1715" i="34"/>
  <c r="Z1715" i="34"/>
  <c r="N1716" i="34"/>
  <c r="S1716" i="34"/>
  <c r="T1716" i="34"/>
  <c r="U1716" i="34"/>
  <c r="Y1716" i="34"/>
  <c r="Z1716" i="34"/>
  <c r="N1717" i="34"/>
  <c r="S1717" i="34"/>
  <c r="T1717" i="34"/>
  <c r="U1717" i="34"/>
  <c r="Y1717" i="34"/>
  <c r="Z1717" i="34"/>
  <c r="N1718" i="34"/>
  <c r="S1718" i="34"/>
  <c r="T1718" i="34"/>
  <c r="U1718" i="34"/>
  <c r="Y1718" i="34"/>
  <c r="Z1718" i="34"/>
  <c r="N1719" i="34"/>
  <c r="S1719" i="34"/>
  <c r="T1719" i="34"/>
  <c r="U1719" i="34"/>
  <c r="Y1719" i="34"/>
  <c r="Z1719" i="34"/>
  <c r="N1720" i="34"/>
  <c r="S1720" i="34"/>
  <c r="T1720" i="34"/>
  <c r="U1720" i="34"/>
  <c r="Y1720" i="34"/>
  <c r="Z1720" i="34"/>
  <c r="N1721" i="34"/>
  <c r="S1721" i="34"/>
  <c r="T1721" i="34"/>
  <c r="U1721" i="34"/>
  <c r="Y1721" i="34"/>
  <c r="Z1721" i="34"/>
  <c r="N1722" i="34"/>
  <c r="S1722" i="34"/>
  <c r="T1722" i="34"/>
  <c r="U1722" i="34"/>
  <c r="Y1722" i="34"/>
  <c r="Z1722" i="34"/>
  <c r="N1723" i="34"/>
  <c r="S1723" i="34"/>
  <c r="T1723" i="34"/>
  <c r="U1723" i="34"/>
  <c r="Y1723" i="34"/>
  <c r="Z1723" i="34"/>
  <c r="N1724" i="34"/>
  <c r="S1724" i="34"/>
  <c r="T1724" i="34"/>
  <c r="U1724" i="34"/>
  <c r="Y1724" i="34"/>
  <c r="Z1724" i="34"/>
  <c r="N1725" i="34"/>
  <c r="S1725" i="34"/>
  <c r="T1725" i="34"/>
  <c r="U1725" i="34"/>
  <c r="Y1725" i="34"/>
  <c r="Z1725" i="34"/>
  <c r="N1726" i="34"/>
  <c r="S1726" i="34"/>
  <c r="T1726" i="34"/>
  <c r="U1726" i="34"/>
  <c r="Y1726" i="34"/>
  <c r="Z1726" i="34"/>
  <c r="N1727" i="34"/>
  <c r="S1727" i="34"/>
  <c r="T1727" i="34"/>
  <c r="U1727" i="34"/>
  <c r="Y1727" i="34"/>
  <c r="Z1727" i="34"/>
  <c r="N1728" i="34"/>
  <c r="S1728" i="34"/>
  <c r="T1728" i="34"/>
  <c r="U1728" i="34"/>
  <c r="Y1728" i="34"/>
  <c r="Z1728" i="34"/>
  <c r="N1729" i="34"/>
  <c r="S1729" i="34"/>
  <c r="T1729" i="34"/>
  <c r="U1729" i="34"/>
  <c r="Y1729" i="34"/>
  <c r="Z1729" i="34"/>
  <c r="N1730" i="34"/>
  <c r="S1730" i="34"/>
  <c r="T1730" i="34"/>
  <c r="U1730" i="34"/>
  <c r="Y1730" i="34"/>
  <c r="Z1730" i="34"/>
  <c r="N1731" i="34"/>
  <c r="S1731" i="34"/>
  <c r="T1731" i="34"/>
  <c r="U1731" i="34"/>
  <c r="Y1731" i="34"/>
  <c r="Z1731" i="34"/>
  <c r="N1732" i="34"/>
  <c r="S1732" i="34"/>
  <c r="T1732" i="34"/>
  <c r="U1732" i="34"/>
  <c r="Y1732" i="34"/>
  <c r="Z1732" i="34"/>
  <c r="N1733" i="34"/>
  <c r="S1733" i="34"/>
  <c r="T1733" i="34"/>
  <c r="U1733" i="34"/>
  <c r="Y1733" i="34"/>
  <c r="Z1733" i="34"/>
  <c r="N1734" i="34"/>
  <c r="S1734" i="34"/>
  <c r="T1734" i="34"/>
  <c r="U1734" i="34"/>
  <c r="Y1734" i="34"/>
  <c r="Z1734" i="34"/>
  <c r="N1735" i="34"/>
  <c r="S1735" i="34"/>
  <c r="T1735" i="34"/>
  <c r="U1735" i="34"/>
  <c r="Y1735" i="34"/>
  <c r="Z1735" i="34"/>
  <c r="N1736" i="34"/>
  <c r="Y1736" i="34"/>
  <c r="Z1736" i="34"/>
  <c r="N1737" i="34"/>
  <c r="S1737" i="34"/>
  <c r="T1737" i="34"/>
  <c r="U1737" i="34"/>
  <c r="Y1737" i="34"/>
  <c r="Z1737" i="34"/>
  <c r="N1738" i="34"/>
  <c r="S1738" i="34"/>
  <c r="T1738" i="34"/>
  <c r="U1738" i="34"/>
  <c r="Y1738" i="34"/>
  <c r="Z1738" i="34"/>
  <c r="N1739" i="34"/>
  <c r="S1739" i="34"/>
  <c r="T1739" i="34"/>
  <c r="U1739" i="34"/>
  <c r="Y1739" i="34"/>
  <c r="Z1739" i="34"/>
  <c r="N1740" i="34"/>
  <c r="S1740" i="34"/>
  <c r="T1740" i="34"/>
  <c r="U1740" i="34"/>
  <c r="Y1740" i="34"/>
  <c r="Z1740" i="34"/>
  <c r="N1741" i="34"/>
  <c r="S1741" i="34"/>
  <c r="T1741" i="34"/>
  <c r="U1741" i="34"/>
  <c r="Y1741" i="34"/>
  <c r="Z1741" i="34"/>
  <c r="N1742" i="34"/>
  <c r="S1742" i="34"/>
  <c r="T1742" i="34"/>
  <c r="U1742" i="34"/>
  <c r="Y1742" i="34"/>
  <c r="Z1742" i="34"/>
  <c r="N1743" i="34"/>
  <c r="S1743" i="34"/>
  <c r="T1743" i="34"/>
  <c r="U1743" i="34"/>
  <c r="Y1743" i="34"/>
  <c r="Z1743" i="34"/>
  <c r="N1744" i="34"/>
  <c r="S1744" i="34"/>
  <c r="T1744" i="34"/>
  <c r="U1744" i="34"/>
  <c r="Y1744" i="34"/>
  <c r="Z1744" i="34"/>
  <c r="N1745" i="34"/>
  <c r="S1745" i="34"/>
  <c r="T1745" i="34"/>
  <c r="U1745" i="34"/>
  <c r="Y1745" i="34"/>
  <c r="Z1745" i="34"/>
  <c r="N1746" i="34"/>
  <c r="S1746" i="34"/>
  <c r="T1746" i="34"/>
  <c r="U1746" i="34"/>
  <c r="Y1746" i="34"/>
  <c r="Z1746" i="34"/>
  <c r="N1747" i="34"/>
  <c r="S1747" i="34"/>
  <c r="T1747" i="34"/>
  <c r="U1747" i="34"/>
  <c r="Y1747" i="34"/>
  <c r="Z1747" i="34"/>
  <c r="N1748" i="34"/>
  <c r="S1748" i="34"/>
  <c r="T1748" i="34"/>
  <c r="U1748" i="34"/>
  <c r="Y1748" i="34"/>
  <c r="Z1748" i="34"/>
  <c r="N1749" i="34"/>
  <c r="S1749" i="34"/>
  <c r="T1749" i="34"/>
  <c r="U1749" i="34"/>
  <c r="Y1749" i="34"/>
  <c r="Z1749" i="34"/>
  <c r="N1750" i="34"/>
  <c r="S1750" i="34"/>
  <c r="T1750" i="34"/>
  <c r="U1750" i="34"/>
  <c r="Y1750" i="34"/>
  <c r="Z1750" i="34"/>
  <c r="N1751" i="34"/>
  <c r="S1751" i="34"/>
  <c r="T1751" i="34"/>
  <c r="U1751" i="34"/>
  <c r="Y1751" i="34"/>
  <c r="Z1751" i="34"/>
  <c r="N1752" i="34"/>
  <c r="S1752" i="34"/>
  <c r="T1752" i="34"/>
  <c r="U1752" i="34"/>
  <c r="Y1752" i="34"/>
  <c r="Z1752" i="34"/>
  <c r="N1753" i="34"/>
  <c r="S1753" i="34"/>
  <c r="T1753" i="34"/>
  <c r="U1753" i="34"/>
  <c r="Y1753" i="34"/>
  <c r="Z1753" i="34"/>
  <c r="N1754" i="34"/>
  <c r="S1754" i="34"/>
  <c r="T1754" i="34"/>
  <c r="U1754" i="34"/>
  <c r="Y1754" i="34"/>
  <c r="Z1754" i="34"/>
  <c r="N1755" i="34"/>
  <c r="S1755" i="34"/>
  <c r="T1755" i="34"/>
  <c r="U1755" i="34"/>
  <c r="Y1755" i="34"/>
  <c r="Z1755" i="34"/>
  <c r="N1756" i="34"/>
  <c r="S1756" i="34"/>
  <c r="T1756" i="34"/>
  <c r="U1756" i="34"/>
  <c r="Y1756" i="34"/>
  <c r="Z1756" i="34"/>
  <c r="N1757" i="34"/>
  <c r="S1757" i="34"/>
  <c r="T1757" i="34"/>
  <c r="U1757" i="34"/>
  <c r="Y1757" i="34"/>
  <c r="Z1757" i="34"/>
  <c r="N1758" i="34"/>
  <c r="S1758" i="34"/>
  <c r="T1758" i="34"/>
  <c r="U1758" i="34"/>
  <c r="Y1758" i="34"/>
  <c r="Z1758" i="34"/>
  <c r="N1759" i="34"/>
  <c r="S1759" i="34"/>
  <c r="T1759" i="34"/>
  <c r="U1759" i="34"/>
  <c r="Y1759" i="34"/>
  <c r="Z1759" i="34"/>
  <c r="N1760" i="34"/>
  <c r="S1760" i="34"/>
  <c r="T1760" i="34"/>
  <c r="U1760" i="34"/>
  <c r="Y1760" i="34"/>
  <c r="Z1760" i="34"/>
  <c r="N1761" i="34"/>
  <c r="S1761" i="34"/>
  <c r="T1761" i="34"/>
  <c r="U1761" i="34"/>
  <c r="Y1761" i="34"/>
  <c r="Z1761" i="34"/>
  <c r="N1762" i="34"/>
  <c r="S1762" i="34"/>
  <c r="T1762" i="34"/>
  <c r="U1762" i="34"/>
  <c r="Y1762" i="34"/>
  <c r="Z1762" i="34"/>
  <c r="N1763" i="34"/>
  <c r="S1763" i="34"/>
  <c r="T1763" i="34"/>
  <c r="U1763" i="34"/>
  <c r="Y1763" i="34"/>
  <c r="Z1763" i="34"/>
  <c r="N1764" i="34"/>
  <c r="S1764" i="34"/>
  <c r="T1764" i="34"/>
  <c r="U1764" i="34"/>
  <c r="Y1764" i="34"/>
  <c r="Z1764" i="34"/>
  <c r="N1765" i="34"/>
  <c r="S1765" i="34"/>
  <c r="T1765" i="34"/>
  <c r="U1765" i="34"/>
  <c r="Y1765" i="34"/>
  <c r="Z1765" i="34"/>
  <c r="N1766" i="34"/>
  <c r="S1766" i="34"/>
  <c r="T1766" i="34"/>
  <c r="U1766" i="34"/>
  <c r="Y1766" i="34"/>
  <c r="Z1766" i="34"/>
  <c r="N1767" i="34"/>
  <c r="S1767" i="34"/>
  <c r="T1767" i="34"/>
  <c r="U1767" i="34"/>
  <c r="Y1767" i="34"/>
  <c r="Z1767" i="34"/>
  <c r="N1768" i="34"/>
  <c r="S1768" i="34"/>
  <c r="T1768" i="34"/>
  <c r="U1768" i="34"/>
  <c r="Y1768" i="34"/>
  <c r="Z1768" i="34"/>
  <c r="N1769" i="34"/>
  <c r="S1769" i="34"/>
  <c r="T1769" i="34"/>
  <c r="U1769" i="34"/>
  <c r="Y1769" i="34"/>
  <c r="Z1769" i="34"/>
  <c r="N1770" i="34"/>
  <c r="S1770" i="34"/>
  <c r="T1770" i="34"/>
  <c r="U1770" i="34"/>
  <c r="Y1770" i="34"/>
  <c r="Z1770" i="34"/>
  <c r="N1771" i="34"/>
  <c r="S1771" i="34"/>
  <c r="T1771" i="34"/>
  <c r="U1771" i="34"/>
  <c r="Y1771" i="34"/>
  <c r="Z1771" i="34"/>
  <c r="N1772" i="34"/>
  <c r="S1772" i="34"/>
  <c r="T1772" i="34"/>
  <c r="U1772" i="34"/>
  <c r="Y1772" i="34"/>
  <c r="Z1772" i="34"/>
  <c r="N1773" i="34"/>
  <c r="S1773" i="34"/>
  <c r="T1773" i="34"/>
  <c r="U1773" i="34"/>
  <c r="Y1773" i="34"/>
  <c r="Z1773" i="34"/>
  <c r="N1774" i="34"/>
  <c r="S1774" i="34"/>
  <c r="T1774" i="34"/>
  <c r="U1774" i="34"/>
  <c r="Y1774" i="34"/>
  <c r="Z1774" i="34"/>
  <c r="N1775" i="34"/>
  <c r="S1775" i="34"/>
  <c r="T1775" i="34"/>
  <c r="U1775" i="34"/>
  <c r="Y1775" i="34"/>
  <c r="Z1775" i="34"/>
  <c r="N1776" i="34"/>
  <c r="S1776" i="34"/>
  <c r="T1776" i="34"/>
  <c r="U1776" i="34"/>
  <c r="Y1776" i="34"/>
  <c r="Z1776" i="34"/>
  <c r="N1777" i="34"/>
  <c r="S1777" i="34"/>
  <c r="T1777" i="34"/>
  <c r="U1777" i="34"/>
  <c r="Y1777" i="34"/>
  <c r="Z1777" i="34"/>
  <c r="N1778" i="34"/>
  <c r="S1778" i="34"/>
  <c r="T1778" i="34"/>
  <c r="U1778" i="34"/>
  <c r="Y1778" i="34"/>
  <c r="Z1778" i="34"/>
  <c r="N1779" i="34"/>
  <c r="S1779" i="34"/>
  <c r="T1779" i="34"/>
  <c r="U1779" i="34"/>
  <c r="Y1779" i="34"/>
  <c r="Z1779" i="34"/>
  <c r="N1780" i="34"/>
  <c r="S1780" i="34"/>
  <c r="T1780" i="34"/>
  <c r="U1780" i="34"/>
  <c r="Y1780" i="34"/>
  <c r="Z1780" i="34"/>
  <c r="N1781" i="34"/>
  <c r="S1781" i="34"/>
  <c r="T1781" i="34"/>
  <c r="U1781" i="34"/>
  <c r="Y1781" i="34"/>
  <c r="Z1781" i="34"/>
  <c r="N1782" i="34"/>
  <c r="S1782" i="34"/>
  <c r="T1782" i="34"/>
  <c r="U1782" i="34"/>
  <c r="Y1782" i="34"/>
  <c r="Z1782" i="34"/>
  <c r="N1783" i="34"/>
  <c r="S1783" i="34"/>
  <c r="T1783" i="34"/>
  <c r="U1783" i="34"/>
  <c r="Y1783" i="34"/>
  <c r="Z1783" i="34"/>
  <c r="N1784" i="34"/>
  <c r="S1784" i="34"/>
  <c r="T1784" i="34"/>
  <c r="U1784" i="34"/>
  <c r="Y1784" i="34"/>
  <c r="Z1784" i="34"/>
  <c r="N1785" i="34"/>
  <c r="S1785" i="34"/>
  <c r="T1785" i="34"/>
  <c r="U1785" i="34"/>
  <c r="Y1785" i="34"/>
  <c r="Z1785" i="34"/>
  <c r="N1786" i="34"/>
  <c r="S1786" i="34"/>
  <c r="T1786" i="34"/>
  <c r="U1786" i="34"/>
  <c r="Y1786" i="34"/>
  <c r="Z1786" i="34"/>
  <c r="N1787" i="34"/>
  <c r="S1787" i="34"/>
  <c r="T1787" i="34"/>
  <c r="U1787" i="34"/>
  <c r="Y1787" i="34"/>
  <c r="Z1787" i="34"/>
  <c r="N1788" i="34"/>
  <c r="S1788" i="34"/>
  <c r="T1788" i="34"/>
  <c r="U1788" i="34"/>
  <c r="Y1788" i="34"/>
  <c r="Z1788" i="34"/>
  <c r="N1789" i="34"/>
  <c r="S1789" i="34"/>
  <c r="T1789" i="34"/>
  <c r="U1789" i="34"/>
  <c r="Y1789" i="34"/>
  <c r="Z1789" i="34"/>
  <c r="N1790" i="34"/>
  <c r="S1790" i="34"/>
  <c r="T1790" i="34"/>
  <c r="U1790" i="34"/>
  <c r="Y1790" i="34"/>
  <c r="Z1790" i="34"/>
  <c r="N1791" i="34"/>
  <c r="S1791" i="34"/>
  <c r="T1791" i="34"/>
  <c r="U1791" i="34"/>
  <c r="Y1791" i="34"/>
  <c r="Z1791" i="34"/>
  <c r="N1792" i="34"/>
  <c r="S1792" i="34"/>
  <c r="T1792" i="34"/>
  <c r="U1792" i="34"/>
  <c r="Y1792" i="34"/>
  <c r="Z1792" i="34"/>
  <c r="N1793" i="34"/>
  <c r="S1793" i="34"/>
  <c r="T1793" i="34"/>
  <c r="U1793" i="34"/>
  <c r="Y1793" i="34"/>
  <c r="Z1793" i="34"/>
  <c r="N1794" i="34"/>
  <c r="S1794" i="34"/>
  <c r="T1794" i="34"/>
  <c r="U1794" i="34"/>
  <c r="Y1794" i="34"/>
  <c r="Z1794" i="34"/>
  <c r="N1795" i="34"/>
  <c r="S1795" i="34"/>
  <c r="T1795" i="34"/>
  <c r="U1795" i="34"/>
  <c r="Y1795" i="34"/>
  <c r="Z1795" i="34"/>
  <c r="N1796" i="34"/>
  <c r="S1796" i="34"/>
  <c r="T1796" i="34"/>
  <c r="U1796" i="34"/>
  <c r="Y1796" i="34"/>
  <c r="Z1796" i="34"/>
  <c r="N1797" i="34"/>
  <c r="S1797" i="34"/>
  <c r="T1797" i="34"/>
  <c r="U1797" i="34"/>
  <c r="Y1797" i="34"/>
  <c r="Z1797" i="34"/>
  <c r="N1798" i="34"/>
  <c r="S1798" i="34"/>
  <c r="T1798" i="34"/>
  <c r="U1798" i="34"/>
  <c r="Y1798" i="34"/>
  <c r="Z1798" i="34"/>
  <c r="N1799" i="34"/>
  <c r="S1799" i="34"/>
  <c r="T1799" i="34"/>
  <c r="U1799" i="34"/>
  <c r="Y1799" i="34"/>
  <c r="Z1799" i="34"/>
  <c r="N1800" i="34"/>
  <c r="S1800" i="34"/>
  <c r="T1800" i="34"/>
  <c r="U1800" i="34"/>
  <c r="Y1800" i="34"/>
  <c r="Z1800" i="34"/>
  <c r="N1801" i="34"/>
  <c r="S1801" i="34"/>
  <c r="T1801" i="34"/>
  <c r="U1801" i="34"/>
  <c r="Y1801" i="34"/>
  <c r="Z1801" i="34"/>
  <c r="N1802" i="34"/>
  <c r="S1802" i="34"/>
  <c r="T1802" i="34"/>
  <c r="U1802" i="34"/>
  <c r="Y1802" i="34"/>
  <c r="Z1802" i="34"/>
  <c r="N1803" i="34"/>
  <c r="S1803" i="34"/>
  <c r="T1803" i="34"/>
  <c r="U1803" i="34"/>
  <c r="Y1803" i="34"/>
  <c r="Z1803" i="34"/>
  <c r="N1804" i="34"/>
  <c r="Y1804" i="34"/>
  <c r="Z1804" i="34"/>
  <c r="N1805" i="34"/>
  <c r="Y1805" i="34"/>
  <c r="Z1805" i="34"/>
  <c r="N1806" i="34"/>
  <c r="Y1806" i="34"/>
  <c r="Z1806" i="34"/>
  <c r="N1807" i="34"/>
  <c r="Y1807" i="34"/>
  <c r="Z1807" i="34"/>
  <c r="N1808" i="34"/>
  <c r="Y1808" i="34"/>
  <c r="Z1808" i="34"/>
  <c r="N1809" i="34"/>
  <c r="Y1809" i="34"/>
  <c r="Z1809" i="34"/>
  <c r="N1810" i="34"/>
  <c r="S1810" i="34"/>
  <c r="T1810" i="34"/>
  <c r="U1810" i="34"/>
  <c r="Y1810" i="34"/>
  <c r="Z1810" i="34"/>
  <c r="N1811" i="34"/>
  <c r="S1811" i="34"/>
  <c r="T1811" i="34"/>
  <c r="U1811" i="34"/>
  <c r="Y1811" i="34"/>
  <c r="Z1811" i="34"/>
  <c r="N1812" i="34"/>
  <c r="S1812" i="34"/>
  <c r="T1812" i="34"/>
  <c r="U1812" i="34"/>
  <c r="Y1812" i="34"/>
  <c r="Z1812" i="34"/>
  <c r="N1813" i="34"/>
  <c r="S1813" i="34"/>
  <c r="T1813" i="34"/>
  <c r="U1813" i="34"/>
  <c r="Y1813" i="34"/>
  <c r="Z1813" i="34"/>
  <c r="N1814" i="34"/>
  <c r="S1814" i="34"/>
  <c r="T1814" i="34"/>
  <c r="U1814" i="34"/>
  <c r="Y1814" i="34"/>
  <c r="Z1814" i="34"/>
  <c r="N1815" i="34"/>
  <c r="S1815" i="34"/>
  <c r="T1815" i="34"/>
  <c r="U1815" i="34"/>
  <c r="Y1815" i="34"/>
  <c r="Z1815" i="34"/>
  <c r="N1816" i="34"/>
  <c r="S1816" i="34"/>
  <c r="T1816" i="34"/>
  <c r="U1816" i="34"/>
  <c r="Y1816" i="34"/>
  <c r="Z1816" i="34"/>
  <c r="N1817" i="34"/>
  <c r="S1817" i="34"/>
  <c r="T1817" i="34"/>
  <c r="U1817" i="34"/>
  <c r="Y1817" i="34"/>
  <c r="Z1817" i="34"/>
  <c r="N1818" i="34"/>
  <c r="S1818" i="34"/>
  <c r="T1818" i="34"/>
  <c r="U1818" i="34"/>
  <c r="Y1818" i="34"/>
  <c r="Z1818" i="34"/>
  <c r="N1819" i="34"/>
  <c r="S1819" i="34"/>
  <c r="T1819" i="34"/>
  <c r="U1819" i="34"/>
  <c r="Y1819" i="34"/>
  <c r="Z1819" i="34"/>
  <c r="N1820" i="34"/>
  <c r="S1820" i="34"/>
  <c r="T1820" i="34"/>
  <c r="U1820" i="34"/>
  <c r="Y1820" i="34"/>
  <c r="Z1820" i="34"/>
  <c r="N1821" i="34"/>
  <c r="S1821" i="34"/>
  <c r="T1821" i="34"/>
  <c r="U1821" i="34"/>
  <c r="Y1821" i="34"/>
  <c r="Z1821" i="34"/>
  <c r="N1822" i="34"/>
  <c r="S1822" i="34"/>
  <c r="T1822" i="34"/>
  <c r="U1822" i="34"/>
  <c r="Y1822" i="34"/>
  <c r="Z1822" i="34"/>
  <c r="N1823" i="34"/>
  <c r="S1823" i="34"/>
  <c r="T1823" i="34"/>
  <c r="U1823" i="34"/>
  <c r="Y1823" i="34"/>
  <c r="Z1823" i="34"/>
  <c r="N1824" i="34"/>
  <c r="S1824" i="34"/>
  <c r="T1824" i="34"/>
  <c r="U1824" i="34"/>
  <c r="Y1824" i="34"/>
  <c r="Z1824" i="34"/>
  <c r="N1825" i="34"/>
  <c r="S1825" i="34"/>
  <c r="T1825" i="34"/>
  <c r="U1825" i="34"/>
  <c r="Y1825" i="34"/>
  <c r="Z1825" i="34"/>
  <c r="N1826" i="34"/>
  <c r="S1826" i="34"/>
  <c r="T1826" i="34"/>
  <c r="U1826" i="34"/>
  <c r="Y1826" i="34"/>
  <c r="Z1826" i="34"/>
  <c r="N1827" i="34"/>
  <c r="S1827" i="34"/>
  <c r="T1827" i="34"/>
  <c r="U1827" i="34"/>
  <c r="Y1827" i="34"/>
  <c r="Z1827" i="34"/>
  <c r="N1828" i="34"/>
  <c r="S1828" i="34"/>
  <c r="T1828" i="34"/>
  <c r="U1828" i="34"/>
  <c r="Y1828" i="34"/>
  <c r="Z1828" i="34"/>
  <c r="N1829" i="34"/>
  <c r="S1829" i="34"/>
  <c r="T1829" i="34"/>
  <c r="U1829" i="34"/>
  <c r="Y1829" i="34"/>
  <c r="Z1829" i="34"/>
  <c r="N1830" i="34"/>
  <c r="S1830" i="34"/>
  <c r="T1830" i="34"/>
  <c r="U1830" i="34"/>
  <c r="Y1830" i="34"/>
  <c r="Z1830" i="34"/>
  <c r="N1831" i="34"/>
  <c r="S1831" i="34"/>
  <c r="T1831" i="34"/>
  <c r="U1831" i="34"/>
  <c r="Y1831" i="34"/>
  <c r="Z1831" i="34"/>
  <c r="N1832" i="34"/>
  <c r="S1832" i="34"/>
  <c r="T1832" i="34"/>
  <c r="U1832" i="34"/>
  <c r="Y1832" i="34"/>
  <c r="Z1832" i="34"/>
  <c r="N1833" i="34"/>
  <c r="S1833" i="34"/>
  <c r="T1833" i="34"/>
  <c r="U1833" i="34"/>
  <c r="Y1833" i="34"/>
  <c r="Z1833" i="34"/>
  <c r="N1834" i="34"/>
  <c r="S1834" i="34"/>
  <c r="T1834" i="34"/>
  <c r="U1834" i="34"/>
  <c r="Y1834" i="34"/>
  <c r="Z1834" i="34"/>
  <c r="N1835" i="34"/>
  <c r="S1835" i="34"/>
  <c r="T1835" i="34"/>
  <c r="U1835" i="34"/>
  <c r="Y1835" i="34"/>
  <c r="Z1835" i="34"/>
  <c r="N1836" i="34"/>
  <c r="S1836" i="34"/>
  <c r="T1836" i="34"/>
  <c r="U1836" i="34"/>
  <c r="Y1836" i="34"/>
  <c r="Z1836" i="34"/>
  <c r="N1837" i="34"/>
  <c r="S1837" i="34"/>
  <c r="T1837" i="34"/>
  <c r="U1837" i="34"/>
  <c r="Y1837" i="34"/>
  <c r="Z1837" i="34"/>
  <c r="N1838" i="34"/>
  <c r="S1838" i="34"/>
  <c r="T1838" i="34"/>
  <c r="U1838" i="34"/>
  <c r="Y1838" i="34"/>
  <c r="Z1838" i="34"/>
  <c r="N1839" i="34"/>
  <c r="S1839" i="34"/>
  <c r="T1839" i="34"/>
  <c r="U1839" i="34"/>
  <c r="Y1839" i="34"/>
  <c r="Z1839" i="34"/>
  <c r="N1840" i="34"/>
  <c r="S1840" i="34"/>
  <c r="T1840" i="34"/>
  <c r="U1840" i="34"/>
  <c r="Y1840" i="34"/>
  <c r="Z1840" i="34"/>
  <c r="N1841" i="34"/>
  <c r="S1841" i="34"/>
  <c r="T1841" i="34"/>
  <c r="U1841" i="34"/>
  <c r="Y1841" i="34"/>
  <c r="Z1841" i="34"/>
  <c r="N1842" i="34"/>
  <c r="S1842" i="34"/>
  <c r="T1842" i="34"/>
  <c r="U1842" i="34"/>
  <c r="Y1842" i="34"/>
  <c r="Z1842" i="34"/>
  <c r="N1843" i="34"/>
  <c r="S1843" i="34"/>
  <c r="T1843" i="34"/>
  <c r="U1843" i="34"/>
  <c r="Y1843" i="34"/>
  <c r="Z1843" i="34"/>
  <c r="N1844" i="34"/>
  <c r="S1844" i="34"/>
  <c r="T1844" i="34"/>
  <c r="U1844" i="34"/>
  <c r="Y1844" i="34"/>
  <c r="Z1844" i="34"/>
  <c r="N1845" i="34"/>
  <c r="S1845" i="34"/>
  <c r="T1845" i="34"/>
  <c r="U1845" i="34"/>
  <c r="Y1845" i="34"/>
  <c r="Z1845" i="34"/>
  <c r="N1846" i="34"/>
  <c r="S1846" i="34"/>
  <c r="T1846" i="34"/>
  <c r="U1846" i="34"/>
  <c r="Y1846" i="34"/>
  <c r="Z1846" i="34"/>
  <c r="N1847" i="34"/>
  <c r="S1847" i="34"/>
  <c r="T1847" i="34"/>
  <c r="U1847" i="34"/>
  <c r="Y1847" i="34"/>
  <c r="Z1847" i="34"/>
  <c r="N1848" i="34"/>
  <c r="S1848" i="34"/>
  <c r="T1848" i="34"/>
  <c r="U1848" i="34"/>
  <c r="Y1848" i="34"/>
  <c r="Z1848" i="34"/>
  <c r="N1849" i="34"/>
  <c r="S1849" i="34"/>
  <c r="T1849" i="34"/>
  <c r="U1849" i="34"/>
  <c r="Y1849" i="34"/>
  <c r="Z1849" i="34"/>
  <c r="N1850" i="34"/>
  <c r="S1850" i="34"/>
  <c r="T1850" i="34"/>
  <c r="U1850" i="34"/>
  <c r="Y1850" i="34"/>
  <c r="Z1850" i="34"/>
  <c r="N1851" i="34"/>
  <c r="S1851" i="34"/>
  <c r="T1851" i="34"/>
  <c r="U1851" i="34"/>
  <c r="Y1851" i="34"/>
  <c r="Z1851" i="34"/>
  <c r="N1852" i="34"/>
  <c r="S1852" i="34"/>
  <c r="T1852" i="34"/>
  <c r="U1852" i="34"/>
  <c r="Y1852" i="34"/>
  <c r="Z1852" i="34"/>
  <c r="N1853" i="34"/>
  <c r="S1853" i="34"/>
  <c r="T1853" i="34"/>
  <c r="U1853" i="34"/>
  <c r="Y1853" i="34"/>
  <c r="Z1853" i="34"/>
  <c r="N1854" i="34"/>
  <c r="S1854" i="34"/>
  <c r="T1854" i="34"/>
  <c r="U1854" i="34"/>
  <c r="Y1854" i="34"/>
  <c r="Z1854" i="34"/>
  <c r="N1855" i="34"/>
  <c r="S1855" i="34"/>
  <c r="T1855" i="34"/>
  <c r="U1855" i="34"/>
  <c r="Y1855" i="34"/>
  <c r="Z1855" i="34"/>
  <c r="N1856" i="34"/>
  <c r="S1856" i="34"/>
  <c r="T1856" i="34"/>
  <c r="U1856" i="34"/>
  <c r="Y1856" i="34"/>
  <c r="Z1856" i="34"/>
  <c r="N1857" i="34"/>
  <c r="S1857" i="34"/>
  <c r="T1857" i="34"/>
  <c r="U1857" i="34"/>
  <c r="Y1857" i="34"/>
  <c r="Z1857" i="34"/>
  <c r="N1858" i="34"/>
  <c r="S1858" i="34"/>
  <c r="T1858" i="34"/>
  <c r="U1858" i="34"/>
  <c r="Y1858" i="34"/>
  <c r="Z1858" i="34"/>
  <c r="N1859" i="34"/>
  <c r="S1859" i="34"/>
  <c r="T1859" i="34"/>
  <c r="U1859" i="34"/>
  <c r="Y1859" i="34"/>
  <c r="Z1859" i="34"/>
  <c r="N1860" i="34"/>
  <c r="S1860" i="34"/>
  <c r="T1860" i="34"/>
  <c r="U1860" i="34"/>
  <c r="Y1860" i="34"/>
  <c r="Z1860" i="34"/>
  <c r="N1861" i="34"/>
  <c r="S1861" i="34"/>
  <c r="T1861" i="34"/>
  <c r="U1861" i="34"/>
  <c r="Y1861" i="34"/>
  <c r="Z1861" i="34"/>
  <c r="N1862" i="34"/>
  <c r="S1862" i="34"/>
  <c r="T1862" i="34"/>
  <c r="U1862" i="34"/>
  <c r="Y1862" i="34"/>
  <c r="Z1862" i="34"/>
  <c r="N1863" i="34"/>
  <c r="S1863" i="34"/>
  <c r="T1863" i="34"/>
  <c r="U1863" i="34"/>
  <c r="Y1863" i="34"/>
  <c r="Z1863" i="34"/>
  <c r="N1864" i="34"/>
  <c r="S1864" i="34"/>
  <c r="T1864" i="34"/>
  <c r="U1864" i="34"/>
  <c r="Y1864" i="34"/>
  <c r="Z1864" i="34"/>
  <c r="N1865" i="34"/>
  <c r="S1865" i="34"/>
  <c r="T1865" i="34"/>
  <c r="U1865" i="34"/>
  <c r="Y1865" i="34"/>
  <c r="Z1865" i="34"/>
  <c r="N1866" i="34"/>
  <c r="S1866" i="34"/>
  <c r="T1866" i="34"/>
  <c r="U1866" i="34"/>
  <c r="Y1866" i="34"/>
  <c r="Z1866" i="34"/>
  <c r="N1867" i="34"/>
  <c r="S1867" i="34"/>
  <c r="T1867" i="34"/>
  <c r="U1867" i="34"/>
  <c r="Y1867" i="34"/>
  <c r="Z1867" i="34"/>
  <c r="N1868" i="34"/>
  <c r="S1868" i="34"/>
  <c r="T1868" i="34"/>
  <c r="U1868" i="34"/>
  <c r="Y1868" i="34"/>
  <c r="Z1868" i="34"/>
  <c r="N1869" i="34"/>
  <c r="S1869" i="34"/>
  <c r="T1869" i="34"/>
  <c r="U1869" i="34"/>
  <c r="Y1869" i="34"/>
  <c r="Z1869" i="34"/>
  <c r="N1870" i="34"/>
  <c r="S1870" i="34"/>
  <c r="T1870" i="34"/>
  <c r="U1870" i="34"/>
  <c r="Y1870" i="34"/>
  <c r="Z1870" i="34"/>
  <c r="N1871" i="34"/>
  <c r="S1871" i="34"/>
  <c r="T1871" i="34"/>
  <c r="U1871" i="34"/>
  <c r="Y1871" i="34"/>
  <c r="Z1871" i="34"/>
  <c r="N1872" i="34"/>
  <c r="S1872" i="34"/>
  <c r="T1872" i="34"/>
  <c r="U1872" i="34"/>
  <c r="Y1872" i="34"/>
  <c r="Z1872" i="34"/>
  <c r="N1873" i="34"/>
  <c r="S1873" i="34"/>
  <c r="T1873" i="34"/>
  <c r="U1873" i="34"/>
  <c r="Y1873" i="34"/>
  <c r="Z1873" i="34"/>
  <c r="N1874" i="34"/>
  <c r="S1874" i="34"/>
  <c r="T1874" i="34"/>
  <c r="U1874" i="34"/>
  <c r="Y1874" i="34"/>
  <c r="Z1874" i="34"/>
  <c r="N1875" i="34"/>
  <c r="S1875" i="34"/>
  <c r="T1875" i="34"/>
  <c r="U1875" i="34"/>
  <c r="Y1875" i="34"/>
  <c r="Z1875" i="34"/>
  <c r="N1876" i="34"/>
  <c r="S1876" i="34"/>
  <c r="T1876" i="34"/>
  <c r="U1876" i="34"/>
  <c r="Y1876" i="34"/>
  <c r="Z1876" i="34"/>
  <c r="N1877" i="34"/>
  <c r="S1877" i="34"/>
  <c r="T1877" i="34"/>
  <c r="U1877" i="34"/>
  <c r="Y1877" i="34"/>
  <c r="Z1877" i="34"/>
  <c r="N1878" i="34"/>
  <c r="S1878" i="34"/>
  <c r="T1878" i="34"/>
  <c r="U1878" i="34"/>
  <c r="Y1878" i="34"/>
  <c r="Z1878" i="34"/>
  <c r="N1879" i="34"/>
  <c r="S1879" i="34"/>
  <c r="T1879" i="34"/>
  <c r="U1879" i="34"/>
  <c r="Y1879" i="34"/>
  <c r="Z1879" i="34"/>
  <c r="N1880" i="34"/>
  <c r="S1880" i="34"/>
  <c r="T1880" i="34"/>
  <c r="U1880" i="34"/>
  <c r="Y1880" i="34"/>
  <c r="Z1880" i="34"/>
  <c r="N1881" i="34"/>
  <c r="S1881" i="34"/>
  <c r="T1881" i="34"/>
  <c r="U1881" i="34"/>
  <c r="Y1881" i="34"/>
  <c r="Z1881" i="34"/>
  <c r="N1882" i="34"/>
  <c r="S1882" i="34"/>
  <c r="T1882" i="34"/>
  <c r="U1882" i="34"/>
  <c r="Y1882" i="34"/>
  <c r="Z1882" i="34"/>
  <c r="N1883" i="34"/>
  <c r="S1883" i="34"/>
  <c r="T1883" i="34"/>
  <c r="U1883" i="34"/>
  <c r="Y1883" i="34"/>
  <c r="Z1883" i="34"/>
  <c r="N1884" i="34"/>
  <c r="S1884" i="34"/>
  <c r="T1884" i="34"/>
  <c r="U1884" i="34"/>
  <c r="Y1884" i="34"/>
  <c r="Z1884" i="34"/>
  <c r="N1885" i="34"/>
  <c r="S1885" i="34"/>
  <c r="T1885" i="34"/>
  <c r="U1885" i="34"/>
  <c r="Y1885" i="34"/>
  <c r="Z1885" i="34"/>
  <c r="N1886" i="34"/>
  <c r="S1886" i="34"/>
  <c r="T1886" i="34"/>
  <c r="U1886" i="34"/>
  <c r="Y1886" i="34"/>
  <c r="Z1886" i="34"/>
  <c r="N1887" i="34"/>
  <c r="S1887" i="34"/>
  <c r="T1887" i="34"/>
  <c r="U1887" i="34"/>
  <c r="Y1887" i="34"/>
  <c r="Z1887" i="34"/>
  <c r="N1888" i="34"/>
  <c r="S1888" i="34"/>
  <c r="T1888" i="34"/>
  <c r="U1888" i="34"/>
  <c r="Y1888" i="34"/>
  <c r="Z1888" i="34"/>
  <c r="N1889" i="34"/>
  <c r="S1889" i="34"/>
  <c r="T1889" i="34"/>
  <c r="U1889" i="34"/>
  <c r="Y1889" i="34"/>
  <c r="Z1889" i="34"/>
  <c r="N1890" i="34"/>
  <c r="S1890" i="34"/>
  <c r="T1890" i="34"/>
  <c r="U1890" i="34"/>
  <c r="Y1890" i="34"/>
  <c r="Z1890" i="34"/>
  <c r="N1891" i="34"/>
  <c r="S1891" i="34"/>
  <c r="T1891" i="34"/>
  <c r="U1891" i="34"/>
  <c r="Y1891" i="34"/>
  <c r="Z1891" i="34"/>
  <c r="N1892" i="34"/>
  <c r="S1892" i="34"/>
  <c r="T1892" i="34"/>
  <c r="U1892" i="34"/>
  <c r="Y1892" i="34"/>
  <c r="Z1892" i="34"/>
  <c r="N1893" i="34"/>
  <c r="S1893" i="34"/>
  <c r="T1893" i="34"/>
  <c r="U1893" i="34"/>
  <c r="Y1893" i="34"/>
  <c r="Z1893" i="34"/>
  <c r="N1894" i="34"/>
  <c r="S1894" i="34"/>
  <c r="T1894" i="34"/>
  <c r="U1894" i="34"/>
  <c r="Y1894" i="34"/>
  <c r="Z1894" i="34"/>
  <c r="N1895" i="34"/>
  <c r="S1895" i="34"/>
  <c r="T1895" i="34"/>
  <c r="U1895" i="34"/>
  <c r="Y1895" i="34"/>
  <c r="Z1895" i="34"/>
  <c r="N1896" i="34"/>
  <c r="S1896" i="34"/>
  <c r="T1896" i="34"/>
  <c r="U1896" i="34"/>
  <c r="Y1896" i="34"/>
  <c r="Z1896" i="34"/>
  <c r="N1897" i="34"/>
  <c r="S1897" i="34"/>
  <c r="T1897" i="34"/>
  <c r="U1897" i="34"/>
  <c r="Y1897" i="34"/>
  <c r="Z1897" i="34"/>
  <c r="N1898" i="34"/>
  <c r="S1898" i="34"/>
  <c r="T1898" i="34"/>
  <c r="U1898" i="34"/>
  <c r="Y1898" i="34"/>
  <c r="Z1898" i="34"/>
  <c r="N1899" i="34"/>
  <c r="S1899" i="34"/>
  <c r="T1899" i="34"/>
  <c r="U1899" i="34"/>
  <c r="Y1899" i="34"/>
  <c r="Z1899" i="34"/>
  <c r="N1900" i="34"/>
  <c r="S1900" i="34"/>
  <c r="T1900" i="34"/>
  <c r="U1900" i="34"/>
  <c r="Y1900" i="34"/>
  <c r="Z1900" i="34"/>
  <c r="N1901" i="34"/>
  <c r="S1901" i="34"/>
  <c r="T1901" i="34"/>
  <c r="U1901" i="34"/>
  <c r="Y1901" i="34"/>
  <c r="Z1901" i="34"/>
  <c r="N1902" i="34"/>
  <c r="S1902" i="34"/>
  <c r="T1902" i="34"/>
  <c r="U1902" i="34"/>
  <c r="Y1902" i="34"/>
  <c r="Z1902" i="34"/>
  <c r="N1903" i="34"/>
  <c r="S1903" i="34"/>
  <c r="T1903" i="34"/>
  <c r="U1903" i="34"/>
  <c r="Y1903" i="34"/>
  <c r="Z1903" i="34"/>
  <c r="N1904" i="34"/>
  <c r="S1904" i="34"/>
  <c r="T1904" i="34"/>
  <c r="U1904" i="34"/>
  <c r="Y1904" i="34"/>
  <c r="Z1904" i="34"/>
  <c r="N1905" i="34"/>
  <c r="S1905" i="34"/>
  <c r="T1905" i="34"/>
  <c r="U1905" i="34"/>
  <c r="Y1905" i="34"/>
  <c r="Z1905" i="34"/>
  <c r="N1906" i="34"/>
  <c r="S1906" i="34"/>
  <c r="T1906" i="34"/>
  <c r="U1906" i="34"/>
  <c r="Y1906" i="34"/>
  <c r="Z1906" i="34"/>
  <c r="N1907" i="34"/>
  <c r="S1907" i="34"/>
  <c r="T1907" i="34"/>
  <c r="U1907" i="34"/>
  <c r="Y1907" i="34"/>
  <c r="Z1907" i="34"/>
  <c r="N1908" i="34"/>
  <c r="S1908" i="34"/>
  <c r="T1908" i="34"/>
  <c r="U1908" i="34"/>
  <c r="Y1908" i="34"/>
  <c r="Z1908" i="34"/>
  <c r="N1909" i="34"/>
  <c r="S1909" i="34"/>
  <c r="T1909" i="34"/>
  <c r="U1909" i="34"/>
  <c r="Y1909" i="34"/>
  <c r="Z1909" i="34"/>
  <c r="N1910" i="34"/>
  <c r="S1910" i="34"/>
  <c r="T1910" i="34"/>
  <c r="U1910" i="34"/>
  <c r="Y1910" i="34"/>
  <c r="Z1910" i="34"/>
  <c r="N1911" i="34"/>
  <c r="S1911" i="34"/>
  <c r="T1911" i="34"/>
  <c r="U1911" i="34"/>
  <c r="Y1911" i="34"/>
  <c r="Z1911" i="34"/>
  <c r="N1912" i="34"/>
  <c r="S1912" i="34"/>
  <c r="T1912" i="34"/>
  <c r="U1912" i="34"/>
  <c r="Y1912" i="34"/>
  <c r="Z1912" i="34"/>
  <c r="N1913" i="34"/>
  <c r="S1913" i="34"/>
  <c r="T1913" i="34"/>
  <c r="U1913" i="34"/>
  <c r="Y1913" i="34"/>
  <c r="Z1913" i="34"/>
  <c r="N1914" i="34"/>
  <c r="S1914" i="34"/>
  <c r="T1914" i="34"/>
  <c r="U1914" i="34"/>
  <c r="Y1914" i="34"/>
  <c r="Z1914" i="34"/>
  <c r="N1915" i="34"/>
  <c r="S1915" i="34"/>
  <c r="T1915" i="34"/>
  <c r="U1915" i="34"/>
  <c r="Y1915" i="34"/>
  <c r="Z1915" i="34"/>
  <c r="N1916" i="34"/>
  <c r="S1916" i="34"/>
  <c r="T1916" i="34"/>
  <c r="U1916" i="34"/>
  <c r="Y1916" i="34"/>
  <c r="Z1916" i="34"/>
  <c r="N1917" i="34"/>
  <c r="S1917" i="34"/>
  <c r="T1917" i="34"/>
  <c r="U1917" i="34"/>
  <c r="Y1917" i="34"/>
  <c r="Z1917" i="34"/>
  <c r="N1918" i="34"/>
  <c r="S1918" i="34"/>
  <c r="T1918" i="34"/>
  <c r="U1918" i="34"/>
  <c r="Y1918" i="34"/>
  <c r="Z1918" i="34"/>
  <c r="N1919" i="34"/>
  <c r="S1919" i="34"/>
  <c r="T1919" i="34"/>
  <c r="U1919" i="34"/>
  <c r="Y1919" i="34"/>
  <c r="Z1919" i="34"/>
  <c r="N1920" i="34"/>
  <c r="S1920" i="34"/>
  <c r="T1920" i="34"/>
  <c r="U1920" i="34"/>
  <c r="Y1920" i="34"/>
  <c r="Z1920" i="34"/>
  <c r="N1921" i="34"/>
  <c r="S1921" i="34"/>
  <c r="T1921" i="34"/>
  <c r="U1921" i="34"/>
  <c r="Y1921" i="34"/>
  <c r="Z1921" i="34"/>
  <c r="N1922" i="34"/>
  <c r="S1922" i="34"/>
  <c r="T1922" i="34"/>
  <c r="U1922" i="34"/>
  <c r="Y1922" i="34"/>
  <c r="Z1922" i="34"/>
  <c r="N1923" i="34"/>
  <c r="Y1923" i="34"/>
  <c r="Z1923" i="34"/>
  <c r="N1924" i="34"/>
  <c r="Y1924" i="34"/>
  <c r="Z1924" i="34"/>
  <c r="N1925" i="34"/>
  <c r="S1925" i="34"/>
  <c r="T1925" i="34"/>
  <c r="U1925" i="34"/>
  <c r="Y1925" i="34"/>
  <c r="Z1925" i="34"/>
  <c r="N1926" i="34"/>
  <c r="S1926" i="34"/>
  <c r="T1926" i="34"/>
  <c r="U1926" i="34"/>
  <c r="Y1926" i="34"/>
  <c r="Z1926" i="34"/>
  <c r="N1927" i="34"/>
  <c r="S1927" i="34"/>
  <c r="T1927" i="34"/>
  <c r="U1927" i="34"/>
  <c r="Y1927" i="34"/>
  <c r="Z1927" i="34"/>
  <c r="N1928" i="34"/>
  <c r="S1928" i="34"/>
  <c r="T1928" i="34"/>
  <c r="U1928" i="34"/>
  <c r="Y1928" i="34"/>
  <c r="Z1928" i="34"/>
  <c r="N1929" i="34"/>
  <c r="S1929" i="34"/>
  <c r="T1929" i="34"/>
  <c r="U1929" i="34"/>
  <c r="Y1929" i="34"/>
  <c r="Z1929" i="34"/>
  <c r="N1930" i="34"/>
  <c r="S1930" i="34"/>
  <c r="T1930" i="34"/>
  <c r="U1930" i="34"/>
  <c r="Y1930" i="34"/>
  <c r="Z1930" i="34"/>
  <c r="N1931" i="34"/>
  <c r="S1931" i="34"/>
  <c r="T1931" i="34"/>
  <c r="U1931" i="34"/>
  <c r="Y1931" i="34"/>
  <c r="Z1931" i="34"/>
  <c r="N1932" i="34"/>
  <c r="S1932" i="34"/>
  <c r="T1932" i="34"/>
  <c r="U1932" i="34"/>
  <c r="Y1932" i="34"/>
  <c r="Z1932" i="34"/>
  <c r="N1933" i="34"/>
  <c r="S1933" i="34"/>
  <c r="T1933" i="34"/>
  <c r="U1933" i="34"/>
  <c r="Y1933" i="34"/>
  <c r="Z1933" i="34"/>
  <c r="N1934" i="34"/>
  <c r="S1934" i="34"/>
  <c r="T1934" i="34"/>
  <c r="U1934" i="34"/>
  <c r="Y1934" i="34"/>
  <c r="Z1934" i="34"/>
  <c r="N1935" i="34"/>
  <c r="S1935" i="34"/>
  <c r="T1935" i="34"/>
  <c r="U1935" i="34"/>
  <c r="Y1935" i="34"/>
  <c r="Z1935" i="34"/>
  <c r="N1936" i="34"/>
  <c r="S1936" i="34"/>
  <c r="T1936" i="34"/>
  <c r="U1936" i="34"/>
  <c r="Y1936" i="34"/>
  <c r="Z1936" i="34"/>
  <c r="N1937" i="34"/>
  <c r="S1937" i="34"/>
  <c r="T1937" i="34"/>
  <c r="U1937" i="34"/>
  <c r="Y1937" i="34"/>
  <c r="Z1937" i="34"/>
  <c r="N1938" i="34"/>
  <c r="S1938" i="34"/>
  <c r="T1938" i="34"/>
  <c r="U1938" i="34"/>
  <c r="Y1938" i="34"/>
  <c r="Z1938" i="34"/>
  <c r="N1939" i="34"/>
  <c r="S1939" i="34"/>
  <c r="T1939" i="34"/>
  <c r="U1939" i="34"/>
  <c r="Y1939" i="34"/>
  <c r="Z1939" i="34"/>
  <c r="N1940" i="34"/>
  <c r="S1940" i="34"/>
  <c r="T1940" i="34"/>
  <c r="U1940" i="34"/>
  <c r="Y1940" i="34"/>
  <c r="Z1940" i="34"/>
  <c r="N1941" i="34"/>
  <c r="S1941" i="34"/>
  <c r="T1941" i="34"/>
  <c r="U1941" i="34"/>
  <c r="Y1941" i="34"/>
  <c r="Z1941" i="34"/>
  <c r="N1942" i="34"/>
  <c r="S1942" i="34"/>
  <c r="T1942" i="34"/>
  <c r="U1942" i="34"/>
  <c r="Y1942" i="34"/>
  <c r="Z1942" i="34"/>
  <c r="N1943" i="34"/>
  <c r="S1943" i="34"/>
  <c r="T1943" i="34"/>
  <c r="U1943" i="34"/>
  <c r="Y1943" i="34"/>
  <c r="Z1943" i="34"/>
  <c r="N1944" i="34"/>
  <c r="S1944" i="34"/>
  <c r="T1944" i="34"/>
  <c r="U1944" i="34"/>
  <c r="Y1944" i="34"/>
  <c r="Z1944" i="34"/>
  <c r="N1945" i="34"/>
  <c r="S1945" i="34"/>
  <c r="T1945" i="34"/>
  <c r="U1945" i="34"/>
  <c r="Y1945" i="34"/>
  <c r="Z1945" i="34"/>
  <c r="N1946" i="34"/>
  <c r="S1946" i="34"/>
  <c r="T1946" i="34"/>
  <c r="U1946" i="34"/>
  <c r="Y1946" i="34"/>
  <c r="Z1946" i="34"/>
  <c r="N1947" i="34"/>
  <c r="S1947" i="34"/>
  <c r="T1947" i="34"/>
  <c r="U1947" i="34"/>
  <c r="Y1947" i="34"/>
  <c r="Z1947" i="34"/>
  <c r="N1948" i="34"/>
  <c r="S1948" i="34"/>
  <c r="T1948" i="34"/>
  <c r="U1948" i="34"/>
  <c r="Y1948" i="34"/>
  <c r="Z1948" i="34"/>
  <c r="N1949" i="34"/>
  <c r="S1949" i="34"/>
  <c r="T1949" i="34"/>
  <c r="U1949" i="34"/>
  <c r="Y1949" i="34"/>
  <c r="Z1949" i="34"/>
  <c r="N1950" i="34"/>
  <c r="S1950" i="34"/>
  <c r="T1950" i="34"/>
  <c r="U1950" i="34"/>
  <c r="Y1950" i="34"/>
  <c r="Z1950" i="34"/>
  <c r="N1951" i="34"/>
  <c r="S1951" i="34"/>
  <c r="T1951" i="34"/>
  <c r="U1951" i="34"/>
  <c r="Y1951" i="34"/>
  <c r="Z1951" i="34"/>
  <c r="N1952" i="34"/>
  <c r="S1952" i="34"/>
  <c r="T1952" i="34"/>
  <c r="U1952" i="34"/>
  <c r="Y1952" i="34"/>
  <c r="Z1952" i="34"/>
  <c r="N1953" i="34"/>
  <c r="S1953" i="34"/>
  <c r="T1953" i="34"/>
  <c r="U1953" i="34"/>
  <c r="Y1953" i="34"/>
  <c r="Z1953" i="34"/>
  <c r="N1954" i="34"/>
  <c r="S1954" i="34"/>
  <c r="T1954" i="34"/>
  <c r="U1954" i="34"/>
  <c r="Y1954" i="34"/>
  <c r="Z1954" i="34"/>
  <c r="N1955" i="34"/>
  <c r="S1955" i="34"/>
  <c r="T1955" i="34"/>
  <c r="U1955" i="34"/>
  <c r="Y1955" i="34"/>
  <c r="Z1955" i="34"/>
  <c r="N1956" i="34"/>
  <c r="S1956" i="34"/>
  <c r="T1956" i="34"/>
  <c r="U1956" i="34"/>
  <c r="Y1956" i="34"/>
  <c r="Z1956" i="34"/>
  <c r="N1957" i="34"/>
  <c r="S1957" i="34"/>
  <c r="T1957" i="34"/>
  <c r="U1957" i="34"/>
  <c r="Y1957" i="34"/>
  <c r="Z1957" i="34"/>
  <c r="N1958" i="34"/>
  <c r="S1958" i="34"/>
  <c r="T1958" i="34"/>
  <c r="U1958" i="34"/>
  <c r="Y1958" i="34"/>
  <c r="Z1958" i="34"/>
  <c r="N1959" i="34"/>
  <c r="S1959" i="34"/>
  <c r="T1959" i="34"/>
  <c r="U1959" i="34"/>
  <c r="Y1959" i="34"/>
  <c r="Z1959" i="34"/>
  <c r="N1960" i="34"/>
  <c r="S1960" i="34"/>
  <c r="T1960" i="34"/>
  <c r="U1960" i="34"/>
  <c r="Y1960" i="34"/>
  <c r="Z1960" i="34"/>
  <c r="N1961" i="34"/>
  <c r="S1961" i="34"/>
  <c r="T1961" i="34"/>
  <c r="U1961" i="34"/>
  <c r="Y1961" i="34"/>
  <c r="Z1961" i="34"/>
  <c r="N1962" i="34"/>
  <c r="S1962" i="34"/>
  <c r="T1962" i="34"/>
  <c r="U1962" i="34"/>
  <c r="Y1962" i="34"/>
  <c r="Z1962" i="34"/>
  <c r="N1963" i="34"/>
  <c r="S1963" i="34"/>
  <c r="T1963" i="34"/>
  <c r="U1963" i="34"/>
  <c r="Y1963" i="34"/>
  <c r="Z1963" i="34"/>
  <c r="N1964" i="34"/>
  <c r="S1964" i="34"/>
  <c r="T1964" i="34"/>
  <c r="U1964" i="34"/>
  <c r="Y1964" i="34"/>
  <c r="Z1964" i="34"/>
  <c r="N1965" i="34"/>
  <c r="S1965" i="34"/>
  <c r="T1965" i="34"/>
  <c r="U1965" i="34"/>
  <c r="Y1965" i="34"/>
  <c r="Z1965" i="34"/>
  <c r="N1966" i="34"/>
  <c r="S1966" i="34"/>
  <c r="T1966" i="34"/>
  <c r="U1966" i="34"/>
  <c r="Y1966" i="34"/>
  <c r="Z1966" i="34"/>
  <c r="N1967" i="34"/>
  <c r="S1967" i="34"/>
  <c r="T1967" i="34"/>
  <c r="U1967" i="34"/>
  <c r="Y1967" i="34"/>
  <c r="Z1967" i="34"/>
  <c r="N1968" i="34"/>
  <c r="Y1968" i="34"/>
  <c r="Z1968" i="34"/>
  <c r="N1969" i="34"/>
  <c r="Y1969" i="34"/>
  <c r="Z1969" i="34"/>
  <c r="N1970" i="34"/>
  <c r="S1970" i="34"/>
  <c r="T1970" i="34"/>
  <c r="U1970" i="34"/>
  <c r="Y1970" i="34"/>
  <c r="Z1970" i="34"/>
  <c r="N1971" i="34"/>
  <c r="S1971" i="34"/>
  <c r="T1971" i="34"/>
  <c r="U1971" i="34"/>
  <c r="Y1971" i="34"/>
  <c r="Z1971" i="34"/>
  <c r="N1972" i="34"/>
  <c r="S1972" i="34"/>
  <c r="T1972" i="34"/>
  <c r="U1972" i="34"/>
  <c r="Y1972" i="34"/>
  <c r="Z1972" i="34"/>
  <c r="N1973" i="34"/>
  <c r="S1973" i="34"/>
  <c r="T1973" i="34"/>
  <c r="U1973" i="34"/>
  <c r="Y1973" i="34"/>
  <c r="Z1973" i="34"/>
  <c r="N1974" i="34"/>
  <c r="S1974" i="34"/>
  <c r="T1974" i="34"/>
  <c r="U1974" i="34"/>
  <c r="Y1974" i="34"/>
  <c r="Z1974" i="34"/>
  <c r="N1975" i="34"/>
  <c r="S1975" i="34"/>
  <c r="T1975" i="34"/>
  <c r="U1975" i="34"/>
  <c r="Y1975" i="34"/>
  <c r="Z1975" i="34"/>
  <c r="N1976" i="34"/>
  <c r="S1976" i="34"/>
  <c r="T1976" i="34"/>
  <c r="U1976" i="34"/>
  <c r="Y1976" i="34"/>
  <c r="Z1976" i="34"/>
  <c r="N1977" i="34"/>
  <c r="S1977" i="34"/>
  <c r="T1977" i="34"/>
  <c r="U1977" i="34"/>
  <c r="Y1977" i="34"/>
  <c r="Z1977" i="34"/>
  <c r="N1978" i="34"/>
  <c r="S1978" i="34"/>
  <c r="T1978" i="34"/>
  <c r="U1978" i="34"/>
  <c r="Y1978" i="34"/>
  <c r="Z1978" i="34"/>
  <c r="N1979" i="34"/>
  <c r="S1979" i="34"/>
  <c r="T1979" i="34"/>
  <c r="U1979" i="34"/>
  <c r="Y1979" i="34"/>
  <c r="Z1979" i="34"/>
  <c r="N1980" i="34"/>
  <c r="S1980" i="34"/>
  <c r="T1980" i="34"/>
  <c r="U1980" i="34"/>
  <c r="Y1980" i="34"/>
  <c r="Z1980" i="34"/>
  <c r="N1981" i="34"/>
  <c r="S1981" i="34"/>
  <c r="T1981" i="34"/>
  <c r="U1981" i="34"/>
  <c r="Y1981" i="34"/>
  <c r="Z1981" i="34"/>
  <c r="N1982" i="34"/>
  <c r="S1982" i="34"/>
  <c r="T1982" i="34"/>
  <c r="U1982" i="34"/>
  <c r="Y1982" i="34"/>
  <c r="Z1982" i="34"/>
  <c r="N1983" i="34"/>
  <c r="S1983" i="34"/>
  <c r="T1983" i="34"/>
  <c r="U1983" i="34"/>
  <c r="Y1983" i="34"/>
  <c r="Z1983" i="34"/>
  <c r="N1984" i="34"/>
  <c r="S1984" i="34"/>
  <c r="T1984" i="34"/>
  <c r="U1984" i="34"/>
  <c r="Y1984" i="34"/>
  <c r="Z1984" i="34"/>
  <c r="N1985" i="34"/>
  <c r="S1985" i="34"/>
  <c r="T1985" i="34"/>
  <c r="U1985" i="34"/>
  <c r="Y1985" i="34"/>
  <c r="Z1985" i="34"/>
  <c r="N1986" i="34"/>
  <c r="S1986" i="34"/>
  <c r="T1986" i="34"/>
  <c r="U1986" i="34"/>
  <c r="Y1986" i="34"/>
  <c r="Z1986" i="34"/>
  <c r="N1987" i="34"/>
  <c r="S1987" i="34"/>
  <c r="T1987" i="34"/>
  <c r="U1987" i="34"/>
  <c r="Y1987" i="34"/>
  <c r="Z1987" i="34"/>
  <c r="N1988" i="34"/>
  <c r="S1988" i="34"/>
  <c r="T1988" i="34"/>
  <c r="U1988" i="34"/>
  <c r="Y1988" i="34"/>
  <c r="Z1988" i="34"/>
  <c r="N1989" i="34"/>
  <c r="S1989" i="34"/>
  <c r="T1989" i="34"/>
  <c r="U1989" i="34"/>
  <c r="Y1989" i="34"/>
  <c r="Z1989" i="34"/>
  <c r="N1990" i="34"/>
  <c r="S1990" i="34"/>
  <c r="T1990" i="34"/>
  <c r="U1990" i="34"/>
  <c r="Y1990" i="34"/>
  <c r="Z1990" i="34"/>
  <c r="N1991" i="34"/>
  <c r="S1991" i="34"/>
  <c r="T1991" i="34"/>
  <c r="U1991" i="34"/>
  <c r="Y1991" i="34"/>
  <c r="Z1991" i="34"/>
  <c r="N1992" i="34"/>
  <c r="S1992" i="34"/>
  <c r="T1992" i="34"/>
  <c r="U1992" i="34"/>
  <c r="Y1992" i="34"/>
  <c r="Z1992" i="34"/>
  <c r="N1993" i="34"/>
  <c r="S1993" i="34"/>
  <c r="T1993" i="34"/>
  <c r="U1993" i="34"/>
  <c r="Y1993" i="34"/>
  <c r="Z1993" i="34"/>
  <c r="N1994" i="34"/>
  <c r="S1994" i="34"/>
  <c r="T1994" i="34"/>
  <c r="U1994" i="34"/>
  <c r="Y1994" i="34"/>
  <c r="Z1994" i="34"/>
  <c r="N1995" i="34"/>
  <c r="S1995" i="34"/>
  <c r="T1995" i="34"/>
  <c r="U1995" i="34"/>
  <c r="Y1995" i="34"/>
  <c r="Z1995" i="34"/>
  <c r="N1996" i="34"/>
  <c r="S1996" i="34"/>
  <c r="T1996" i="34"/>
  <c r="U1996" i="34"/>
  <c r="Y1996" i="34"/>
  <c r="Z1996" i="34"/>
  <c r="N1997" i="34"/>
  <c r="S1997" i="34"/>
  <c r="T1997" i="34"/>
  <c r="U1997" i="34"/>
  <c r="Y1997" i="34"/>
  <c r="Z1997" i="34"/>
  <c r="N1998" i="34"/>
  <c r="S1998" i="34"/>
  <c r="T1998" i="34"/>
  <c r="U1998" i="34"/>
  <c r="Y1998" i="34"/>
  <c r="Z1998" i="34"/>
  <c r="N1999" i="34"/>
  <c r="S1999" i="34"/>
  <c r="T1999" i="34"/>
  <c r="U1999" i="34"/>
  <c r="Y1999" i="34"/>
  <c r="Z1999" i="34"/>
  <c r="N2000" i="34"/>
  <c r="S2000" i="34"/>
  <c r="T2000" i="34"/>
  <c r="U2000" i="34"/>
  <c r="Y2000" i="34"/>
  <c r="Z2000" i="34"/>
  <c r="N2001" i="34"/>
  <c r="S2001" i="34"/>
  <c r="T2001" i="34"/>
  <c r="U2001" i="34"/>
  <c r="Y2001" i="34"/>
  <c r="Z2001" i="34"/>
  <c r="N2002" i="34"/>
  <c r="S2002" i="34"/>
  <c r="T2002" i="34"/>
  <c r="U2002" i="34"/>
  <c r="Y2002" i="34"/>
  <c r="Z2002" i="34"/>
  <c r="N2003" i="34"/>
  <c r="S2003" i="34"/>
  <c r="T2003" i="34"/>
  <c r="U2003" i="34"/>
  <c r="Y2003" i="34"/>
  <c r="Z2003" i="34"/>
  <c r="N2004" i="34"/>
  <c r="S2004" i="34"/>
  <c r="T2004" i="34"/>
  <c r="U2004" i="34"/>
  <c r="Y2004" i="34"/>
  <c r="Z2004" i="34"/>
  <c r="N2005" i="34"/>
  <c r="S2005" i="34"/>
  <c r="T2005" i="34"/>
  <c r="U2005" i="34"/>
  <c r="Y2005" i="34"/>
  <c r="Z2005" i="34"/>
  <c r="N2006" i="34"/>
  <c r="S2006" i="34"/>
  <c r="T2006" i="34"/>
  <c r="U2006" i="34"/>
  <c r="Y2006" i="34"/>
  <c r="Z2006" i="34"/>
  <c r="N2007" i="34"/>
  <c r="S2007" i="34"/>
  <c r="T2007" i="34"/>
  <c r="U2007" i="34"/>
  <c r="Y2007" i="34"/>
  <c r="Z2007" i="34"/>
  <c r="N2008" i="34"/>
  <c r="S2008" i="34"/>
  <c r="T2008" i="34"/>
  <c r="U2008" i="34"/>
  <c r="Y2008" i="34"/>
  <c r="Z2008" i="34"/>
  <c r="N2009" i="34"/>
  <c r="S2009" i="34"/>
  <c r="T2009" i="34"/>
  <c r="U2009" i="34"/>
  <c r="Y2009" i="34"/>
  <c r="Z2009" i="34"/>
  <c r="N2010" i="34"/>
  <c r="S2010" i="34"/>
  <c r="T2010" i="34"/>
  <c r="U2010" i="34"/>
  <c r="Y2010" i="34"/>
  <c r="Z2010" i="34"/>
  <c r="N2011" i="34"/>
  <c r="S2011" i="34"/>
  <c r="T2011" i="34"/>
  <c r="U2011" i="34"/>
  <c r="Y2011" i="34"/>
  <c r="Z2011" i="34"/>
  <c r="N2012" i="34"/>
  <c r="S2012" i="34"/>
  <c r="T2012" i="34"/>
  <c r="U2012" i="34"/>
  <c r="Y2012" i="34"/>
  <c r="Z2012" i="34"/>
  <c r="N2013" i="34"/>
  <c r="S2013" i="34"/>
  <c r="T2013" i="34"/>
  <c r="U2013" i="34"/>
  <c r="Y2013" i="34"/>
  <c r="Z2013" i="34"/>
  <c r="N2014" i="34"/>
  <c r="S2014" i="34"/>
  <c r="T2014" i="34"/>
  <c r="U2014" i="34"/>
  <c r="Y2014" i="34"/>
  <c r="Z2014" i="34"/>
  <c r="N2015" i="34"/>
  <c r="S2015" i="34"/>
  <c r="T2015" i="34"/>
  <c r="U2015" i="34"/>
  <c r="Y2015" i="34"/>
  <c r="Z2015" i="34"/>
  <c r="N2016" i="34"/>
  <c r="S2016" i="34"/>
  <c r="T2016" i="34"/>
  <c r="U2016" i="34"/>
  <c r="Y2016" i="34"/>
  <c r="Z2016" i="34"/>
  <c r="N2017" i="34"/>
  <c r="S2017" i="34"/>
  <c r="T2017" i="34"/>
  <c r="U2017" i="34"/>
  <c r="Y2017" i="34"/>
  <c r="Z2017" i="34"/>
  <c r="N2018" i="34"/>
  <c r="S2018" i="34"/>
  <c r="T2018" i="34"/>
  <c r="U2018" i="34"/>
  <c r="Y2018" i="34"/>
  <c r="Z2018" i="34"/>
  <c r="N2019" i="34"/>
  <c r="S2019" i="34"/>
  <c r="T2019" i="34"/>
  <c r="U2019" i="34"/>
  <c r="Y2019" i="34"/>
  <c r="Z2019" i="34"/>
  <c r="N2020" i="34"/>
  <c r="S2020" i="34"/>
  <c r="T2020" i="34"/>
  <c r="U2020" i="34"/>
  <c r="Y2020" i="34"/>
  <c r="Z2020" i="34"/>
  <c r="N2021" i="34"/>
  <c r="S2021" i="34"/>
  <c r="T2021" i="34"/>
  <c r="U2021" i="34"/>
  <c r="Y2021" i="34"/>
  <c r="Z2021" i="34"/>
  <c r="N2022" i="34"/>
  <c r="S2022" i="34"/>
  <c r="T2022" i="34"/>
  <c r="U2022" i="34"/>
  <c r="Y2022" i="34"/>
  <c r="Z2022" i="34"/>
  <c r="N2023" i="34"/>
  <c r="S2023" i="34"/>
  <c r="T2023" i="34"/>
  <c r="U2023" i="34"/>
  <c r="Y2023" i="34"/>
  <c r="Z2023" i="34"/>
  <c r="N2024" i="34"/>
  <c r="S2024" i="34"/>
  <c r="T2024" i="34"/>
  <c r="U2024" i="34"/>
  <c r="Y2024" i="34"/>
  <c r="Z2024" i="34"/>
  <c r="N2025" i="34"/>
  <c r="S2025" i="34"/>
  <c r="T2025" i="34"/>
  <c r="U2025" i="34"/>
  <c r="Y2025" i="34"/>
  <c r="Z2025" i="34"/>
  <c r="N2026" i="34"/>
  <c r="S2026" i="34"/>
  <c r="T2026" i="34"/>
  <c r="U2026" i="34"/>
  <c r="Y2026" i="34"/>
  <c r="Z2026" i="34"/>
  <c r="N2027" i="34"/>
  <c r="S2027" i="34"/>
  <c r="T2027" i="34"/>
  <c r="U2027" i="34"/>
  <c r="Y2027" i="34"/>
  <c r="Z2027" i="34"/>
  <c r="N2028" i="34"/>
  <c r="S2028" i="34"/>
  <c r="T2028" i="34"/>
  <c r="U2028" i="34"/>
  <c r="Y2028" i="34"/>
  <c r="Z2028" i="34"/>
  <c r="N2029" i="34"/>
  <c r="S2029" i="34"/>
  <c r="T2029" i="34"/>
  <c r="U2029" i="34"/>
  <c r="Y2029" i="34"/>
  <c r="Z2029" i="34"/>
  <c r="N2030" i="34"/>
  <c r="S2030" i="34"/>
  <c r="T2030" i="34"/>
  <c r="U2030" i="34"/>
  <c r="Y2030" i="34"/>
  <c r="Z2030" i="34"/>
  <c r="N2031" i="34"/>
  <c r="S2031" i="34"/>
  <c r="T2031" i="34"/>
  <c r="U2031" i="34"/>
  <c r="Y2031" i="34"/>
  <c r="Z2031" i="34"/>
  <c r="N2032" i="34"/>
  <c r="S2032" i="34"/>
  <c r="T2032" i="34"/>
  <c r="U2032" i="34"/>
  <c r="Y2032" i="34"/>
  <c r="Z2032" i="34"/>
  <c r="N2033" i="34"/>
  <c r="S2033" i="34"/>
  <c r="T2033" i="34"/>
  <c r="U2033" i="34"/>
  <c r="Y2033" i="34"/>
  <c r="Z2033" i="34"/>
  <c r="N2034" i="34"/>
  <c r="S2034" i="34"/>
  <c r="T2034" i="34"/>
  <c r="U2034" i="34"/>
  <c r="Y2034" i="34"/>
  <c r="Z2034" i="34"/>
  <c r="N2035" i="34"/>
  <c r="S2035" i="34"/>
  <c r="T2035" i="34"/>
  <c r="U2035" i="34"/>
  <c r="Y2035" i="34"/>
  <c r="Z2035" i="34"/>
  <c r="N2036" i="34"/>
  <c r="S2036" i="34"/>
  <c r="T2036" i="34"/>
  <c r="U2036" i="34"/>
  <c r="Y2036" i="34"/>
  <c r="Z2036" i="34"/>
  <c r="N2037" i="34"/>
  <c r="S2037" i="34"/>
  <c r="T2037" i="34"/>
  <c r="U2037" i="34"/>
  <c r="Y2037" i="34"/>
  <c r="Z2037" i="34"/>
  <c r="N2038" i="34"/>
  <c r="S2038" i="34"/>
  <c r="T2038" i="34"/>
  <c r="U2038" i="34"/>
  <c r="Y2038" i="34"/>
  <c r="Z2038" i="34"/>
  <c r="N2039" i="34"/>
  <c r="S2039" i="34"/>
  <c r="T2039" i="34"/>
  <c r="U2039" i="34"/>
  <c r="Y2039" i="34"/>
  <c r="Z2039" i="34"/>
  <c r="N2040" i="34"/>
  <c r="S2040" i="34"/>
  <c r="T2040" i="34"/>
  <c r="U2040" i="34"/>
  <c r="Y2040" i="34"/>
  <c r="Z2040" i="34"/>
  <c r="N2041" i="34"/>
  <c r="S2041" i="34"/>
  <c r="T2041" i="34"/>
  <c r="U2041" i="34"/>
  <c r="Y2041" i="34"/>
  <c r="Z2041" i="34"/>
  <c r="N2042" i="34"/>
  <c r="S2042" i="34"/>
  <c r="T2042" i="34"/>
  <c r="U2042" i="34"/>
  <c r="Y2042" i="34"/>
  <c r="Z2042" i="34"/>
  <c r="N2043" i="34"/>
  <c r="S2043" i="34"/>
  <c r="T2043" i="34"/>
  <c r="U2043" i="34"/>
  <c r="Y2043" i="34"/>
  <c r="Z2043" i="34"/>
  <c r="N2044" i="34"/>
  <c r="S2044" i="34"/>
  <c r="T2044" i="34"/>
  <c r="U2044" i="34"/>
  <c r="Y2044" i="34"/>
  <c r="Z2044" i="34"/>
  <c r="N2045" i="34"/>
  <c r="S2045" i="34"/>
  <c r="T2045" i="34"/>
  <c r="U2045" i="34"/>
  <c r="Y2045" i="34"/>
  <c r="Z2045" i="34"/>
  <c r="N2046" i="34"/>
  <c r="S2046" i="34"/>
  <c r="T2046" i="34"/>
  <c r="U2046" i="34"/>
  <c r="Y2046" i="34"/>
  <c r="Z2046" i="34"/>
  <c r="N2047" i="34"/>
  <c r="S2047" i="34"/>
  <c r="T2047" i="34"/>
  <c r="U2047" i="34"/>
  <c r="Y2047" i="34"/>
  <c r="Z2047" i="34"/>
  <c r="N2048" i="34"/>
  <c r="S2048" i="34"/>
  <c r="T2048" i="34"/>
  <c r="U2048" i="34"/>
  <c r="Y2048" i="34"/>
  <c r="Z2048" i="34"/>
  <c r="N2049" i="34"/>
  <c r="S2049" i="34"/>
  <c r="T2049" i="34"/>
  <c r="U2049" i="34"/>
  <c r="Y2049" i="34"/>
  <c r="Z2049" i="34"/>
  <c r="N2050" i="34"/>
  <c r="S2050" i="34"/>
  <c r="T2050" i="34"/>
  <c r="U2050" i="34"/>
  <c r="Y2050" i="34"/>
  <c r="Z2050" i="34"/>
  <c r="N2051" i="34"/>
  <c r="S2051" i="34"/>
  <c r="T2051" i="34"/>
  <c r="U2051" i="34"/>
  <c r="Y2051" i="34"/>
  <c r="Z2051" i="34"/>
  <c r="N2052" i="34"/>
  <c r="S2052" i="34"/>
  <c r="T2052" i="34"/>
  <c r="U2052" i="34"/>
  <c r="Y2052" i="34"/>
  <c r="Z2052" i="34"/>
  <c r="N2053" i="34"/>
  <c r="S2053" i="34"/>
  <c r="T2053" i="34"/>
  <c r="U2053" i="34"/>
  <c r="Y2053" i="34"/>
  <c r="Z2053" i="34"/>
  <c r="N2054" i="34"/>
  <c r="S2054" i="34"/>
  <c r="T2054" i="34"/>
  <c r="U2054" i="34"/>
  <c r="Y2054" i="34"/>
  <c r="Z2054" i="34"/>
  <c r="N2055" i="34"/>
  <c r="S2055" i="34"/>
  <c r="T2055" i="34"/>
  <c r="U2055" i="34"/>
  <c r="Y2055" i="34"/>
  <c r="Z2055" i="34"/>
  <c r="N2056" i="34"/>
  <c r="S2056" i="34"/>
  <c r="T2056" i="34"/>
  <c r="U2056" i="34"/>
  <c r="Y2056" i="34"/>
  <c r="Z2056" i="34"/>
  <c r="N2057" i="34"/>
  <c r="S2057" i="34"/>
  <c r="T2057" i="34"/>
  <c r="U2057" i="34"/>
  <c r="Y2057" i="34"/>
  <c r="Z2057" i="34"/>
  <c r="N2058" i="34"/>
  <c r="S2058" i="34"/>
  <c r="T2058" i="34"/>
  <c r="U2058" i="34"/>
  <c r="Y2058" i="34"/>
  <c r="Z2058" i="34"/>
  <c r="N2059" i="34"/>
  <c r="S2059" i="34"/>
  <c r="T2059" i="34"/>
  <c r="U2059" i="34"/>
  <c r="Y2059" i="34"/>
  <c r="Z2059" i="34"/>
  <c r="N2060" i="34"/>
  <c r="S2060" i="34"/>
  <c r="T2060" i="34"/>
  <c r="U2060" i="34"/>
  <c r="Y2060" i="34"/>
  <c r="Z2060" i="34"/>
  <c r="N2061" i="34"/>
  <c r="S2061" i="34"/>
  <c r="T2061" i="34"/>
  <c r="U2061" i="34"/>
  <c r="Y2061" i="34"/>
  <c r="Z2061" i="34"/>
  <c r="N2062" i="34"/>
  <c r="S2062" i="34"/>
  <c r="T2062" i="34"/>
  <c r="U2062" i="34"/>
  <c r="Y2062" i="34"/>
  <c r="Z2062" i="34"/>
  <c r="N2063" i="34"/>
  <c r="S2063" i="34"/>
  <c r="T2063" i="34"/>
  <c r="U2063" i="34"/>
  <c r="Y2063" i="34"/>
  <c r="Z2063" i="34"/>
  <c r="N2064" i="34"/>
  <c r="S2064" i="34"/>
  <c r="T2064" i="34"/>
  <c r="U2064" i="34"/>
  <c r="Y2064" i="34"/>
  <c r="Z2064" i="34"/>
  <c r="N2065" i="34"/>
  <c r="S2065" i="34"/>
  <c r="T2065" i="34"/>
  <c r="U2065" i="34"/>
  <c r="Y2065" i="34"/>
  <c r="Z2065" i="34"/>
  <c r="N2066" i="34"/>
  <c r="S2066" i="34"/>
  <c r="T2066" i="34"/>
  <c r="U2066" i="34"/>
  <c r="Y2066" i="34"/>
  <c r="Z2066" i="34"/>
  <c r="N2067" i="34"/>
  <c r="S2067" i="34"/>
  <c r="T2067" i="34"/>
  <c r="U2067" i="34"/>
  <c r="Y2067" i="34"/>
  <c r="Z2067" i="34"/>
  <c r="N2068" i="34"/>
  <c r="S2068" i="34"/>
  <c r="T2068" i="34"/>
  <c r="U2068" i="34"/>
  <c r="Y2068" i="34"/>
  <c r="Z2068" i="34"/>
  <c r="N2069" i="34"/>
  <c r="S2069" i="34"/>
  <c r="T2069" i="34"/>
  <c r="U2069" i="34"/>
  <c r="Y2069" i="34"/>
  <c r="Z2069" i="34"/>
  <c r="N2070" i="34"/>
  <c r="S2070" i="34"/>
  <c r="T2070" i="34"/>
  <c r="U2070" i="34"/>
  <c r="Y2070" i="34"/>
  <c r="Z2070" i="34"/>
  <c r="N2071" i="34"/>
  <c r="S2071" i="34"/>
  <c r="T2071" i="34"/>
  <c r="U2071" i="34"/>
  <c r="Y2071" i="34"/>
  <c r="Z2071" i="34"/>
  <c r="N2072" i="34"/>
  <c r="S2072" i="34"/>
  <c r="T2072" i="34"/>
  <c r="U2072" i="34"/>
  <c r="Y2072" i="34"/>
  <c r="Z2072" i="34"/>
  <c r="N2073" i="34"/>
  <c r="S2073" i="34"/>
  <c r="T2073" i="34"/>
  <c r="U2073" i="34"/>
  <c r="Y2073" i="34"/>
  <c r="Z2073" i="34"/>
  <c r="N2074" i="34"/>
  <c r="S2074" i="34"/>
  <c r="T2074" i="34"/>
  <c r="U2074" i="34"/>
  <c r="Y2074" i="34"/>
  <c r="Z2074" i="34"/>
  <c r="N2075" i="34"/>
  <c r="S2075" i="34"/>
  <c r="T2075" i="34"/>
  <c r="U2075" i="34"/>
  <c r="Y2075" i="34"/>
  <c r="Z2075" i="34"/>
  <c r="N2076" i="34"/>
  <c r="S2076" i="34"/>
  <c r="T2076" i="34"/>
  <c r="U2076" i="34"/>
  <c r="Y2076" i="34"/>
  <c r="Z2076" i="34"/>
  <c r="N2077" i="34"/>
  <c r="S2077" i="34"/>
  <c r="T2077" i="34"/>
  <c r="U2077" i="34"/>
  <c r="Y2077" i="34"/>
  <c r="Z2077" i="34"/>
  <c r="N2078" i="34"/>
  <c r="S2078" i="34"/>
  <c r="T2078" i="34"/>
  <c r="U2078" i="34"/>
  <c r="Y2078" i="34"/>
  <c r="Z2078" i="34"/>
  <c r="N2079" i="34"/>
  <c r="S2079" i="34"/>
  <c r="T2079" i="34"/>
  <c r="U2079" i="34"/>
  <c r="Y2079" i="34"/>
  <c r="Z2079" i="34"/>
  <c r="N2080" i="34"/>
  <c r="S2080" i="34"/>
  <c r="T2080" i="34"/>
  <c r="U2080" i="34"/>
  <c r="Y2080" i="34"/>
  <c r="Z2080" i="34"/>
  <c r="N2081" i="34"/>
  <c r="S2081" i="34"/>
  <c r="T2081" i="34"/>
  <c r="U2081" i="34"/>
  <c r="Y2081" i="34"/>
  <c r="Z2081" i="34"/>
  <c r="N2082" i="34"/>
  <c r="S2082" i="34"/>
  <c r="T2082" i="34"/>
  <c r="U2082" i="34"/>
  <c r="Y2082" i="34"/>
  <c r="Z2082" i="34"/>
  <c r="N2083" i="34"/>
  <c r="Y2083" i="34"/>
  <c r="Z2083" i="34"/>
  <c r="N2084" i="34"/>
  <c r="S2084" i="34"/>
  <c r="T2084" i="34"/>
  <c r="U2084" i="34"/>
  <c r="Y2084" i="34"/>
  <c r="Z2084" i="34"/>
  <c r="N2085" i="34"/>
  <c r="S2085" i="34"/>
  <c r="T2085" i="34"/>
  <c r="U2085" i="34"/>
  <c r="Y2085" i="34"/>
  <c r="Z2085" i="34"/>
  <c r="N2086" i="34"/>
  <c r="S2086" i="34"/>
  <c r="T2086" i="34"/>
  <c r="U2086" i="34"/>
  <c r="Y2086" i="34"/>
  <c r="Z2086" i="34"/>
  <c r="N2087" i="34"/>
  <c r="S2087" i="34"/>
  <c r="T2087" i="34"/>
  <c r="U2087" i="34"/>
  <c r="Y2087" i="34"/>
  <c r="Z2087" i="34"/>
  <c r="N2088" i="34"/>
  <c r="S2088" i="34"/>
  <c r="T2088" i="34"/>
  <c r="U2088" i="34"/>
  <c r="Y2088" i="34"/>
  <c r="Z2088" i="34"/>
  <c r="N2089" i="34"/>
  <c r="S2089" i="34"/>
  <c r="T2089" i="34"/>
  <c r="U2089" i="34"/>
  <c r="Y2089" i="34"/>
  <c r="Z2089" i="34"/>
  <c r="N2090" i="34"/>
  <c r="S2090" i="34"/>
  <c r="T2090" i="34"/>
  <c r="U2090" i="34"/>
  <c r="Y2090" i="34"/>
  <c r="Z2090" i="34"/>
  <c r="N2091" i="34"/>
  <c r="S2091" i="34"/>
  <c r="T2091" i="34"/>
  <c r="U2091" i="34"/>
  <c r="Y2091" i="34"/>
  <c r="Z2091" i="34"/>
  <c r="N2092" i="34"/>
  <c r="S2092" i="34"/>
  <c r="T2092" i="34"/>
  <c r="U2092" i="34"/>
  <c r="Y2092" i="34"/>
  <c r="Z2092" i="34"/>
  <c r="N2093" i="34"/>
  <c r="S2093" i="34"/>
  <c r="T2093" i="34"/>
  <c r="U2093" i="34"/>
  <c r="Y2093" i="34"/>
  <c r="Z2093" i="34"/>
  <c r="N2094" i="34"/>
  <c r="S2094" i="34"/>
  <c r="T2094" i="34"/>
  <c r="U2094" i="34"/>
  <c r="Y2094" i="34"/>
  <c r="Z2094" i="34"/>
  <c r="N2095" i="34"/>
  <c r="S2095" i="34"/>
  <c r="T2095" i="34"/>
  <c r="U2095" i="34"/>
  <c r="Y2095" i="34"/>
  <c r="Z2095" i="34"/>
  <c r="N2096" i="34"/>
  <c r="S2096" i="34"/>
  <c r="T2096" i="34"/>
  <c r="U2096" i="34"/>
  <c r="Y2096" i="34"/>
  <c r="Z2096" i="34"/>
  <c r="N2097" i="34"/>
  <c r="S2097" i="34"/>
  <c r="T2097" i="34"/>
  <c r="U2097" i="34"/>
  <c r="Y2097" i="34"/>
  <c r="Z2097" i="34"/>
  <c r="N2098" i="34"/>
  <c r="S2098" i="34"/>
  <c r="T2098" i="34"/>
  <c r="U2098" i="34"/>
  <c r="Y2098" i="34"/>
  <c r="Z2098" i="34"/>
  <c r="N2099" i="34"/>
  <c r="S2099" i="34"/>
  <c r="T2099" i="34"/>
  <c r="U2099" i="34"/>
  <c r="Y2099" i="34"/>
  <c r="Z2099" i="34"/>
  <c r="N2100" i="34"/>
  <c r="S2100" i="34"/>
  <c r="T2100" i="34"/>
  <c r="U2100" i="34"/>
  <c r="Y2100" i="34"/>
  <c r="Z2100" i="34"/>
  <c r="N2101" i="34"/>
  <c r="S2101" i="34"/>
  <c r="T2101" i="34"/>
  <c r="U2101" i="34"/>
  <c r="Y2101" i="34"/>
  <c r="Z2101" i="34"/>
  <c r="N2102" i="34"/>
  <c r="S2102" i="34"/>
  <c r="T2102" i="34"/>
  <c r="U2102" i="34"/>
  <c r="Y2102" i="34"/>
  <c r="Z2102" i="34"/>
  <c r="N2103" i="34"/>
  <c r="S2103" i="34"/>
  <c r="T2103" i="34"/>
  <c r="U2103" i="34"/>
  <c r="Y2103" i="34"/>
  <c r="Z2103" i="34"/>
  <c r="N2104" i="34"/>
  <c r="S2104" i="34"/>
  <c r="T2104" i="34"/>
  <c r="U2104" i="34"/>
  <c r="Y2104" i="34"/>
  <c r="Z2104" i="34"/>
  <c r="N2105" i="34"/>
  <c r="S2105" i="34"/>
  <c r="T2105" i="34"/>
  <c r="U2105" i="34"/>
  <c r="Y2105" i="34"/>
  <c r="Z2105" i="34"/>
  <c r="N2106" i="34"/>
  <c r="S2106" i="34"/>
  <c r="T2106" i="34"/>
  <c r="U2106" i="34"/>
  <c r="Y2106" i="34"/>
  <c r="Z2106" i="34"/>
  <c r="N2107" i="34"/>
  <c r="S2107" i="34"/>
  <c r="T2107" i="34"/>
  <c r="U2107" i="34"/>
  <c r="Y2107" i="34"/>
  <c r="Z2107" i="34"/>
  <c r="N2108" i="34"/>
  <c r="S2108" i="34"/>
  <c r="T2108" i="34"/>
  <c r="U2108" i="34"/>
  <c r="Y2108" i="34"/>
  <c r="Z2108" i="34"/>
  <c r="N2109" i="34"/>
  <c r="S2109" i="34"/>
  <c r="T2109" i="34"/>
  <c r="U2109" i="34"/>
  <c r="Y2109" i="34"/>
  <c r="Z2109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Y2113" i="34"/>
  <c r="Z2113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Y2324" i="34"/>
  <c r="Z2324" i="34"/>
  <c r="N2325" i="34"/>
  <c r="Y2325" i="34"/>
  <c r="Z2325" i="34"/>
  <c r="N2326" i="34"/>
  <c r="Y2326" i="34"/>
  <c r="Z2326" i="34"/>
  <c r="N2327" i="34"/>
  <c r="Y2327" i="34"/>
  <c r="Z2327" i="34"/>
  <c r="N2328" i="34"/>
  <c r="Y2328" i="34"/>
  <c r="Z2328" i="34"/>
  <c r="N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Y2360" i="34"/>
  <c r="Z2360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Y2408" i="34"/>
  <c r="Z2408" i="34"/>
  <c r="N2409" i="34"/>
  <c r="S2409" i="34"/>
  <c r="T2409" i="34"/>
  <c r="U2409" i="34"/>
  <c r="Y2409" i="34"/>
  <c r="Z2409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Y2417" i="34"/>
  <c r="Z2417" i="34"/>
  <c r="N2418" i="34"/>
  <c r="Y2418" i="34"/>
  <c r="Z2418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22" i="34"/>
  <c r="S2422" i="34"/>
  <c r="T2422" i="34"/>
  <c r="U2422" i="34"/>
  <c r="Y2422" i="34"/>
  <c r="Z2422" i="34"/>
  <c r="N2423" i="34"/>
  <c r="Y2423" i="34"/>
  <c r="Z2423" i="34"/>
  <c r="N2424" i="34"/>
  <c r="S2424" i="34"/>
  <c r="T2424" i="34"/>
  <c r="U2424" i="34"/>
  <c r="Y2424" i="34"/>
  <c r="Z2424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6" i="34"/>
  <c r="S2446" i="34"/>
  <c r="T2446" i="34"/>
  <c r="U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53" i="34"/>
  <c r="Y2453" i="34"/>
  <c r="Z2453" i="34"/>
  <c r="N2454" i="34"/>
  <c r="S2454" i="34"/>
  <c r="T2454" i="34"/>
  <c r="U2454" i="34"/>
  <c r="Y2454" i="34"/>
  <c r="Z2454" i="34"/>
  <c r="N2455" i="34"/>
  <c r="S2455" i="34"/>
  <c r="T2455" i="34"/>
  <c r="U2455" i="34"/>
  <c r="Y2455" i="34"/>
  <c r="Z2455" i="34"/>
  <c r="N2456" i="34"/>
  <c r="S2456" i="34"/>
  <c r="T2456" i="34"/>
  <c r="U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61" i="34"/>
  <c r="S2461" i="34"/>
  <c r="T2461" i="34"/>
  <c r="U2461" i="34"/>
  <c r="Y2461" i="34"/>
  <c r="Z2461" i="34"/>
  <c r="N2462" i="34"/>
  <c r="S2462" i="34"/>
  <c r="T2462" i="34"/>
  <c r="U2462" i="34"/>
  <c r="Y2462" i="34"/>
  <c r="Z2462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72" i="34"/>
  <c r="S2472" i="34"/>
  <c r="T2472" i="34"/>
  <c r="U2472" i="34"/>
  <c r="Y2472" i="34"/>
  <c r="Z2472" i="34"/>
  <c r="N2473" i="34"/>
  <c r="S2473" i="34"/>
  <c r="T2473" i="34"/>
  <c r="U2473" i="34"/>
  <c r="Y2473" i="34"/>
  <c r="Z2473" i="34"/>
  <c r="N2474" i="34"/>
  <c r="S2474" i="34"/>
  <c r="T2474" i="34"/>
  <c r="U2474" i="34"/>
  <c r="Y2474" i="34"/>
  <c r="Z2474" i="34"/>
  <c r="N2475" i="34"/>
  <c r="S2475" i="34"/>
  <c r="T2475" i="34"/>
  <c r="U2475" i="34"/>
  <c r="Y2475" i="34"/>
  <c r="Z2475" i="34"/>
  <c r="N2476" i="34"/>
  <c r="S2476" i="34"/>
  <c r="T2476" i="34"/>
  <c r="U2476" i="34"/>
  <c r="Y2476" i="34"/>
  <c r="Z2476" i="34"/>
  <c r="N2477" i="34"/>
  <c r="S2477" i="34"/>
  <c r="T2477" i="34"/>
  <c r="U2477" i="34"/>
  <c r="Y2477" i="34"/>
  <c r="Z2477" i="34"/>
  <c r="N2478" i="34"/>
  <c r="S2478" i="34"/>
  <c r="T2478" i="34"/>
  <c r="U2478" i="34"/>
  <c r="Y2478" i="34"/>
  <c r="Z2478" i="34"/>
  <c r="N2479" i="34"/>
  <c r="S2479" i="34"/>
  <c r="T2479" i="34"/>
  <c r="U2479" i="34"/>
  <c r="Y2479" i="34"/>
  <c r="Z2479" i="34"/>
  <c r="N2480" i="34"/>
  <c r="S2480" i="34"/>
  <c r="T2480" i="34"/>
  <c r="U2480" i="34"/>
  <c r="Y2480" i="34"/>
  <c r="Z2480" i="34"/>
  <c r="N2481" i="34"/>
  <c r="S2481" i="34"/>
  <c r="T2481" i="34"/>
  <c r="U2481" i="34"/>
  <c r="Y2481" i="34"/>
  <c r="Z2481" i="34"/>
  <c r="N2482" i="34"/>
  <c r="S2482" i="34"/>
  <c r="T2482" i="34"/>
  <c r="U2482" i="34"/>
  <c r="Y2482" i="34"/>
  <c r="Z2482" i="34"/>
  <c r="N2483" i="34"/>
  <c r="S2483" i="34"/>
  <c r="T2483" i="34"/>
  <c r="U2483" i="34"/>
  <c r="Y2483" i="34"/>
  <c r="Z2483" i="34"/>
  <c r="N2484" i="34"/>
  <c r="S2484" i="34"/>
  <c r="T2484" i="34"/>
  <c r="U2484" i="34"/>
  <c r="Y2484" i="34"/>
  <c r="Z2484" i="34"/>
  <c r="N2485" i="34"/>
  <c r="S2485" i="34"/>
  <c r="T2485" i="34"/>
  <c r="U2485" i="34"/>
  <c r="Y2485" i="34"/>
  <c r="Z2485" i="34"/>
  <c r="N2486" i="34"/>
  <c r="S2486" i="34"/>
  <c r="T2486" i="34"/>
  <c r="U2486" i="34"/>
  <c r="Y2486" i="34"/>
  <c r="Z2486" i="34"/>
  <c r="N2487" i="34"/>
  <c r="S2487" i="34"/>
  <c r="T2487" i="34"/>
  <c r="U2487" i="34"/>
  <c r="Y2487" i="34"/>
  <c r="Z2487" i="34"/>
  <c r="N2488" i="34"/>
  <c r="S2488" i="34"/>
  <c r="T2488" i="34"/>
  <c r="U2488" i="34"/>
  <c r="Y2488" i="34"/>
  <c r="Z2488" i="34"/>
  <c r="N2489" i="34"/>
  <c r="S2489" i="34"/>
  <c r="T2489" i="34"/>
  <c r="U2489" i="34"/>
  <c r="Y2489" i="34"/>
  <c r="Z2489" i="34"/>
  <c r="N2490" i="34"/>
  <c r="S2490" i="34"/>
  <c r="T2490" i="34"/>
  <c r="U2490" i="34"/>
  <c r="Y2490" i="34"/>
  <c r="Z2490" i="34"/>
  <c r="N2491" i="34"/>
  <c r="S2491" i="34"/>
  <c r="T2491" i="34"/>
  <c r="U2491" i="34"/>
  <c r="Y2491" i="34"/>
  <c r="Z2491" i="34"/>
  <c r="N2492" i="34"/>
  <c r="S2492" i="34"/>
  <c r="T2492" i="34"/>
  <c r="U2492" i="34"/>
  <c r="Y2492" i="34"/>
  <c r="Z2492" i="34"/>
  <c r="N2493" i="34"/>
  <c r="S2493" i="34"/>
  <c r="T2493" i="34"/>
  <c r="U2493" i="34"/>
  <c r="Y2493" i="34"/>
  <c r="Z2493" i="34"/>
  <c r="N2494" i="34"/>
  <c r="S2494" i="34"/>
  <c r="T2494" i="34"/>
  <c r="U2494" i="34"/>
  <c r="Y2494" i="34"/>
  <c r="Z2494" i="34"/>
  <c r="N2495" i="34"/>
  <c r="S2495" i="34"/>
  <c r="T2495" i="34"/>
  <c r="U2495" i="34"/>
  <c r="Y2495" i="34"/>
  <c r="Z2495" i="34"/>
  <c r="N2496" i="34"/>
  <c r="S2496" i="34"/>
  <c r="T2496" i="34"/>
  <c r="U2496" i="34"/>
  <c r="Y2496" i="34"/>
  <c r="Z2496" i="34"/>
  <c r="N2497" i="34"/>
  <c r="S2497" i="34"/>
  <c r="T2497" i="34"/>
  <c r="U2497" i="34"/>
  <c r="Y2497" i="34"/>
  <c r="Z2497" i="34"/>
  <c r="N2498" i="34"/>
  <c r="S2498" i="34"/>
  <c r="T2498" i="34"/>
  <c r="U2498" i="34"/>
  <c r="Y2498" i="34"/>
  <c r="Z2498" i="34"/>
  <c r="N2499" i="34"/>
  <c r="S2499" i="34"/>
  <c r="T2499" i="34"/>
  <c r="U2499" i="34"/>
  <c r="Y2499" i="34"/>
  <c r="Z2499" i="34"/>
  <c r="N2500" i="34"/>
  <c r="S2500" i="34"/>
  <c r="T2500" i="34"/>
  <c r="U2500" i="34"/>
  <c r="Y2500" i="34"/>
  <c r="Z2500" i="34"/>
  <c r="N2501" i="34"/>
  <c r="S2501" i="34"/>
  <c r="T2501" i="34"/>
  <c r="U2501" i="34"/>
  <c r="Y2501" i="34"/>
  <c r="Z2501" i="34"/>
  <c r="N2502" i="34"/>
  <c r="S2502" i="34"/>
  <c r="T2502" i="34"/>
  <c r="U2502" i="34"/>
  <c r="Y2502" i="34"/>
  <c r="Z2502" i="34"/>
  <c r="N2503" i="34"/>
  <c r="S2503" i="34"/>
  <c r="T2503" i="34"/>
  <c r="U2503" i="34"/>
  <c r="Y2503" i="34"/>
  <c r="Z2503" i="34"/>
  <c r="N2504" i="34"/>
  <c r="S2504" i="34"/>
  <c r="T2504" i="34"/>
  <c r="U2504" i="34"/>
  <c r="Y2504" i="34"/>
  <c r="Z2504" i="34"/>
  <c r="N2505" i="34"/>
  <c r="S2505" i="34"/>
  <c r="T2505" i="34"/>
  <c r="U2505" i="34"/>
  <c r="Y2505" i="34"/>
  <c r="Z2505" i="34"/>
  <c r="N2506" i="34"/>
  <c r="S2506" i="34"/>
  <c r="T2506" i="34"/>
  <c r="U2506" i="34"/>
  <c r="Y2506" i="34"/>
  <c r="Z2506" i="34"/>
  <c r="N2507" i="34"/>
  <c r="S2507" i="34"/>
  <c r="T2507" i="34"/>
  <c r="U2507" i="34"/>
  <c r="Y2507" i="34"/>
  <c r="Z2507" i="34"/>
  <c r="N2508" i="34"/>
  <c r="S2508" i="34"/>
  <c r="T2508" i="34"/>
  <c r="U2508" i="34"/>
  <c r="Y2508" i="34"/>
  <c r="Z2508" i="34"/>
  <c r="N2509" i="34"/>
  <c r="S2509" i="34"/>
  <c r="T2509" i="34"/>
  <c r="U2509" i="34"/>
  <c r="Y2509" i="34"/>
  <c r="Z2509" i="34"/>
  <c r="N2510" i="34"/>
  <c r="S2510" i="34"/>
  <c r="T2510" i="34"/>
  <c r="U2510" i="34"/>
  <c r="Y2510" i="34"/>
  <c r="Z2510" i="34"/>
  <c r="N2511" i="34"/>
  <c r="S2511" i="34"/>
  <c r="T2511" i="34"/>
  <c r="U2511" i="34"/>
  <c r="Y2511" i="34"/>
  <c r="Z2511" i="34"/>
  <c r="N2512" i="34"/>
  <c r="S2512" i="34"/>
  <c r="T2512" i="34"/>
  <c r="U2512" i="34"/>
  <c r="Y2512" i="34"/>
  <c r="Z2512" i="34"/>
  <c r="N2513" i="34"/>
  <c r="S2513" i="34"/>
  <c r="T2513" i="34"/>
  <c r="U2513" i="34"/>
  <c r="Y2513" i="34"/>
  <c r="Z2513" i="34"/>
  <c r="N2514" i="34"/>
  <c r="S2514" i="34"/>
  <c r="T2514" i="34"/>
  <c r="U2514" i="34"/>
  <c r="Y2514" i="34"/>
  <c r="Z2514" i="34"/>
  <c r="N2515" i="34"/>
  <c r="S2515" i="34"/>
  <c r="T2515" i="34"/>
  <c r="U2515" i="34"/>
  <c r="Y2515" i="34"/>
  <c r="Z2515" i="34"/>
  <c r="N2516" i="34"/>
  <c r="S2516" i="34"/>
  <c r="T2516" i="34"/>
  <c r="U2516" i="34"/>
  <c r="Y2516" i="34"/>
  <c r="Z2516" i="34"/>
  <c r="N2517" i="34"/>
  <c r="S2517" i="34"/>
  <c r="T2517" i="34"/>
  <c r="U2517" i="34"/>
  <c r="Y2517" i="34"/>
  <c r="Z2517" i="34"/>
  <c r="N2518" i="34"/>
  <c r="S2518" i="34"/>
  <c r="T2518" i="34"/>
  <c r="U2518" i="34"/>
  <c r="Y2518" i="34"/>
  <c r="Z2518" i="34"/>
  <c r="N2519" i="34"/>
  <c r="S2519" i="34"/>
  <c r="T2519" i="34"/>
  <c r="U2519" i="34"/>
  <c r="Y2519" i="34"/>
  <c r="Z2519" i="34"/>
  <c r="N2520" i="34"/>
  <c r="S2520" i="34"/>
  <c r="T2520" i="34"/>
  <c r="U2520" i="34"/>
  <c r="Y2520" i="34"/>
  <c r="Z2520" i="34"/>
  <c r="N2521" i="34"/>
  <c r="S2521" i="34"/>
  <c r="T2521" i="34"/>
  <c r="U2521" i="34"/>
  <c r="Y2521" i="34"/>
  <c r="Z2521" i="34"/>
  <c r="N2522" i="34"/>
  <c r="S2522" i="34"/>
  <c r="T2522" i="34"/>
  <c r="U2522" i="34"/>
  <c r="Y2522" i="34"/>
  <c r="Z2522" i="34"/>
  <c r="N2523" i="34"/>
  <c r="S2523" i="34"/>
  <c r="T2523" i="34"/>
  <c r="U2523" i="34"/>
  <c r="Y2523" i="34"/>
  <c r="Z2523" i="34"/>
  <c r="N2524" i="34"/>
  <c r="S2524" i="34"/>
  <c r="T2524" i="34"/>
  <c r="U2524" i="34"/>
  <c r="Y2524" i="34"/>
  <c r="Z2524" i="34"/>
  <c r="N2525" i="34"/>
  <c r="S2525" i="34"/>
  <c r="T2525" i="34"/>
  <c r="U2525" i="34"/>
  <c r="Y2525" i="34"/>
  <c r="Z2525" i="34"/>
  <c r="N2526" i="34"/>
  <c r="S2526" i="34"/>
  <c r="T2526" i="34"/>
  <c r="U2526" i="34"/>
  <c r="Y2526" i="34"/>
  <c r="Z2526" i="34"/>
  <c r="N2527" i="34"/>
  <c r="S2527" i="34"/>
  <c r="T2527" i="34"/>
  <c r="U2527" i="34"/>
  <c r="Y2527" i="34"/>
  <c r="Z2527" i="34"/>
  <c r="N2528" i="34"/>
  <c r="S2528" i="34"/>
  <c r="T2528" i="34"/>
  <c r="U2528" i="34"/>
  <c r="Y2528" i="34"/>
  <c r="Z2528" i="34"/>
  <c r="N2529" i="34"/>
  <c r="S2529" i="34"/>
  <c r="T2529" i="34"/>
  <c r="U2529" i="34"/>
  <c r="Y2529" i="34"/>
  <c r="Z2529" i="34"/>
  <c r="N2530" i="34"/>
  <c r="S2530" i="34"/>
  <c r="T2530" i="34"/>
  <c r="U2530" i="34"/>
  <c r="Y2530" i="34"/>
  <c r="Z2530" i="34"/>
  <c r="N2531" i="34"/>
  <c r="S2531" i="34"/>
  <c r="T2531" i="34"/>
  <c r="U2531" i="34"/>
  <c r="Y2531" i="34"/>
  <c r="Z2531" i="34"/>
  <c r="N2532" i="34"/>
  <c r="S2532" i="34"/>
  <c r="T2532" i="34"/>
  <c r="U2532" i="34"/>
  <c r="Y2532" i="34"/>
  <c r="Z2532" i="34"/>
  <c r="N2533" i="34"/>
  <c r="S2533" i="34"/>
  <c r="T2533" i="34"/>
  <c r="U2533" i="34"/>
  <c r="Y2533" i="34"/>
  <c r="Z2533" i="34"/>
  <c r="N2534" i="34"/>
  <c r="S2534" i="34"/>
  <c r="T2534" i="34"/>
  <c r="U2534" i="34"/>
  <c r="Y2534" i="34"/>
  <c r="Z2534" i="34"/>
  <c r="N2535" i="34"/>
  <c r="S2535" i="34"/>
  <c r="T2535" i="34"/>
  <c r="U2535" i="34"/>
  <c r="Y2535" i="34"/>
  <c r="Z2535" i="34"/>
  <c r="N2536" i="34"/>
  <c r="S2536" i="34"/>
  <c r="T2536" i="34"/>
  <c r="U2536" i="34"/>
  <c r="Y2536" i="34"/>
  <c r="Z2536" i="34"/>
  <c r="N2537" i="34"/>
  <c r="S2537" i="34"/>
  <c r="T2537" i="34"/>
  <c r="U2537" i="34"/>
  <c r="Y2537" i="34"/>
  <c r="Z2537" i="34"/>
  <c r="N2538" i="34"/>
  <c r="S2538" i="34"/>
  <c r="T2538" i="34"/>
  <c r="U2538" i="34"/>
  <c r="Y2538" i="34"/>
  <c r="Z2538" i="34"/>
  <c r="N2539" i="34"/>
  <c r="S2539" i="34"/>
  <c r="T2539" i="34"/>
  <c r="U2539" i="34"/>
  <c r="Y2539" i="34"/>
  <c r="Z2539" i="34"/>
  <c r="N2540" i="34"/>
  <c r="S2540" i="34"/>
  <c r="T2540" i="34"/>
  <c r="U2540" i="34"/>
  <c r="Y2540" i="34"/>
  <c r="Z2540" i="34"/>
  <c r="N2541" i="34"/>
  <c r="S2541" i="34"/>
  <c r="T2541" i="34"/>
  <c r="U2541" i="34"/>
  <c r="Y2541" i="34"/>
  <c r="Z2541" i="34"/>
  <c r="N2542" i="34"/>
  <c r="S2542" i="34"/>
  <c r="T2542" i="34"/>
  <c r="U2542" i="34"/>
  <c r="Y2542" i="34"/>
  <c r="Z2542" i="34"/>
  <c r="N2543" i="34"/>
  <c r="S2543" i="34"/>
  <c r="T2543" i="34"/>
  <c r="U2543" i="34"/>
  <c r="Y2543" i="34"/>
  <c r="Z2543" i="34"/>
  <c r="N2544" i="34"/>
  <c r="S2544" i="34"/>
  <c r="T2544" i="34"/>
  <c r="U2544" i="34"/>
  <c r="Y2544" i="34"/>
  <c r="Z2544" i="34"/>
  <c r="N2545" i="34"/>
  <c r="S2545" i="34"/>
  <c r="T2545" i="34"/>
  <c r="U2545" i="34"/>
  <c r="Y2545" i="34"/>
  <c r="Z2545" i="34"/>
  <c r="N2546" i="34"/>
  <c r="S2546" i="34"/>
  <c r="T2546" i="34"/>
  <c r="U2546" i="34"/>
  <c r="Y2546" i="34"/>
  <c r="Z2546" i="34"/>
  <c r="N2547" i="34"/>
  <c r="S2547" i="34"/>
  <c r="T2547" i="34"/>
  <c r="U2547" i="34"/>
  <c r="Y2547" i="34"/>
  <c r="Z2547" i="34"/>
  <c r="N2548" i="34"/>
  <c r="S2548" i="34"/>
  <c r="T2548" i="34"/>
  <c r="U2548" i="34"/>
  <c r="Y2548" i="34"/>
  <c r="Z2548" i="34"/>
  <c r="N2549" i="34"/>
  <c r="S2549" i="34"/>
  <c r="T2549" i="34"/>
  <c r="U2549" i="34"/>
  <c r="Y2549" i="34"/>
  <c r="Z2549" i="34"/>
  <c r="N2550" i="34"/>
  <c r="S2550" i="34"/>
  <c r="T2550" i="34"/>
  <c r="U2550" i="34"/>
  <c r="Y2550" i="34"/>
  <c r="Z2550" i="34"/>
  <c r="N2551" i="34"/>
  <c r="S2551" i="34"/>
  <c r="T2551" i="34"/>
  <c r="U2551" i="34"/>
  <c r="Y2551" i="34"/>
  <c r="Z2551" i="34"/>
  <c r="N2552" i="34"/>
  <c r="S2552" i="34"/>
  <c r="T2552" i="34"/>
  <c r="U2552" i="34"/>
  <c r="Y2552" i="34"/>
  <c r="Z2552" i="34"/>
  <c r="N2553" i="34"/>
  <c r="S2553" i="34"/>
  <c r="T2553" i="34"/>
  <c r="U2553" i="34"/>
  <c r="Y2553" i="34"/>
  <c r="Z2553" i="34"/>
  <c r="N2554" i="34"/>
  <c r="S2554" i="34"/>
  <c r="T2554" i="34"/>
  <c r="U2554" i="34"/>
  <c r="Y2554" i="34"/>
  <c r="Z2554" i="34"/>
  <c r="N2555" i="34"/>
  <c r="S2555" i="34"/>
  <c r="T2555" i="34"/>
  <c r="U2555" i="34"/>
  <c r="Y2555" i="34"/>
  <c r="Z2555" i="34"/>
  <c r="N2556" i="34"/>
  <c r="S2556" i="34"/>
  <c r="T2556" i="34"/>
  <c r="U2556" i="34"/>
  <c r="Y2556" i="34"/>
  <c r="Z2556" i="34"/>
  <c r="N2557" i="34"/>
  <c r="S2557" i="34"/>
  <c r="T2557" i="34"/>
  <c r="U2557" i="34"/>
  <c r="Y2557" i="34"/>
  <c r="Z2557" i="34"/>
  <c r="N2558" i="34"/>
  <c r="S2558" i="34"/>
  <c r="T2558" i="34"/>
  <c r="U2558" i="34"/>
  <c r="Y2558" i="34"/>
  <c r="Z2558" i="34"/>
  <c r="N2559" i="34"/>
  <c r="S2559" i="34"/>
  <c r="T2559" i="34"/>
  <c r="U2559" i="34"/>
  <c r="Y2559" i="34"/>
  <c r="Z2559" i="34"/>
  <c r="N2560" i="34"/>
  <c r="S2560" i="34"/>
  <c r="T2560" i="34"/>
  <c r="U2560" i="34"/>
  <c r="Y2560" i="34"/>
  <c r="Z2560" i="34"/>
  <c r="N2561" i="34"/>
  <c r="S2561" i="34"/>
  <c r="T2561" i="34"/>
  <c r="U2561" i="34"/>
  <c r="Y2561" i="34"/>
  <c r="Z2561" i="34"/>
  <c r="N2562" i="34"/>
  <c r="S2562" i="34"/>
  <c r="T2562" i="34"/>
  <c r="U2562" i="34"/>
  <c r="Y2562" i="34"/>
  <c r="Z2562" i="34"/>
  <c r="N2563" i="34"/>
  <c r="S2563" i="34"/>
  <c r="T2563" i="34"/>
  <c r="U2563" i="34"/>
  <c r="Y2563" i="34"/>
  <c r="Z2563" i="34"/>
  <c r="N2564" i="34"/>
  <c r="S2564" i="34"/>
  <c r="T2564" i="34"/>
  <c r="U2564" i="34"/>
  <c r="Y2564" i="34"/>
  <c r="Z2564" i="34"/>
  <c r="N2565" i="34"/>
  <c r="S2565" i="34"/>
  <c r="T2565" i="34"/>
  <c r="U2565" i="34"/>
  <c r="Y2565" i="34"/>
  <c r="Z2565" i="34"/>
  <c r="N2566" i="34"/>
  <c r="S2566" i="34"/>
  <c r="T2566" i="34"/>
  <c r="U2566" i="34"/>
  <c r="Y2566" i="34"/>
  <c r="Z2566" i="34"/>
  <c r="N2567" i="34"/>
  <c r="S2567" i="34"/>
  <c r="T2567" i="34"/>
  <c r="U2567" i="34"/>
  <c r="Y2567" i="34"/>
  <c r="Z2567" i="34"/>
  <c r="N2568" i="34"/>
  <c r="S2568" i="34"/>
  <c r="T2568" i="34"/>
  <c r="U2568" i="34"/>
  <c r="Y2568" i="34"/>
  <c r="Z2568" i="34"/>
  <c r="N2569" i="34"/>
  <c r="S2569" i="34"/>
  <c r="T2569" i="34"/>
  <c r="U2569" i="34"/>
  <c r="Y2569" i="34"/>
  <c r="Z2569" i="34"/>
  <c r="N2570" i="34"/>
  <c r="S2570" i="34"/>
  <c r="T2570" i="34"/>
  <c r="U2570" i="34"/>
  <c r="Y2570" i="34"/>
  <c r="Z2570" i="34"/>
  <c r="N2571" i="34"/>
  <c r="S2571" i="34"/>
  <c r="T2571" i="34"/>
  <c r="U2571" i="34"/>
  <c r="Y2571" i="34"/>
  <c r="Z2571" i="34"/>
  <c r="N2572" i="34"/>
  <c r="S2572" i="34"/>
  <c r="T2572" i="34"/>
  <c r="U2572" i="34"/>
  <c r="Y2572" i="34"/>
  <c r="Z2572" i="34"/>
  <c r="N2573" i="34"/>
  <c r="S2573" i="34"/>
  <c r="T2573" i="34"/>
  <c r="U2573" i="34"/>
  <c r="Y2573" i="34"/>
  <c r="Z2573" i="34"/>
  <c r="N2574" i="34"/>
  <c r="S2574" i="34"/>
  <c r="T2574" i="34"/>
  <c r="U2574" i="34"/>
  <c r="Y2574" i="34"/>
  <c r="Z2574" i="34"/>
  <c r="N2575" i="34"/>
  <c r="S2575" i="34"/>
  <c r="T2575" i="34"/>
  <c r="U2575" i="34"/>
  <c r="Y2575" i="34"/>
  <c r="Z2575" i="34"/>
  <c r="N2576" i="34"/>
  <c r="S2576" i="34"/>
  <c r="T2576" i="34"/>
  <c r="U2576" i="34"/>
  <c r="Y2576" i="34"/>
  <c r="Z2576" i="34"/>
  <c r="N2577" i="34"/>
  <c r="S2577" i="34"/>
  <c r="T2577" i="34"/>
  <c r="U2577" i="34"/>
  <c r="Y2577" i="34"/>
  <c r="Z2577" i="34"/>
  <c r="N2578" i="34"/>
  <c r="S2578" i="34"/>
  <c r="T2578" i="34"/>
  <c r="U2578" i="34"/>
  <c r="Y2578" i="34"/>
  <c r="Z2578" i="34"/>
  <c r="N2579" i="34"/>
  <c r="S2579" i="34"/>
  <c r="T2579" i="34"/>
  <c r="U2579" i="34"/>
  <c r="Y2579" i="34"/>
  <c r="Z2579" i="34"/>
  <c r="N2580" i="34"/>
  <c r="S2580" i="34"/>
  <c r="T2580" i="34"/>
  <c r="U2580" i="34"/>
  <c r="Y2580" i="34"/>
  <c r="Z2580" i="34"/>
  <c r="N2581" i="34"/>
  <c r="S2581" i="34"/>
  <c r="T2581" i="34"/>
  <c r="U2581" i="34"/>
  <c r="Y2581" i="34"/>
  <c r="Z2581" i="34"/>
  <c r="N2582" i="34"/>
  <c r="S2582" i="34"/>
  <c r="T2582" i="34"/>
  <c r="U2582" i="34"/>
  <c r="Y2582" i="34"/>
  <c r="Z2582" i="34"/>
  <c r="N2583" i="34"/>
  <c r="S2583" i="34"/>
  <c r="T2583" i="34"/>
  <c r="U2583" i="34"/>
  <c r="Y2583" i="34"/>
  <c r="Z2583" i="34"/>
  <c r="N2584" i="34"/>
  <c r="S2584" i="34"/>
  <c r="T2584" i="34"/>
  <c r="U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29" i="34" l="1"/>
  <c r="B2327" i="34"/>
  <c r="B1809" i="34"/>
  <c r="B1807" i="34"/>
  <c r="B1698" i="34"/>
  <c r="B1504" i="34"/>
  <c r="B1502" i="34"/>
  <c r="B1304" i="34"/>
  <c r="B880" i="34"/>
  <c r="A1304" i="34" l="1"/>
  <c r="AA1304" i="34"/>
  <c r="P1304" i="34"/>
  <c r="X1304" i="34"/>
  <c r="Q1304" i="34"/>
  <c r="R1304" i="34"/>
  <c r="V1304" i="34"/>
  <c r="A880" i="34"/>
  <c r="Q880" i="34"/>
  <c r="R880" i="34"/>
  <c r="V880" i="34"/>
  <c r="AA880" i="34"/>
  <c r="P880" i="34"/>
  <c r="X880" i="34"/>
  <c r="S2327" i="34"/>
  <c r="T2327" i="34"/>
  <c r="X2327" i="34"/>
  <c r="U2327" i="34"/>
  <c r="V2327" i="34"/>
  <c r="A2327" i="34"/>
  <c r="U2329" i="34"/>
  <c r="V2329" i="34"/>
  <c r="S2329" i="34"/>
  <c r="T2329" i="34"/>
  <c r="X2329" i="34"/>
  <c r="A2329" i="34"/>
  <c r="T1807" i="34"/>
  <c r="X1807" i="34"/>
  <c r="U1807" i="34"/>
  <c r="V1807" i="34"/>
  <c r="S1807" i="34"/>
  <c r="A1807" i="34"/>
  <c r="U1504" i="34"/>
  <c r="V1504" i="34"/>
  <c r="S1504" i="34"/>
  <c r="T1504" i="34"/>
  <c r="X1504" i="34"/>
  <c r="A1504" i="34"/>
  <c r="U1698" i="34"/>
  <c r="V1698" i="34"/>
  <c r="S1698" i="34"/>
  <c r="T1698" i="34"/>
  <c r="X1698" i="34"/>
  <c r="A1698" i="34"/>
  <c r="S1502" i="34"/>
  <c r="T1502" i="34"/>
  <c r="X1502" i="34"/>
  <c r="U1502" i="34"/>
  <c r="V1502" i="34"/>
  <c r="A1502" i="34"/>
  <c r="V1809" i="34"/>
  <c r="S1809" i="34"/>
  <c r="T1809" i="34"/>
  <c r="X1809" i="34"/>
  <c r="U1809" i="34"/>
  <c r="A1809" i="34"/>
  <c r="N2798" i="34"/>
  <c r="S2798" i="34"/>
  <c r="T2798" i="34"/>
  <c r="U2798" i="34"/>
  <c r="Y2798" i="34"/>
  <c r="Z2798" i="34"/>
  <c r="B2670" i="34"/>
  <c r="B1937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33" i="34"/>
  <c r="B929" i="34"/>
  <c r="B928" i="34"/>
  <c r="B927" i="34"/>
  <c r="B926" i="34"/>
  <c r="B925" i="34"/>
  <c r="B924" i="34"/>
  <c r="B923" i="34"/>
  <c r="B905" i="34"/>
  <c r="B1149" i="34"/>
  <c r="B1148" i="34"/>
  <c r="B1147" i="34"/>
  <c r="B1146" i="34"/>
  <c r="B1143" i="34"/>
  <c r="B1142" i="34"/>
  <c r="B1141" i="34"/>
  <c r="B1140" i="34"/>
  <c r="B1137" i="34"/>
  <c r="B1050" i="34"/>
  <c r="B1049" i="34"/>
  <c r="B1044" i="34"/>
  <c r="B1043" i="34"/>
  <c r="B1042" i="34"/>
  <c r="B1039" i="34"/>
  <c r="B1038" i="34"/>
  <c r="B1037" i="34"/>
  <c r="B1036" i="34"/>
  <c r="B1515" i="34"/>
  <c r="B1495" i="34"/>
  <c r="B1494" i="34"/>
  <c r="B1394" i="34"/>
  <c r="B1393" i="34"/>
  <c r="B1327" i="34"/>
  <c r="B1326" i="34"/>
  <c r="B1298" i="34"/>
  <c r="B1297" i="34"/>
  <c r="B1263" i="34"/>
  <c r="B1262" i="34"/>
  <c r="B1255" i="34"/>
  <c r="B1254" i="34"/>
  <c r="B1253" i="34"/>
  <c r="B1252" i="34"/>
  <c r="B1239" i="34"/>
  <c r="B1238" i="34"/>
  <c r="B1237" i="34"/>
  <c r="B1236" i="34"/>
  <c r="B1235" i="34"/>
  <c r="B1234" i="34"/>
  <c r="B1214" i="34"/>
  <c r="B1213" i="34"/>
  <c r="B1212" i="34"/>
  <c r="B1211" i="34"/>
  <c r="B1210" i="34"/>
  <c r="B1209" i="34"/>
  <c r="B1208" i="34"/>
  <c r="B1207" i="34"/>
  <c r="B1206" i="34"/>
  <c r="B1180" i="34"/>
  <c r="B1179" i="34"/>
  <c r="B1178" i="34"/>
  <c r="B1177" i="34"/>
  <c r="B1176" i="34"/>
  <c r="B1175" i="34"/>
  <c r="B1174" i="34"/>
  <c r="B1173" i="34"/>
  <c r="B1172" i="34"/>
  <c r="B978" i="34"/>
  <c r="B977" i="34"/>
  <c r="B976" i="34"/>
  <c r="B1656" i="34"/>
  <c r="B1655" i="34"/>
  <c r="B1654" i="34"/>
  <c r="B1636" i="34"/>
  <c r="B1635" i="34"/>
  <c r="B1634" i="34"/>
  <c r="B1633" i="34"/>
  <c r="B1632" i="34"/>
  <c r="B1631" i="34"/>
  <c r="B1630" i="34"/>
  <c r="B1629" i="34"/>
  <c r="B1628" i="34"/>
  <c r="B1607" i="34"/>
  <c r="B1606" i="34"/>
  <c r="B1605" i="34"/>
  <c r="B1604" i="34"/>
  <c r="B1603" i="34"/>
  <c r="B1602" i="34"/>
  <c r="B1601" i="34"/>
  <c r="B1600" i="34"/>
  <c r="B1599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58" i="34"/>
  <c r="B1557" i="34"/>
  <c r="B1523" i="34"/>
  <c r="B1522" i="34"/>
  <c r="B1521" i="34"/>
  <c r="B1520" i="34"/>
  <c r="B1519" i="34"/>
  <c r="B1518" i="34"/>
  <c r="B1517" i="34"/>
  <c r="B1516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63" i="34"/>
  <c r="B1362" i="34"/>
  <c r="B1361" i="34"/>
  <c r="B1360" i="34"/>
  <c r="B1359" i="34"/>
  <c r="B1358" i="34"/>
  <c r="B1357" i="34"/>
  <c r="B1356" i="34"/>
  <c r="B1355" i="34"/>
  <c r="B1336" i="34"/>
  <c r="B1335" i="34"/>
  <c r="B1334" i="34"/>
  <c r="B1333" i="34"/>
  <c r="B1332" i="34"/>
  <c r="B1331" i="34"/>
  <c r="B1330" i="34"/>
  <c r="B1329" i="34"/>
  <c r="B132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451" i="34"/>
  <c r="B1450" i="34"/>
  <c r="B1449" i="34"/>
  <c r="B1448" i="34"/>
  <c r="B1447" i="34"/>
  <c r="B1446" i="34"/>
  <c r="B1445" i="34"/>
  <c r="B1444" i="34"/>
  <c r="B1413" i="34"/>
  <c r="B1412" i="34"/>
  <c r="B1411" i="34"/>
  <c r="B1410" i="34"/>
  <c r="A49" i="70"/>
  <c r="B484" i="34"/>
  <c r="P1411" i="34" l="1"/>
  <c r="X1411" i="34"/>
  <c r="Q1411" i="34"/>
  <c r="R1411" i="34"/>
  <c r="V1411" i="34"/>
  <c r="AA1411" i="34"/>
  <c r="AA1356" i="34"/>
  <c r="P1356" i="34"/>
  <c r="X1356" i="34"/>
  <c r="Q1356" i="34"/>
  <c r="R1356" i="34"/>
  <c r="V1356" i="34"/>
  <c r="R1405" i="34"/>
  <c r="V1405" i="34"/>
  <c r="AA1405" i="34"/>
  <c r="P1405" i="34"/>
  <c r="X1405" i="34"/>
  <c r="Q1405" i="34"/>
  <c r="A484" i="34"/>
  <c r="R484" i="34"/>
  <c r="V484" i="34"/>
  <c r="AA484" i="34"/>
  <c r="P484" i="34"/>
  <c r="X484" i="34"/>
  <c r="Q484" i="34"/>
  <c r="Q1450" i="34"/>
  <c r="R1450" i="34"/>
  <c r="V1450" i="34"/>
  <c r="AA1450" i="34"/>
  <c r="P1450" i="34"/>
  <c r="X1450" i="34"/>
  <c r="A1335" i="34"/>
  <c r="P1335" i="34"/>
  <c r="X1335" i="34"/>
  <c r="Q1335" i="34"/>
  <c r="R1335" i="34"/>
  <c r="V1335" i="34"/>
  <c r="AA1335" i="34"/>
  <c r="Q1410" i="34"/>
  <c r="R1410" i="34"/>
  <c r="V1410" i="34"/>
  <c r="AA1410" i="34"/>
  <c r="P1410" i="34"/>
  <c r="X1410" i="34"/>
  <c r="AA1444" i="34"/>
  <c r="P1444" i="34"/>
  <c r="X1444" i="34"/>
  <c r="Q1444" i="34"/>
  <c r="R1444" i="34"/>
  <c r="V1444" i="34"/>
  <c r="AA1448" i="34"/>
  <c r="P1448" i="34"/>
  <c r="X1448" i="34"/>
  <c r="Q1448" i="34"/>
  <c r="R1448" i="34"/>
  <c r="V1448" i="34"/>
  <c r="A1329" i="34"/>
  <c r="R1329" i="34"/>
  <c r="V1329" i="34"/>
  <c r="AA1329" i="34"/>
  <c r="P1329" i="34"/>
  <c r="X1329" i="34"/>
  <c r="Q1329" i="34"/>
  <c r="A1333" i="34"/>
  <c r="R1333" i="34"/>
  <c r="V1333" i="34"/>
  <c r="AA1333" i="34"/>
  <c r="P1333" i="34"/>
  <c r="X1333" i="34"/>
  <c r="Q1333" i="34"/>
  <c r="A1355" i="34"/>
  <c r="P1355" i="34"/>
  <c r="X1355" i="34"/>
  <c r="Q1355" i="34"/>
  <c r="R1355" i="34"/>
  <c r="V1355" i="34"/>
  <c r="AA1355" i="34"/>
  <c r="P1359" i="34"/>
  <c r="X1359" i="34"/>
  <c r="Q1359" i="34"/>
  <c r="R1359" i="34"/>
  <c r="V1359" i="34"/>
  <c r="AA1359" i="34"/>
  <c r="P1363" i="34"/>
  <c r="X1363" i="34"/>
  <c r="Q1363" i="34"/>
  <c r="R1363" i="34"/>
  <c r="V1363" i="34"/>
  <c r="AA1363" i="34"/>
  <c r="AA1400" i="34"/>
  <c r="P1400" i="34"/>
  <c r="X1400" i="34"/>
  <c r="Q1400" i="34"/>
  <c r="R1400" i="34"/>
  <c r="V1400" i="34"/>
  <c r="AA1404" i="34"/>
  <c r="P1404" i="34"/>
  <c r="X1404" i="34"/>
  <c r="Q1404" i="34"/>
  <c r="R1404" i="34"/>
  <c r="V1404" i="34"/>
  <c r="AA1408" i="34"/>
  <c r="P1408" i="34"/>
  <c r="X1408" i="34"/>
  <c r="Q1408" i="34"/>
  <c r="R1408" i="34"/>
  <c r="V1408" i="34"/>
  <c r="A976" i="34"/>
  <c r="AA976" i="34"/>
  <c r="P976" i="34"/>
  <c r="X976" i="34"/>
  <c r="Q976" i="34"/>
  <c r="R976" i="34"/>
  <c r="V976" i="34"/>
  <c r="A1173" i="34"/>
  <c r="P1173" i="34"/>
  <c r="X1173" i="34"/>
  <c r="Q1173" i="34"/>
  <c r="R1173" i="34"/>
  <c r="V1173" i="34"/>
  <c r="AA1173" i="34"/>
  <c r="A1177" i="34"/>
  <c r="P1177" i="34"/>
  <c r="X1177" i="34"/>
  <c r="Q1177" i="34"/>
  <c r="R1177" i="34"/>
  <c r="V1177" i="34"/>
  <c r="AA1177" i="34"/>
  <c r="A1206" i="34"/>
  <c r="AA1206" i="34"/>
  <c r="P1206" i="34"/>
  <c r="X1206" i="34"/>
  <c r="Q1206" i="34"/>
  <c r="R1206" i="34"/>
  <c r="V1206" i="34"/>
  <c r="A1210" i="34"/>
  <c r="AA1210" i="34"/>
  <c r="P1210" i="34"/>
  <c r="X1210" i="34"/>
  <c r="Q1210" i="34"/>
  <c r="R1210" i="34"/>
  <c r="V1210" i="34"/>
  <c r="A1214" i="34"/>
  <c r="AA1214" i="34"/>
  <c r="P1214" i="34"/>
  <c r="X1214" i="34"/>
  <c r="Q1214" i="34"/>
  <c r="R1214" i="34"/>
  <c r="V1214" i="34"/>
  <c r="A1237" i="34"/>
  <c r="R1237" i="34"/>
  <c r="V1237" i="34"/>
  <c r="AA1237" i="34"/>
  <c r="P1237" i="34"/>
  <c r="X1237" i="34"/>
  <c r="Q1237" i="34"/>
  <c r="A1253" i="34"/>
  <c r="R1253" i="34"/>
  <c r="V1253" i="34"/>
  <c r="AA1253" i="34"/>
  <c r="P1253" i="34"/>
  <c r="X1253" i="34"/>
  <c r="Q1253" i="34"/>
  <c r="A1263" i="34"/>
  <c r="P1263" i="34"/>
  <c r="X1263" i="34"/>
  <c r="Q1263" i="34"/>
  <c r="R1263" i="34"/>
  <c r="V1263" i="34"/>
  <c r="AA1263" i="34"/>
  <c r="A1327" i="34"/>
  <c r="P1327" i="34"/>
  <c r="X1327" i="34"/>
  <c r="Q1327" i="34"/>
  <c r="R1327" i="34"/>
  <c r="V1327" i="34"/>
  <c r="AA1327" i="34"/>
  <c r="A1038" i="34"/>
  <c r="P1038" i="34"/>
  <c r="X1038" i="34"/>
  <c r="Q1038" i="34"/>
  <c r="R1038" i="34"/>
  <c r="V1038" i="34"/>
  <c r="AA1038" i="34"/>
  <c r="A1044" i="34"/>
  <c r="R1044" i="34"/>
  <c r="V1044" i="34"/>
  <c r="AA1044" i="34"/>
  <c r="P1044" i="34"/>
  <c r="X1044" i="34"/>
  <c r="Q1044" i="34"/>
  <c r="A1140" i="34"/>
  <c r="P1140" i="34"/>
  <c r="X1140" i="34"/>
  <c r="Q1140" i="34"/>
  <c r="R1140" i="34"/>
  <c r="V1140" i="34"/>
  <c r="AA1140" i="34"/>
  <c r="A1146" i="34"/>
  <c r="R1146" i="34"/>
  <c r="V1146" i="34"/>
  <c r="AA1146" i="34"/>
  <c r="P1146" i="34"/>
  <c r="X1146" i="34"/>
  <c r="Q1146" i="34"/>
  <c r="A905" i="34"/>
  <c r="Q905" i="34"/>
  <c r="R905" i="34"/>
  <c r="V905" i="34"/>
  <c r="AA905" i="34"/>
  <c r="P905" i="34"/>
  <c r="X905" i="34"/>
  <c r="A926" i="34"/>
  <c r="Q926" i="34"/>
  <c r="R926" i="34"/>
  <c r="V926" i="34"/>
  <c r="AA926" i="34"/>
  <c r="P926" i="34"/>
  <c r="X926" i="34"/>
  <c r="A933" i="34"/>
  <c r="R933" i="34"/>
  <c r="V933" i="34"/>
  <c r="AA933" i="34"/>
  <c r="P933" i="34"/>
  <c r="X933" i="34"/>
  <c r="Q933" i="34"/>
  <c r="A964" i="34"/>
  <c r="AA964" i="34"/>
  <c r="P964" i="34"/>
  <c r="X964" i="34"/>
  <c r="Q964" i="34"/>
  <c r="R964" i="34"/>
  <c r="V964" i="34"/>
  <c r="A968" i="34"/>
  <c r="AA968" i="34"/>
  <c r="P968" i="34"/>
  <c r="X968" i="34"/>
  <c r="Q968" i="34"/>
  <c r="R968" i="34"/>
  <c r="V968" i="34"/>
  <c r="A972" i="34"/>
  <c r="AA972" i="34"/>
  <c r="P972" i="34"/>
  <c r="X972" i="34"/>
  <c r="Q972" i="34"/>
  <c r="R972" i="34"/>
  <c r="V972" i="34"/>
  <c r="AA1360" i="34"/>
  <c r="P1360" i="34"/>
  <c r="X1360" i="34"/>
  <c r="Q1360" i="34"/>
  <c r="R1360" i="34"/>
  <c r="V1360" i="34"/>
  <c r="A977" i="34"/>
  <c r="R977" i="34"/>
  <c r="V977" i="34"/>
  <c r="AA977" i="34"/>
  <c r="P977" i="34"/>
  <c r="X977" i="34"/>
  <c r="Q977" i="34"/>
  <c r="A1174" i="34"/>
  <c r="AA1174" i="34"/>
  <c r="P1174" i="34"/>
  <c r="X1174" i="34"/>
  <c r="Q1174" i="34"/>
  <c r="R1174" i="34"/>
  <c r="V1174" i="34"/>
  <c r="A1178" i="34"/>
  <c r="AA1178" i="34"/>
  <c r="P1178" i="34"/>
  <c r="X1178" i="34"/>
  <c r="Q1178" i="34"/>
  <c r="R1178" i="34"/>
  <c r="V1178" i="34"/>
  <c r="A1207" i="34"/>
  <c r="R1207" i="34"/>
  <c r="V1207" i="34"/>
  <c r="AA1207" i="34"/>
  <c r="P1207" i="34"/>
  <c r="X1207" i="34"/>
  <c r="Q1207" i="34"/>
  <c r="A1211" i="34"/>
  <c r="R1211" i="34"/>
  <c r="V1211" i="34"/>
  <c r="AA1211" i="34"/>
  <c r="P1211" i="34"/>
  <c r="X1211" i="34"/>
  <c r="Q1211" i="34"/>
  <c r="A1234" i="34"/>
  <c r="Q1234" i="34"/>
  <c r="R1234" i="34"/>
  <c r="V1234" i="34"/>
  <c r="AA1234" i="34"/>
  <c r="P1234" i="34"/>
  <c r="X1234" i="34"/>
  <c r="A1238" i="34"/>
  <c r="Q1238" i="34"/>
  <c r="R1238" i="34"/>
  <c r="V1238" i="34"/>
  <c r="AA1238" i="34"/>
  <c r="P1238" i="34"/>
  <c r="X1238" i="34"/>
  <c r="A1254" i="34"/>
  <c r="Q1254" i="34"/>
  <c r="R1254" i="34"/>
  <c r="V1254" i="34"/>
  <c r="AA1254" i="34"/>
  <c r="P1254" i="34"/>
  <c r="X1254" i="34"/>
  <c r="A1297" i="34"/>
  <c r="R1297" i="34"/>
  <c r="V1297" i="34"/>
  <c r="AA1297" i="34"/>
  <c r="P1297" i="34"/>
  <c r="X1297" i="34"/>
  <c r="Q1297" i="34"/>
  <c r="R1393" i="34"/>
  <c r="V1393" i="34"/>
  <c r="AA1393" i="34"/>
  <c r="P1393" i="34"/>
  <c r="X1393" i="34"/>
  <c r="Q1393" i="34"/>
  <c r="A1039" i="34"/>
  <c r="AA1039" i="34"/>
  <c r="P1039" i="34"/>
  <c r="X1039" i="34"/>
  <c r="Q1039" i="34"/>
  <c r="R1039" i="34"/>
  <c r="V1039" i="34"/>
  <c r="A1049" i="34"/>
  <c r="Q1049" i="34"/>
  <c r="R1049" i="34"/>
  <c r="V1049" i="34"/>
  <c r="AA1049" i="34"/>
  <c r="P1049" i="34"/>
  <c r="X1049" i="34"/>
  <c r="A1141" i="34"/>
  <c r="AA1141" i="34"/>
  <c r="P1141" i="34"/>
  <c r="X1141" i="34"/>
  <c r="Q1141" i="34"/>
  <c r="R1141" i="34"/>
  <c r="V1141" i="34"/>
  <c r="A1147" i="34"/>
  <c r="Q1147" i="34"/>
  <c r="R1147" i="34"/>
  <c r="V1147" i="34"/>
  <c r="AA1147" i="34"/>
  <c r="P1147" i="34"/>
  <c r="X1147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61" i="34"/>
  <c r="R961" i="34"/>
  <c r="V961" i="34"/>
  <c r="AA961" i="34"/>
  <c r="P961" i="34"/>
  <c r="X961" i="34"/>
  <c r="Q961" i="34"/>
  <c r="A965" i="34"/>
  <c r="R965" i="34"/>
  <c r="V965" i="34"/>
  <c r="AA965" i="34"/>
  <c r="P965" i="34"/>
  <c r="X965" i="34"/>
  <c r="Q965" i="34"/>
  <c r="A969" i="34"/>
  <c r="R969" i="34"/>
  <c r="V969" i="34"/>
  <c r="AA969" i="34"/>
  <c r="P969" i="34"/>
  <c r="X969" i="34"/>
  <c r="Q969" i="34"/>
  <c r="A973" i="34"/>
  <c r="R973" i="34"/>
  <c r="V973" i="34"/>
  <c r="AA973" i="34"/>
  <c r="P973" i="34"/>
  <c r="X973" i="34"/>
  <c r="Q973" i="34"/>
  <c r="R1449" i="34"/>
  <c r="V1449" i="34"/>
  <c r="AA1449" i="34"/>
  <c r="P1449" i="34"/>
  <c r="X1449" i="34"/>
  <c r="Q1449" i="34"/>
  <c r="A1330" i="34"/>
  <c r="Q1330" i="34"/>
  <c r="R1330" i="34"/>
  <c r="V1330" i="34"/>
  <c r="AA1330" i="34"/>
  <c r="P1330" i="34"/>
  <c r="X1330" i="34"/>
  <c r="A1334" i="34"/>
  <c r="Q1334" i="34"/>
  <c r="R1334" i="34"/>
  <c r="V1334" i="34"/>
  <c r="AA1334" i="34"/>
  <c r="P1334" i="34"/>
  <c r="X1334" i="34"/>
  <c r="R1401" i="34"/>
  <c r="V1401" i="34"/>
  <c r="AA1401" i="34"/>
  <c r="P1401" i="34"/>
  <c r="X1401" i="34"/>
  <c r="Q1401" i="34"/>
  <c r="R1409" i="34"/>
  <c r="V1409" i="34"/>
  <c r="AA1409" i="34"/>
  <c r="P1409" i="34"/>
  <c r="X1409" i="34"/>
  <c r="Q1409" i="34"/>
  <c r="AA1412" i="34"/>
  <c r="P1412" i="34"/>
  <c r="X1412" i="34"/>
  <c r="Q1412" i="34"/>
  <c r="R1412" i="34"/>
  <c r="V1412" i="34"/>
  <c r="A1331" i="34"/>
  <c r="P1331" i="34"/>
  <c r="X1331" i="34"/>
  <c r="Q1331" i="34"/>
  <c r="R1331" i="34"/>
  <c r="V1331" i="34"/>
  <c r="AA1331" i="34"/>
  <c r="R1361" i="34"/>
  <c r="V1361" i="34"/>
  <c r="AA1361" i="34"/>
  <c r="P1361" i="34"/>
  <c r="X1361" i="34"/>
  <c r="Q1361" i="34"/>
  <c r="Q1398" i="34"/>
  <c r="R1398" i="34"/>
  <c r="V1398" i="34"/>
  <c r="AA1398" i="34"/>
  <c r="P1398" i="34"/>
  <c r="X1398" i="34"/>
  <c r="Q1402" i="34"/>
  <c r="R1402" i="34"/>
  <c r="V1402" i="34"/>
  <c r="AA1402" i="34"/>
  <c r="P1402" i="34"/>
  <c r="X1402" i="34"/>
  <c r="Q1406" i="34"/>
  <c r="R1406" i="34"/>
  <c r="V1406" i="34"/>
  <c r="AA1406" i="34"/>
  <c r="P1406" i="34"/>
  <c r="X1406" i="34"/>
  <c r="A978" i="34"/>
  <c r="Q978" i="34"/>
  <c r="R978" i="34"/>
  <c r="V978" i="34"/>
  <c r="AA978" i="34"/>
  <c r="P978" i="34"/>
  <c r="X978" i="34"/>
  <c r="A1175" i="34"/>
  <c r="R1175" i="34"/>
  <c r="V1175" i="34"/>
  <c r="AA1175" i="34"/>
  <c r="P1175" i="34"/>
  <c r="X1175" i="34"/>
  <c r="Q1175" i="34"/>
  <c r="A1179" i="34"/>
  <c r="R1179" i="34"/>
  <c r="V1179" i="34"/>
  <c r="AA1179" i="34"/>
  <c r="P1179" i="34"/>
  <c r="X1179" i="34"/>
  <c r="Q1179" i="34"/>
  <c r="A1208" i="34"/>
  <c r="Q1208" i="34"/>
  <c r="R1208" i="34"/>
  <c r="V1208" i="34"/>
  <c r="AA1208" i="34"/>
  <c r="P1208" i="34"/>
  <c r="X1208" i="34"/>
  <c r="A1212" i="34"/>
  <c r="Q1212" i="34"/>
  <c r="R1212" i="34"/>
  <c r="V1212" i="34"/>
  <c r="AA1212" i="34"/>
  <c r="P1212" i="34"/>
  <c r="X1212" i="34"/>
  <c r="A1235" i="34"/>
  <c r="P1235" i="34"/>
  <c r="X1235" i="34"/>
  <c r="Q1235" i="34"/>
  <c r="R1235" i="34"/>
  <c r="V1235" i="34"/>
  <c r="AA1235" i="34"/>
  <c r="A1239" i="34"/>
  <c r="P1239" i="34"/>
  <c r="X1239" i="34"/>
  <c r="Q1239" i="34"/>
  <c r="R1239" i="34"/>
  <c r="V1239" i="34"/>
  <c r="AA1239" i="34"/>
  <c r="A1255" i="34"/>
  <c r="P1255" i="34"/>
  <c r="X1255" i="34"/>
  <c r="Q1255" i="34"/>
  <c r="R1255" i="34"/>
  <c r="V1255" i="34"/>
  <c r="AA1255" i="34"/>
  <c r="A1298" i="34"/>
  <c r="Q1298" i="34"/>
  <c r="R1298" i="34"/>
  <c r="V1298" i="34"/>
  <c r="AA1298" i="34"/>
  <c r="P1298" i="34"/>
  <c r="X1298" i="34"/>
  <c r="Q1394" i="34"/>
  <c r="R1394" i="34"/>
  <c r="V1394" i="34"/>
  <c r="AA1394" i="34"/>
  <c r="P1394" i="34"/>
  <c r="X1394" i="34"/>
  <c r="A1036" i="34"/>
  <c r="R1036" i="34"/>
  <c r="V1036" i="34"/>
  <c r="AA1036" i="34"/>
  <c r="P1036" i="34"/>
  <c r="X1036" i="34"/>
  <c r="Q1036" i="34"/>
  <c r="A1042" i="34"/>
  <c r="P1042" i="34"/>
  <c r="X1042" i="34"/>
  <c r="Q1042" i="34"/>
  <c r="R1042" i="34"/>
  <c r="V1042" i="34"/>
  <c r="AA1042" i="34"/>
  <c r="A1050" i="34"/>
  <c r="P1050" i="34"/>
  <c r="X1050" i="34"/>
  <c r="Q1050" i="34"/>
  <c r="R1050" i="34"/>
  <c r="V1050" i="34"/>
  <c r="AA1050" i="34"/>
  <c r="A1142" i="34"/>
  <c r="R1142" i="34"/>
  <c r="V1142" i="34"/>
  <c r="AA1142" i="34"/>
  <c r="P1142" i="34"/>
  <c r="X1142" i="34"/>
  <c r="Q1142" i="34"/>
  <c r="A1148" i="34"/>
  <c r="P1148" i="34"/>
  <c r="X1148" i="34"/>
  <c r="Q1148" i="34"/>
  <c r="R1148" i="34"/>
  <c r="V1148" i="34"/>
  <c r="AA1148" i="34"/>
  <c r="A924" i="34"/>
  <c r="AA924" i="34"/>
  <c r="P924" i="34"/>
  <c r="X924" i="34"/>
  <c r="Q924" i="34"/>
  <c r="R924" i="34"/>
  <c r="V924" i="34"/>
  <c r="A928" i="34"/>
  <c r="AA928" i="34"/>
  <c r="P928" i="34"/>
  <c r="X928" i="34"/>
  <c r="Q928" i="34"/>
  <c r="R928" i="34"/>
  <c r="V928" i="34"/>
  <c r="A962" i="34"/>
  <c r="Q962" i="34"/>
  <c r="R962" i="34"/>
  <c r="V962" i="34"/>
  <c r="AA962" i="34"/>
  <c r="P962" i="34"/>
  <c r="X962" i="34"/>
  <c r="A966" i="34"/>
  <c r="Q966" i="34"/>
  <c r="R966" i="34"/>
  <c r="V966" i="34"/>
  <c r="AA966" i="34"/>
  <c r="P966" i="34"/>
  <c r="X966" i="34"/>
  <c r="A970" i="34"/>
  <c r="Q970" i="34"/>
  <c r="R970" i="34"/>
  <c r="V970" i="34"/>
  <c r="AA970" i="34"/>
  <c r="P970" i="34"/>
  <c r="X970" i="34"/>
  <c r="A974" i="34"/>
  <c r="Q974" i="34"/>
  <c r="R974" i="34"/>
  <c r="V974" i="34"/>
  <c r="AA974" i="34"/>
  <c r="P974" i="34"/>
  <c r="X974" i="34"/>
  <c r="R1445" i="34"/>
  <c r="V1445" i="34"/>
  <c r="AA1445" i="34"/>
  <c r="P1445" i="34"/>
  <c r="X1445" i="34"/>
  <c r="Q1445" i="34"/>
  <c r="R1397" i="34"/>
  <c r="V1397" i="34"/>
  <c r="AA1397" i="34"/>
  <c r="P1397" i="34"/>
  <c r="X1397" i="34"/>
  <c r="Q1397" i="34"/>
  <c r="Q1446" i="34"/>
  <c r="R1446" i="34"/>
  <c r="V1446" i="34"/>
  <c r="AA1446" i="34"/>
  <c r="P1446" i="34"/>
  <c r="X1446" i="34"/>
  <c r="R1357" i="34"/>
  <c r="V1357" i="34"/>
  <c r="AA1357" i="34"/>
  <c r="P1357" i="34"/>
  <c r="X1357" i="34"/>
  <c r="Q1357" i="34"/>
  <c r="R1413" i="34"/>
  <c r="V1413" i="34"/>
  <c r="AA1413" i="34"/>
  <c r="P1413" i="34"/>
  <c r="X1413" i="34"/>
  <c r="Q1413" i="34"/>
  <c r="P1447" i="34"/>
  <c r="X1447" i="34"/>
  <c r="Q1447" i="34"/>
  <c r="R1447" i="34"/>
  <c r="V1447" i="34"/>
  <c r="AA1447" i="34"/>
  <c r="P1451" i="34"/>
  <c r="X1451" i="34"/>
  <c r="Q1451" i="34"/>
  <c r="R1451" i="34"/>
  <c r="V1451" i="34"/>
  <c r="AA1451" i="34"/>
  <c r="A1328" i="34"/>
  <c r="AA1328" i="34"/>
  <c r="P1328" i="34"/>
  <c r="X1328" i="34"/>
  <c r="Q1328" i="34"/>
  <c r="R1328" i="34"/>
  <c r="V1328" i="34"/>
  <c r="A1332" i="34"/>
  <c r="AA1332" i="34"/>
  <c r="P1332" i="34"/>
  <c r="X1332" i="34"/>
  <c r="Q1332" i="34"/>
  <c r="R1332" i="34"/>
  <c r="V1332" i="34"/>
  <c r="A1336" i="34"/>
  <c r="AA1336" i="34"/>
  <c r="P1336" i="34"/>
  <c r="X1336" i="34"/>
  <c r="Q1336" i="34"/>
  <c r="R1336" i="34"/>
  <c r="V1336" i="34"/>
  <c r="Q1358" i="34"/>
  <c r="R1358" i="34"/>
  <c r="V1358" i="34"/>
  <c r="AA1358" i="34"/>
  <c r="P1358" i="34"/>
  <c r="X1358" i="34"/>
  <c r="Q1362" i="34"/>
  <c r="R1362" i="34"/>
  <c r="V1362" i="34"/>
  <c r="AA1362" i="34"/>
  <c r="P1362" i="34"/>
  <c r="X1362" i="34"/>
  <c r="P1399" i="34"/>
  <c r="X1399" i="34"/>
  <c r="Q1399" i="34"/>
  <c r="R1399" i="34"/>
  <c r="V1399" i="34"/>
  <c r="AA1399" i="34"/>
  <c r="P1403" i="34"/>
  <c r="X1403" i="34"/>
  <c r="Q1403" i="34"/>
  <c r="R1403" i="34"/>
  <c r="V1403" i="34"/>
  <c r="AA1403" i="34"/>
  <c r="P1407" i="34"/>
  <c r="X1407" i="34"/>
  <c r="Q1407" i="34"/>
  <c r="R1407" i="34"/>
  <c r="V1407" i="34"/>
  <c r="AA1407" i="34"/>
  <c r="A1172" i="34"/>
  <c r="Q1172" i="34"/>
  <c r="R1172" i="34"/>
  <c r="V1172" i="34"/>
  <c r="AA1172" i="34"/>
  <c r="P1172" i="34"/>
  <c r="X1172" i="34"/>
  <c r="A1176" i="34"/>
  <c r="Q1176" i="34"/>
  <c r="R1176" i="34"/>
  <c r="V1176" i="34"/>
  <c r="AA1176" i="34"/>
  <c r="P1176" i="34"/>
  <c r="X1176" i="34"/>
  <c r="A1180" i="34"/>
  <c r="Q1180" i="34"/>
  <c r="R1180" i="34"/>
  <c r="V1180" i="34"/>
  <c r="AA1180" i="34"/>
  <c r="P1180" i="34"/>
  <c r="X1180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236" i="34"/>
  <c r="AA1236" i="34"/>
  <c r="P1236" i="34"/>
  <c r="X1236" i="34"/>
  <c r="Q1236" i="34"/>
  <c r="R1236" i="34"/>
  <c r="V1236" i="34"/>
  <c r="A1252" i="34"/>
  <c r="AA1252" i="34"/>
  <c r="P1252" i="34"/>
  <c r="X1252" i="34"/>
  <c r="Q1252" i="34"/>
  <c r="R1252" i="34"/>
  <c r="V1252" i="34"/>
  <c r="A1262" i="34"/>
  <c r="Q1262" i="34"/>
  <c r="R1262" i="34"/>
  <c r="V1262" i="34"/>
  <c r="AA1262" i="34"/>
  <c r="P1262" i="34"/>
  <c r="X1262" i="34"/>
  <c r="A1326" i="34"/>
  <c r="Q1326" i="34"/>
  <c r="R1326" i="34"/>
  <c r="V1326" i="34"/>
  <c r="AA1326" i="34"/>
  <c r="P1326" i="34"/>
  <c r="X1326" i="34"/>
  <c r="A1037" i="34"/>
  <c r="Q1037" i="34"/>
  <c r="R1037" i="34"/>
  <c r="V1037" i="34"/>
  <c r="AA1037" i="34"/>
  <c r="P1037" i="34"/>
  <c r="X1037" i="34"/>
  <c r="A1043" i="34"/>
  <c r="AA1043" i="34"/>
  <c r="P1043" i="34"/>
  <c r="X1043" i="34"/>
  <c r="Q1043" i="34"/>
  <c r="R1043" i="34"/>
  <c r="V1043" i="34"/>
  <c r="A1137" i="34"/>
  <c r="AA1137" i="34"/>
  <c r="P1137" i="34"/>
  <c r="X1137" i="34"/>
  <c r="Q1137" i="34"/>
  <c r="R1137" i="34"/>
  <c r="V1137" i="34"/>
  <c r="A1143" i="34"/>
  <c r="Q1143" i="34"/>
  <c r="R1143" i="34"/>
  <c r="V1143" i="34"/>
  <c r="AA1143" i="34"/>
  <c r="P1143" i="34"/>
  <c r="X1143" i="34"/>
  <c r="A1149" i="34"/>
  <c r="AA1149" i="34"/>
  <c r="P1149" i="34"/>
  <c r="X1149" i="34"/>
  <c r="Q1149" i="34"/>
  <c r="R1149" i="34"/>
  <c r="V1149" i="34"/>
  <c r="A925" i="34"/>
  <c r="R925" i="34"/>
  <c r="V925" i="34"/>
  <c r="AA925" i="34"/>
  <c r="P925" i="34"/>
  <c r="X925" i="34"/>
  <c r="Q925" i="34"/>
  <c r="A929" i="34"/>
  <c r="R929" i="34"/>
  <c r="V929" i="34"/>
  <c r="AA929" i="34"/>
  <c r="P929" i="34"/>
  <c r="X929" i="34"/>
  <c r="Q929" i="34"/>
  <c r="A963" i="34"/>
  <c r="P963" i="34"/>
  <c r="X963" i="34"/>
  <c r="Q963" i="34"/>
  <c r="R963" i="34"/>
  <c r="V963" i="34"/>
  <c r="AA963" i="34"/>
  <c r="A967" i="34"/>
  <c r="P967" i="34"/>
  <c r="X967" i="34"/>
  <c r="Q967" i="34"/>
  <c r="R967" i="34"/>
  <c r="V967" i="34"/>
  <c r="AA967" i="34"/>
  <c r="A971" i="34"/>
  <c r="P971" i="34"/>
  <c r="X971" i="34"/>
  <c r="Q971" i="34"/>
  <c r="R971" i="34"/>
  <c r="V971" i="34"/>
  <c r="AA971" i="34"/>
  <c r="A975" i="34"/>
  <c r="P975" i="34"/>
  <c r="X975" i="34"/>
  <c r="Q975" i="34"/>
  <c r="R975" i="34"/>
  <c r="V975" i="34"/>
  <c r="AA975" i="34"/>
  <c r="A1413" i="34"/>
  <c r="A1451" i="34"/>
  <c r="X1660" i="34"/>
  <c r="V1660" i="34"/>
  <c r="A1660" i="34"/>
  <c r="X1664" i="34"/>
  <c r="V1664" i="34"/>
  <c r="A1664" i="34"/>
  <c r="A1358" i="34"/>
  <c r="A1362" i="34"/>
  <c r="A1399" i="34"/>
  <c r="A1403" i="34"/>
  <c r="A1407" i="34"/>
  <c r="X1517" i="34"/>
  <c r="V1517" i="34"/>
  <c r="A1517" i="34"/>
  <c r="X1521" i="34"/>
  <c r="V1521" i="34"/>
  <c r="A1521" i="34"/>
  <c r="V1558" i="34"/>
  <c r="X1558" i="34"/>
  <c r="A1558" i="34"/>
  <c r="V1573" i="34"/>
  <c r="X1573" i="34"/>
  <c r="A1573" i="34"/>
  <c r="V1577" i="34"/>
  <c r="X1577" i="34"/>
  <c r="A1577" i="34"/>
  <c r="X1599" i="34"/>
  <c r="V1599" i="34"/>
  <c r="A1599" i="34"/>
  <c r="X1603" i="34"/>
  <c r="V1603" i="34"/>
  <c r="A1603" i="34"/>
  <c r="X1607" i="34"/>
  <c r="V1607" i="34"/>
  <c r="A1607" i="34"/>
  <c r="X1631" i="34"/>
  <c r="V1631" i="34"/>
  <c r="A1631" i="34"/>
  <c r="X1635" i="34"/>
  <c r="V1635" i="34"/>
  <c r="A1635" i="34"/>
  <c r="X1656" i="34"/>
  <c r="V1656" i="34"/>
  <c r="A1656" i="34"/>
  <c r="X1494" i="34"/>
  <c r="V1494" i="34"/>
  <c r="A1494" i="34"/>
  <c r="X2670" i="34"/>
  <c r="V2670" i="34"/>
  <c r="A2670" i="34"/>
  <c r="A1412" i="34"/>
  <c r="A1447" i="34"/>
  <c r="A1410" i="34"/>
  <c r="A1444" i="34"/>
  <c r="A1448" i="34"/>
  <c r="V1657" i="34"/>
  <c r="X1657" i="34"/>
  <c r="A1657" i="34"/>
  <c r="V1661" i="34"/>
  <c r="X1661" i="34"/>
  <c r="A1661" i="34"/>
  <c r="V1665" i="34"/>
  <c r="X1665" i="34"/>
  <c r="A1665" i="34"/>
  <c r="A1359" i="34"/>
  <c r="A1363" i="34"/>
  <c r="A1400" i="34"/>
  <c r="A1404" i="34"/>
  <c r="A1408" i="34"/>
  <c r="X1518" i="34"/>
  <c r="V1518" i="34"/>
  <c r="A1518" i="34"/>
  <c r="X1522" i="34"/>
  <c r="V1522" i="34"/>
  <c r="A1522" i="34"/>
  <c r="V1570" i="34"/>
  <c r="X1570" i="34"/>
  <c r="A1570" i="34"/>
  <c r="V1574" i="34"/>
  <c r="X1574" i="34"/>
  <c r="A1574" i="34"/>
  <c r="V1578" i="34"/>
  <c r="X1578" i="34"/>
  <c r="A1578" i="34"/>
  <c r="X1600" i="34"/>
  <c r="V1600" i="34"/>
  <c r="A1600" i="34"/>
  <c r="X1604" i="34"/>
  <c r="V1604" i="34"/>
  <c r="A1604" i="34"/>
  <c r="X1628" i="34"/>
  <c r="V1628" i="34"/>
  <c r="A1628" i="34"/>
  <c r="X1632" i="34"/>
  <c r="V1632" i="34"/>
  <c r="A1632" i="34"/>
  <c r="X1636" i="34"/>
  <c r="V1636" i="34"/>
  <c r="A1636" i="34"/>
  <c r="V1495" i="34"/>
  <c r="X1495" i="34"/>
  <c r="A1495" i="34"/>
  <c r="A1411" i="34"/>
  <c r="A1445" i="34"/>
  <c r="A1449" i="34"/>
  <c r="V1658" i="34"/>
  <c r="X1658" i="34"/>
  <c r="A1658" i="34"/>
  <c r="V1662" i="34"/>
  <c r="X1662" i="34"/>
  <c r="A1662" i="34"/>
  <c r="V1666" i="34"/>
  <c r="X1666" i="34"/>
  <c r="A1666" i="34"/>
  <c r="A1356" i="34"/>
  <c r="A1360" i="34"/>
  <c r="A1397" i="34"/>
  <c r="A1401" i="34"/>
  <c r="A1405" i="34"/>
  <c r="A1409" i="34"/>
  <c r="V1519" i="34"/>
  <c r="X1519" i="34"/>
  <c r="A1519" i="34"/>
  <c r="V1523" i="34"/>
  <c r="X1523" i="34"/>
  <c r="A1523" i="34"/>
  <c r="X1571" i="34"/>
  <c r="V1571" i="34"/>
  <c r="A1571" i="34"/>
  <c r="X1575" i="34"/>
  <c r="V1575" i="34"/>
  <c r="A1575" i="34"/>
  <c r="X1579" i="34"/>
  <c r="V1579" i="34"/>
  <c r="A1579" i="34"/>
  <c r="V1601" i="34"/>
  <c r="X1601" i="34"/>
  <c r="A1601" i="34"/>
  <c r="V1605" i="34"/>
  <c r="X1605" i="34"/>
  <c r="A1605" i="34"/>
  <c r="V1629" i="34"/>
  <c r="X1629" i="34"/>
  <c r="A1629" i="34"/>
  <c r="V1633" i="34"/>
  <c r="X1633" i="34"/>
  <c r="A1633" i="34"/>
  <c r="V1654" i="34"/>
  <c r="X1654" i="34"/>
  <c r="A1654" i="34"/>
  <c r="A1393" i="34"/>
  <c r="V1515" i="34"/>
  <c r="X1515" i="34"/>
  <c r="A1515" i="34"/>
  <c r="A1446" i="34"/>
  <c r="A1450" i="34"/>
  <c r="X1659" i="34"/>
  <c r="V1659" i="34"/>
  <c r="A1659" i="34"/>
  <c r="X1663" i="34"/>
  <c r="V1663" i="34"/>
  <c r="A1663" i="34"/>
  <c r="X1667" i="34"/>
  <c r="V1667" i="34"/>
  <c r="A1667" i="34"/>
  <c r="A1357" i="34"/>
  <c r="A1361" i="34"/>
  <c r="A1398" i="34"/>
  <c r="A1402" i="34"/>
  <c r="A1406" i="34"/>
  <c r="V1516" i="34"/>
  <c r="X1516" i="34"/>
  <c r="A1516" i="34"/>
  <c r="V1520" i="34"/>
  <c r="X1520" i="34"/>
  <c r="A1520" i="34"/>
  <c r="V1557" i="34"/>
  <c r="X1557" i="34"/>
  <c r="A1557" i="34"/>
  <c r="X1572" i="34"/>
  <c r="V1572" i="34"/>
  <c r="A1572" i="34"/>
  <c r="X1576" i="34"/>
  <c r="V1576" i="34"/>
  <c r="A1576" i="34"/>
  <c r="X1580" i="34"/>
  <c r="V1580" i="34"/>
  <c r="A1580" i="34"/>
  <c r="V1602" i="34"/>
  <c r="X1602" i="34"/>
  <c r="A1602" i="34"/>
  <c r="V1606" i="34"/>
  <c r="X1606" i="34"/>
  <c r="A1606" i="34"/>
  <c r="V1630" i="34"/>
  <c r="X1630" i="34"/>
  <c r="A1630" i="34"/>
  <c r="V1634" i="34"/>
  <c r="X1634" i="34"/>
  <c r="A1634" i="34"/>
  <c r="X1655" i="34"/>
  <c r="V1655" i="34"/>
  <c r="A1655" i="34"/>
  <c r="A1394" i="34"/>
  <c r="V1937" i="34"/>
  <c r="X1937" i="34"/>
  <c r="A1937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33" i="34"/>
  <c r="B99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A798" i="34" l="1"/>
  <c r="S798" i="34"/>
  <c r="AA798" i="34"/>
  <c r="P798" i="34"/>
  <c r="T798" i="34"/>
  <c r="X798" i="34"/>
  <c r="Q798" i="34"/>
  <c r="U798" i="34"/>
  <c r="R798" i="34"/>
  <c r="V798" i="34"/>
  <c r="A764" i="34"/>
  <c r="R764" i="34"/>
  <c r="V764" i="34"/>
  <c r="S764" i="34"/>
  <c r="AA764" i="34"/>
  <c r="P764" i="34"/>
  <c r="T764" i="34"/>
  <c r="X764" i="34"/>
  <c r="Q764" i="34"/>
  <c r="U764" i="34"/>
  <c r="A784" i="34"/>
  <c r="R784" i="34"/>
  <c r="V784" i="34"/>
  <c r="S784" i="34"/>
  <c r="AA784" i="34"/>
  <c r="P784" i="34"/>
  <c r="T784" i="34"/>
  <c r="X784" i="34"/>
  <c r="Q784" i="34"/>
  <c r="U784" i="34"/>
  <c r="A795" i="34"/>
  <c r="R795" i="34"/>
  <c r="V795" i="34"/>
  <c r="S795" i="34"/>
  <c r="AA795" i="34"/>
  <c r="P795" i="34"/>
  <c r="T795" i="34"/>
  <c r="X795" i="34"/>
  <c r="Q795" i="34"/>
  <c r="U795" i="34"/>
  <c r="A799" i="34"/>
  <c r="R799" i="34"/>
  <c r="V799" i="34"/>
  <c r="S799" i="34"/>
  <c r="AA799" i="34"/>
  <c r="P799" i="34"/>
  <c r="T799" i="34"/>
  <c r="X799" i="34"/>
  <c r="Q799" i="34"/>
  <c r="U799" i="34"/>
  <c r="A803" i="34"/>
  <c r="R803" i="34"/>
  <c r="V803" i="34"/>
  <c r="S803" i="34"/>
  <c r="AA803" i="34"/>
  <c r="P803" i="34"/>
  <c r="T803" i="34"/>
  <c r="X803" i="34"/>
  <c r="Q803" i="34"/>
  <c r="U803" i="34"/>
  <c r="A749" i="34"/>
  <c r="Q749" i="34"/>
  <c r="U749" i="34"/>
  <c r="R749" i="34"/>
  <c r="V749" i="34"/>
  <c r="S749" i="34"/>
  <c r="AA749" i="34"/>
  <c r="P749" i="34"/>
  <c r="T749" i="34"/>
  <c r="X749" i="34"/>
  <c r="A753" i="34"/>
  <c r="Q753" i="34"/>
  <c r="U753" i="34"/>
  <c r="R753" i="34"/>
  <c r="V753" i="34"/>
  <c r="S753" i="34"/>
  <c r="AA753" i="34"/>
  <c r="P753" i="34"/>
  <c r="T753" i="34"/>
  <c r="X753" i="34"/>
  <c r="A757" i="34"/>
  <c r="Q757" i="34"/>
  <c r="U757" i="34"/>
  <c r="R757" i="34"/>
  <c r="V757" i="34"/>
  <c r="S757" i="34"/>
  <c r="AA757" i="34"/>
  <c r="P757" i="34"/>
  <c r="T757" i="34"/>
  <c r="X757" i="34"/>
  <c r="A761" i="34"/>
  <c r="Q761" i="34"/>
  <c r="U761" i="34"/>
  <c r="R761" i="34"/>
  <c r="V761" i="34"/>
  <c r="S761" i="34"/>
  <c r="AA761" i="34"/>
  <c r="P761" i="34"/>
  <c r="T761" i="34"/>
  <c r="X761" i="34"/>
  <c r="A765" i="34"/>
  <c r="Q765" i="34"/>
  <c r="U765" i="34"/>
  <c r="R765" i="34"/>
  <c r="V765" i="34"/>
  <c r="S765" i="34"/>
  <c r="AA765" i="34"/>
  <c r="P765" i="34"/>
  <c r="T765" i="34"/>
  <c r="X765" i="34"/>
  <c r="A769" i="34"/>
  <c r="Q769" i="34"/>
  <c r="U769" i="34"/>
  <c r="R769" i="34"/>
  <c r="V769" i="34"/>
  <c r="S769" i="34"/>
  <c r="AA769" i="34"/>
  <c r="P769" i="34"/>
  <c r="T769" i="34"/>
  <c r="X769" i="34"/>
  <c r="A773" i="34"/>
  <c r="Q773" i="34"/>
  <c r="U773" i="34"/>
  <c r="R773" i="34"/>
  <c r="V773" i="34"/>
  <c r="S773" i="34"/>
  <c r="AA773" i="34"/>
  <c r="P773" i="34"/>
  <c r="T773" i="34"/>
  <c r="X773" i="34"/>
  <c r="A777" i="34"/>
  <c r="Q777" i="34"/>
  <c r="U777" i="34"/>
  <c r="R777" i="34"/>
  <c r="V777" i="34"/>
  <c r="S777" i="34"/>
  <c r="AA777" i="34"/>
  <c r="P777" i="34"/>
  <c r="T777" i="34"/>
  <c r="X777" i="34"/>
  <c r="A781" i="34"/>
  <c r="Q781" i="34"/>
  <c r="U781" i="34"/>
  <c r="R781" i="34"/>
  <c r="V781" i="34"/>
  <c r="S781" i="34"/>
  <c r="AA781" i="34"/>
  <c r="P781" i="34"/>
  <c r="T781" i="34"/>
  <c r="X781" i="34"/>
  <c r="A785" i="34"/>
  <c r="Q785" i="34"/>
  <c r="U785" i="34"/>
  <c r="R785" i="34"/>
  <c r="V785" i="34"/>
  <c r="S785" i="34"/>
  <c r="AA785" i="34"/>
  <c r="P785" i="34"/>
  <c r="T785" i="34"/>
  <c r="X785" i="34"/>
  <c r="A789" i="34"/>
  <c r="Q789" i="34"/>
  <c r="U789" i="34"/>
  <c r="R789" i="34"/>
  <c r="V789" i="34"/>
  <c r="S789" i="34"/>
  <c r="AA789" i="34"/>
  <c r="P789" i="34"/>
  <c r="T789" i="34"/>
  <c r="X789" i="34"/>
  <c r="A384" i="34"/>
  <c r="Q384" i="34"/>
  <c r="R384" i="34"/>
  <c r="V384" i="34"/>
  <c r="AA384" i="34"/>
  <c r="P384" i="34"/>
  <c r="X384" i="34"/>
  <c r="A388" i="34"/>
  <c r="Q388" i="34"/>
  <c r="R388" i="34"/>
  <c r="V388" i="34"/>
  <c r="AA388" i="34"/>
  <c r="P388" i="34"/>
  <c r="X388" i="34"/>
  <c r="A488" i="34"/>
  <c r="R488" i="34"/>
  <c r="V488" i="34"/>
  <c r="AA488" i="34"/>
  <c r="P488" i="34"/>
  <c r="X488" i="34"/>
  <c r="Q488" i="34"/>
  <c r="A717" i="34"/>
  <c r="Q717" i="34"/>
  <c r="U717" i="34"/>
  <c r="R717" i="34"/>
  <c r="V717" i="34"/>
  <c r="S717" i="34"/>
  <c r="AA717" i="34"/>
  <c r="P717" i="34"/>
  <c r="T717" i="34"/>
  <c r="X717" i="34"/>
  <c r="A721" i="34"/>
  <c r="Q721" i="34"/>
  <c r="U721" i="34"/>
  <c r="R721" i="34"/>
  <c r="V721" i="34"/>
  <c r="S721" i="34"/>
  <c r="AA721" i="34"/>
  <c r="P721" i="34"/>
  <c r="T721" i="34"/>
  <c r="X721" i="34"/>
  <c r="A725" i="34"/>
  <c r="Q725" i="34"/>
  <c r="U725" i="34"/>
  <c r="R725" i="34"/>
  <c r="V725" i="34"/>
  <c r="S725" i="34"/>
  <c r="AA725" i="34"/>
  <c r="P725" i="34"/>
  <c r="T725" i="34"/>
  <c r="X725" i="34"/>
  <c r="A729" i="34"/>
  <c r="Q729" i="34"/>
  <c r="U729" i="34"/>
  <c r="R729" i="34"/>
  <c r="V729" i="34"/>
  <c r="S729" i="34"/>
  <c r="AA729" i="34"/>
  <c r="P729" i="34"/>
  <c r="T729" i="34"/>
  <c r="X729" i="34"/>
  <c r="A733" i="34"/>
  <c r="Q733" i="34"/>
  <c r="U733" i="34"/>
  <c r="R733" i="34"/>
  <c r="V733" i="34"/>
  <c r="S733" i="34"/>
  <c r="AA733" i="34"/>
  <c r="P733" i="34"/>
  <c r="T733" i="34"/>
  <c r="X733" i="34"/>
  <c r="A737" i="34"/>
  <c r="Q737" i="34"/>
  <c r="U737" i="34"/>
  <c r="R737" i="34"/>
  <c r="V737" i="34"/>
  <c r="S737" i="34"/>
  <c r="AA737" i="34"/>
  <c r="P737" i="34"/>
  <c r="T737" i="34"/>
  <c r="X737" i="34"/>
  <c r="A741" i="34"/>
  <c r="Q741" i="34"/>
  <c r="U741" i="34"/>
  <c r="R741" i="34"/>
  <c r="V741" i="34"/>
  <c r="S741" i="34"/>
  <c r="AA741" i="34"/>
  <c r="P741" i="34"/>
  <c r="T741" i="34"/>
  <c r="X741" i="34"/>
  <c r="A745" i="34"/>
  <c r="Q745" i="34"/>
  <c r="U745" i="34"/>
  <c r="R745" i="34"/>
  <c r="V745" i="34"/>
  <c r="S745" i="34"/>
  <c r="AA745" i="34"/>
  <c r="P745" i="34"/>
  <c r="T745" i="34"/>
  <c r="X745" i="34"/>
  <c r="A340" i="34"/>
  <c r="Q340" i="34"/>
  <c r="R340" i="34"/>
  <c r="V340" i="34"/>
  <c r="AA340" i="34"/>
  <c r="P340" i="34"/>
  <c r="X340" i="34"/>
  <c r="A344" i="34"/>
  <c r="Q344" i="34"/>
  <c r="R344" i="34"/>
  <c r="V344" i="34"/>
  <c r="AA344" i="34"/>
  <c r="P344" i="34"/>
  <c r="X344" i="34"/>
  <c r="A348" i="34"/>
  <c r="Q348" i="34"/>
  <c r="R348" i="34"/>
  <c r="V348" i="34"/>
  <c r="AA348" i="34"/>
  <c r="P348" i="34"/>
  <c r="X348" i="34"/>
  <c r="A352" i="34"/>
  <c r="Q352" i="34"/>
  <c r="R352" i="34"/>
  <c r="V352" i="34"/>
  <c r="AA352" i="34"/>
  <c r="P352" i="34"/>
  <c r="X352" i="34"/>
  <c r="A356" i="34"/>
  <c r="Q356" i="34"/>
  <c r="R356" i="34"/>
  <c r="V356" i="34"/>
  <c r="AA356" i="34"/>
  <c r="P356" i="34"/>
  <c r="X356" i="34"/>
  <c r="A360" i="34"/>
  <c r="Q360" i="34"/>
  <c r="R360" i="34"/>
  <c r="V360" i="34"/>
  <c r="AA360" i="34"/>
  <c r="P360" i="34"/>
  <c r="X360" i="34"/>
  <c r="A364" i="34"/>
  <c r="Q364" i="34"/>
  <c r="R364" i="34"/>
  <c r="V364" i="34"/>
  <c r="AA364" i="34"/>
  <c r="P364" i="34"/>
  <c r="X364" i="34"/>
  <c r="A368" i="34"/>
  <c r="Q368" i="34"/>
  <c r="R368" i="34"/>
  <c r="V368" i="34"/>
  <c r="AA368" i="34"/>
  <c r="P368" i="34"/>
  <c r="X368" i="34"/>
  <c r="A372" i="34"/>
  <c r="Q372" i="34"/>
  <c r="R372" i="34"/>
  <c r="V372" i="34"/>
  <c r="AA372" i="34"/>
  <c r="P372" i="34"/>
  <c r="X372" i="34"/>
  <c r="A376" i="34"/>
  <c r="Q376" i="34"/>
  <c r="R376" i="34"/>
  <c r="V376" i="34"/>
  <c r="AA376" i="34"/>
  <c r="P376" i="34"/>
  <c r="X376" i="34"/>
  <c r="A380" i="34"/>
  <c r="Q380" i="34"/>
  <c r="R380" i="34"/>
  <c r="V380" i="34"/>
  <c r="AA380" i="34"/>
  <c r="P380" i="34"/>
  <c r="X380" i="34"/>
  <c r="A498" i="34"/>
  <c r="P498" i="34"/>
  <c r="X498" i="34"/>
  <c r="Q498" i="34"/>
  <c r="R498" i="34"/>
  <c r="V498" i="34"/>
  <c r="AA498" i="34"/>
  <c r="A230" i="34"/>
  <c r="Q230" i="34"/>
  <c r="R230" i="34"/>
  <c r="V230" i="34"/>
  <c r="AA230" i="34"/>
  <c r="P230" i="34"/>
  <c r="X230" i="34"/>
  <c r="A234" i="34"/>
  <c r="Q234" i="34"/>
  <c r="R234" i="34"/>
  <c r="V234" i="34"/>
  <c r="AA234" i="34"/>
  <c r="P234" i="34"/>
  <c r="X234" i="34"/>
  <c r="A238" i="34"/>
  <c r="Q238" i="34"/>
  <c r="R238" i="34"/>
  <c r="V238" i="34"/>
  <c r="AA238" i="34"/>
  <c r="P238" i="34"/>
  <c r="X238" i="34"/>
  <c r="A242" i="34"/>
  <c r="Q242" i="34"/>
  <c r="R242" i="34"/>
  <c r="V242" i="34"/>
  <c r="AA242" i="34"/>
  <c r="P242" i="34"/>
  <c r="X242" i="34"/>
  <c r="A246" i="34"/>
  <c r="Q246" i="34"/>
  <c r="R246" i="34"/>
  <c r="V246" i="34"/>
  <c r="AA246" i="34"/>
  <c r="P246" i="34"/>
  <c r="X246" i="34"/>
  <c r="A250" i="34"/>
  <c r="Q250" i="34"/>
  <c r="R250" i="34"/>
  <c r="V250" i="34"/>
  <c r="AA250" i="34"/>
  <c r="P250" i="34"/>
  <c r="X250" i="34"/>
  <c r="A254" i="34"/>
  <c r="Q254" i="34"/>
  <c r="R254" i="34"/>
  <c r="V254" i="34"/>
  <c r="AA254" i="34"/>
  <c r="P254" i="34"/>
  <c r="X254" i="34"/>
  <c r="A258" i="34"/>
  <c r="Q258" i="34"/>
  <c r="R258" i="34"/>
  <c r="V258" i="34"/>
  <c r="AA258" i="34"/>
  <c r="P258" i="34"/>
  <c r="X258" i="34"/>
  <c r="A262" i="34"/>
  <c r="Q262" i="34"/>
  <c r="R262" i="34"/>
  <c r="V262" i="34"/>
  <c r="AA262" i="34"/>
  <c r="P262" i="34"/>
  <c r="X262" i="34"/>
  <c r="A266" i="34"/>
  <c r="Q266" i="34"/>
  <c r="R266" i="34"/>
  <c r="V266" i="34"/>
  <c r="AA266" i="34"/>
  <c r="P266" i="34"/>
  <c r="X266" i="34"/>
  <c r="A802" i="34"/>
  <c r="S802" i="34"/>
  <c r="AA802" i="34"/>
  <c r="P802" i="34"/>
  <c r="T802" i="34"/>
  <c r="X802" i="34"/>
  <c r="Q802" i="34"/>
  <c r="U802" i="34"/>
  <c r="R802" i="34"/>
  <c r="V802" i="34"/>
  <c r="A760" i="34"/>
  <c r="R760" i="34"/>
  <c r="V760" i="34"/>
  <c r="S760" i="34"/>
  <c r="AA760" i="34"/>
  <c r="P760" i="34"/>
  <c r="T760" i="34"/>
  <c r="X760" i="34"/>
  <c r="Q760" i="34"/>
  <c r="U760" i="34"/>
  <c r="A776" i="34"/>
  <c r="R776" i="34"/>
  <c r="V776" i="34"/>
  <c r="S776" i="34"/>
  <c r="AA776" i="34"/>
  <c r="P776" i="34"/>
  <c r="T776" i="34"/>
  <c r="X776" i="34"/>
  <c r="Q776" i="34"/>
  <c r="U776" i="34"/>
  <c r="A792" i="34"/>
  <c r="R792" i="34"/>
  <c r="V792" i="34"/>
  <c r="S792" i="34"/>
  <c r="AA792" i="34"/>
  <c r="P792" i="34"/>
  <c r="T792" i="34"/>
  <c r="X792" i="34"/>
  <c r="Q792" i="34"/>
  <c r="U792" i="34"/>
  <c r="A796" i="34"/>
  <c r="Q796" i="34"/>
  <c r="U796" i="34"/>
  <c r="R796" i="34"/>
  <c r="V796" i="34"/>
  <c r="S796" i="34"/>
  <c r="AA796" i="34"/>
  <c r="P796" i="34"/>
  <c r="T796" i="34"/>
  <c r="X796" i="34"/>
  <c r="A800" i="34"/>
  <c r="Q800" i="34"/>
  <c r="U800" i="34"/>
  <c r="R800" i="34"/>
  <c r="V800" i="34"/>
  <c r="S800" i="34"/>
  <c r="AA800" i="34"/>
  <c r="P800" i="34"/>
  <c r="T800" i="34"/>
  <c r="X800" i="34"/>
  <c r="A996" i="34"/>
  <c r="R996" i="34"/>
  <c r="V996" i="34"/>
  <c r="AA996" i="34"/>
  <c r="P996" i="34"/>
  <c r="X996" i="34"/>
  <c r="Q996" i="34"/>
  <c r="A750" i="34"/>
  <c r="P750" i="34"/>
  <c r="T750" i="34"/>
  <c r="X750" i="34"/>
  <c r="Q750" i="34"/>
  <c r="U750" i="34"/>
  <c r="R750" i="34"/>
  <c r="V750" i="34"/>
  <c r="S750" i="34"/>
  <c r="AA750" i="34"/>
  <c r="A754" i="34"/>
  <c r="P754" i="34"/>
  <c r="T754" i="34"/>
  <c r="X754" i="34"/>
  <c r="Q754" i="34"/>
  <c r="U754" i="34"/>
  <c r="R754" i="34"/>
  <c r="V754" i="34"/>
  <c r="S754" i="34"/>
  <c r="AA754" i="34"/>
  <c r="A758" i="34"/>
  <c r="P758" i="34"/>
  <c r="T758" i="34"/>
  <c r="X758" i="34"/>
  <c r="Q758" i="34"/>
  <c r="U758" i="34"/>
  <c r="R758" i="34"/>
  <c r="V758" i="34"/>
  <c r="S758" i="34"/>
  <c r="AA758" i="34"/>
  <c r="A762" i="34"/>
  <c r="P762" i="34"/>
  <c r="T762" i="34"/>
  <c r="X762" i="34"/>
  <c r="Q762" i="34"/>
  <c r="U762" i="34"/>
  <c r="R762" i="34"/>
  <c r="V762" i="34"/>
  <c r="S762" i="34"/>
  <c r="AA762" i="34"/>
  <c r="A766" i="34"/>
  <c r="P766" i="34"/>
  <c r="T766" i="34"/>
  <c r="X766" i="34"/>
  <c r="Q766" i="34"/>
  <c r="U766" i="34"/>
  <c r="R766" i="34"/>
  <c r="V766" i="34"/>
  <c r="S766" i="34"/>
  <c r="AA766" i="34"/>
  <c r="A770" i="34"/>
  <c r="P770" i="34"/>
  <c r="T770" i="34"/>
  <c r="X770" i="34"/>
  <c r="Q770" i="34"/>
  <c r="U770" i="34"/>
  <c r="R770" i="34"/>
  <c r="V770" i="34"/>
  <c r="S770" i="34"/>
  <c r="AA770" i="34"/>
  <c r="A774" i="34"/>
  <c r="P774" i="34"/>
  <c r="T774" i="34"/>
  <c r="X774" i="34"/>
  <c r="Q774" i="34"/>
  <c r="U774" i="34"/>
  <c r="R774" i="34"/>
  <c r="V774" i="34"/>
  <c r="S774" i="34"/>
  <c r="AA774" i="34"/>
  <c r="A778" i="34"/>
  <c r="P778" i="34"/>
  <c r="T778" i="34"/>
  <c r="X778" i="34"/>
  <c r="Q778" i="34"/>
  <c r="U778" i="34"/>
  <c r="R778" i="34"/>
  <c r="V778" i="34"/>
  <c r="S778" i="34"/>
  <c r="AA778" i="34"/>
  <c r="A782" i="34"/>
  <c r="P782" i="34"/>
  <c r="T782" i="34"/>
  <c r="X782" i="34"/>
  <c r="Q782" i="34"/>
  <c r="U782" i="34"/>
  <c r="R782" i="34"/>
  <c r="V782" i="34"/>
  <c r="S782" i="34"/>
  <c r="AA782" i="34"/>
  <c r="A786" i="34"/>
  <c r="P786" i="34"/>
  <c r="T786" i="34"/>
  <c r="X786" i="34"/>
  <c r="Q786" i="34"/>
  <c r="U786" i="34"/>
  <c r="R786" i="34"/>
  <c r="V786" i="34"/>
  <c r="S786" i="34"/>
  <c r="AA786" i="34"/>
  <c r="A790" i="34"/>
  <c r="P790" i="34"/>
  <c r="T790" i="34"/>
  <c r="X790" i="34"/>
  <c r="Q790" i="34"/>
  <c r="U790" i="34"/>
  <c r="R790" i="34"/>
  <c r="V790" i="34"/>
  <c r="S790" i="34"/>
  <c r="AA790" i="34"/>
  <c r="A385" i="34"/>
  <c r="P385" i="34"/>
  <c r="X385" i="34"/>
  <c r="Q385" i="34"/>
  <c r="R385" i="34"/>
  <c r="V385" i="34"/>
  <c r="AA385" i="34"/>
  <c r="A485" i="34"/>
  <c r="Q485" i="34"/>
  <c r="R485" i="34"/>
  <c r="V485" i="34"/>
  <c r="AA485" i="34"/>
  <c r="P485" i="34"/>
  <c r="X485" i="34"/>
  <c r="A489" i="34"/>
  <c r="Q489" i="34"/>
  <c r="R489" i="34"/>
  <c r="V489" i="34"/>
  <c r="AA489" i="34"/>
  <c r="P489" i="34"/>
  <c r="X489" i="34"/>
  <c r="A718" i="34"/>
  <c r="P718" i="34"/>
  <c r="T718" i="34"/>
  <c r="X718" i="34"/>
  <c r="Q718" i="34"/>
  <c r="U718" i="34"/>
  <c r="R718" i="34"/>
  <c r="V718" i="34"/>
  <c r="S718" i="34"/>
  <c r="AA718" i="34"/>
  <c r="A722" i="34"/>
  <c r="P722" i="34"/>
  <c r="T722" i="34"/>
  <c r="X722" i="34"/>
  <c r="Q722" i="34"/>
  <c r="U722" i="34"/>
  <c r="R722" i="34"/>
  <c r="V722" i="34"/>
  <c r="S722" i="34"/>
  <c r="AA722" i="34"/>
  <c r="A726" i="34"/>
  <c r="P726" i="34"/>
  <c r="T726" i="34"/>
  <c r="X726" i="34"/>
  <c r="Q726" i="34"/>
  <c r="U726" i="34"/>
  <c r="R726" i="34"/>
  <c r="V726" i="34"/>
  <c r="S726" i="34"/>
  <c r="AA726" i="34"/>
  <c r="A730" i="34"/>
  <c r="P730" i="34"/>
  <c r="T730" i="34"/>
  <c r="X730" i="34"/>
  <c r="Q730" i="34"/>
  <c r="U730" i="34"/>
  <c r="R730" i="34"/>
  <c r="V730" i="34"/>
  <c r="S730" i="34"/>
  <c r="AA730" i="34"/>
  <c r="A734" i="34"/>
  <c r="P734" i="34"/>
  <c r="T734" i="34"/>
  <c r="X734" i="34"/>
  <c r="Q734" i="34"/>
  <c r="U734" i="34"/>
  <c r="R734" i="34"/>
  <c r="V734" i="34"/>
  <c r="S734" i="34"/>
  <c r="AA734" i="34"/>
  <c r="A738" i="34"/>
  <c r="P738" i="34"/>
  <c r="T738" i="34"/>
  <c r="X738" i="34"/>
  <c r="Q738" i="34"/>
  <c r="U738" i="34"/>
  <c r="R738" i="34"/>
  <c r="V738" i="34"/>
  <c r="S738" i="34"/>
  <c r="AA738" i="34"/>
  <c r="A742" i="34"/>
  <c r="P742" i="34"/>
  <c r="T742" i="34"/>
  <c r="X742" i="34"/>
  <c r="Q742" i="34"/>
  <c r="U742" i="34"/>
  <c r="R742" i="34"/>
  <c r="V742" i="34"/>
  <c r="S742" i="34"/>
  <c r="AA742" i="34"/>
  <c r="A746" i="34"/>
  <c r="P746" i="34"/>
  <c r="T746" i="34"/>
  <c r="X746" i="34"/>
  <c r="Q746" i="34"/>
  <c r="U746" i="34"/>
  <c r="R746" i="34"/>
  <c r="V746" i="34"/>
  <c r="S746" i="34"/>
  <c r="AA746" i="34"/>
  <c r="A341" i="34"/>
  <c r="P341" i="34"/>
  <c r="X341" i="34"/>
  <c r="Q341" i="34"/>
  <c r="R341" i="34"/>
  <c r="V341" i="34"/>
  <c r="AA341" i="34"/>
  <c r="A345" i="34"/>
  <c r="P345" i="34"/>
  <c r="X345" i="34"/>
  <c r="Q345" i="34"/>
  <c r="R345" i="34"/>
  <c r="V345" i="34"/>
  <c r="AA345" i="34"/>
  <c r="A349" i="34"/>
  <c r="P349" i="34"/>
  <c r="X349" i="34"/>
  <c r="Q349" i="34"/>
  <c r="R349" i="34"/>
  <c r="V349" i="34"/>
  <c r="AA349" i="34"/>
  <c r="A353" i="34"/>
  <c r="P353" i="34"/>
  <c r="X353" i="34"/>
  <c r="Q353" i="34"/>
  <c r="R353" i="34"/>
  <c r="V353" i="34"/>
  <c r="AA353" i="34"/>
  <c r="A357" i="34"/>
  <c r="P357" i="34"/>
  <c r="X357" i="34"/>
  <c r="Q357" i="34"/>
  <c r="R357" i="34"/>
  <c r="V357" i="34"/>
  <c r="AA357" i="34"/>
  <c r="A361" i="34"/>
  <c r="P361" i="34"/>
  <c r="X361" i="34"/>
  <c r="Q361" i="34"/>
  <c r="R361" i="34"/>
  <c r="V361" i="34"/>
  <c r="AA361" i="34"/>
  <c r="A365" i="34"/>
  <c r="P365" i="34"/>
  <c r="X365" i="34"/>
  <c r="Q365" i="34"/>
  <c r="R365" i="34"/>
  <c r="V365" i="34"/>
  <c r="AA365" i="34"/>
  <c r="A369" i="34"/>
  <c r="P369" i="34"/>
  <c r="X369" i="34"/>
  <c r="Q369" i="34"/>
  <c r="R369" i="34"/>
  <c r="V369" i="34"/>
  <c r="AA369" i="34"/>
  <c r="A373" i="34"/>
  <c r="P373" i="34"/>
  <c r="X373" i="34"/>
  <c r="Q373" i="34"/>
  <c r="R373" i="34"/>
  <c r="V373" i="34"/>
  <c r="AA373" i="34"/>
  <c r="A377" i="34"/>
  <c r="P377" i="34"/>
  <c r="X377" i="34"/>
  <c r="Q377" i="34"/>
  <c r="R377" i="34"/>
  <c r="V377" i="34"/>
  <c r="AA377" i="34"/>
  <c r="A381" i="34"/>
  <c r="P381" i="34"/>
  <c r="X381" i="34"/>
  <c r="Q381" i="34"/>
  <c r="R381" i="34"/>
  <c r="V381" i="34"/>
  <c r="AA381" i="34"/>
  <c r="A499" i="34"/>
  <c r="AA499" i="34"/>
  <c r="P499" i="34"/>
  <c r="X499" i="34"/>
  <c r="Q499" i="34"/>
  <c r="R499" i="34"/>
  <c r="V499" i="34"/>
  <c r="A231" i="34"/>
  <c r="P231" i="34"/>
  <c r="X231" i="34"/>
  <c r="Q231" i="34"/>
  <c r="R231" i="34"/>
  <c r="V231" i="34"/>
  <c r="AA231" i="34"/>
  <c r="A235" i="34"/>
  <c r="P235" i="34"/>
  <c r="X235" i="34"/>
  <c r="Q235" i="34"/>
  <c r="R235" i="34"/>
  <c r="V235" i="34"/>
  <c r="AA235" i="34"/>
  <c r="A239" i="34"/>
  <c r="P239" i="34"/>
  <c r="X239" i="34"/>
  <c r="Q239" i="34"/>
  <c r="R239" i="34"/>
  <c r="V239" i="34"/>
  <c r="AA239" i="34"/>
  <c r="A243" i="34"/>
  <c r="P243" i="34"/>
  <c r="X243" i="34"/>
  <c r="Q243" i="34"/>
  <c r="R243" i="34"/>
  <c r="V243" i="34"/>
  <c r="AA243" i="34"/>
  <c r="A247" i="34"/>
  <c r="P247" i="34"/>
  <c r="X247" i="34"/>
  <c r="Q247" i="34"/>
  <c r="R247" i="34"/>
  <c r="V247" i="34"/>
  <c r="AA247" i="34"/>
  <c r="A251" i="34"/>
  <c r="P251" i="34"/>
  <c r="X251" i="34"/>
  <c r="Q251" i="34"/>
  <c r="R251" i="34"/>
  <c r="V251" i="34"/>
  <c r="AA251" i="34"/>
  <c r="A255" i="34"/>
  <c r="P255" i="34"/>
  <c r="X255" i="34"/>
  <c r="Q255" i="34"/>
  <c r="R255" i="34"/>
  <c r="V255" i="34"/>
  <c r="AA255" i="34"/>
  <c r="A259" i="34"/>
  <c r="P259" i="34"/>
  <c r="X259" i="34"/>
  <c r="Q259" i="34"/>
  <c r="R259" i="34"/>
  <c r="V259" i="34"/>
  <c r="AA259" i="34"/>
  <c r="A263" i="34"/>
  <c r="P263" i="34"/>
  <c r="X263" i="34"/>
  <c r="Q263" i="34"/>
  <c r="R263" i="34"/>
  <c r="V263" i="34"/>
  <c r="AA263" i="34"/>
  <c r="A267" i="34"/>
  <c r="P267" i="34"/>
  <c r="X267" i="34"/>
  <c r="Q267" i="34"/>
  <c r="R267" i="34"/>
  <c r="V267" i="34"/>
  <c r="AA267" i="34"/>
  <c r="A794" i="34"/>
  <c r="P794" i="34"/>
  <c r="S794" i="34"/>
  <c r="AA794" i="34"/>
  <c r="T794" i="34"/>
  <c r="X794" i="34"/>
  <c r="Q794" i="34"/>
  <c r="U794" i="34"/>
  <c r="R794" i="34"/>
  <c r="V794" i="34"/>
  <c r="A748" i="34"/>
  <c r="R748" i="34"/>
  <c r="V748" i="34"/>
  <c r="S748" i="34"/>
  <c r="AA748" i="34"/>
  <c r="P748" i="34"/>
  <c r="T748" i="34"/>
  <c r="X748" i="34"/>
  <c r="Q748" i="34"/>
  <c r="U748" i="34"/>
  <c r="A756" i="34"/>
  <c r="R756" i="34"/>
  <c r="V756" i="34"/>
  <c r="S756" i="34"/>
  <c r="AA756" i="34"/>
  <c r="P756" i="34"/>
  <c r="T756" i="34"/>
  <c r="X756" i="34"/>
  <c r="Q756" i="34"/>
  <c r="U756" i="34"/>
  <c r="A772" i="34"/>
  <c r="R772" i="34"/>
  <c r="V772" i="34"/>
  <c r="S772" i="34"/>
  <c r="AA772" i="34"/>
  <c r="P772" i="34"/>
  <c r="T772" i="34"/>
  <c r="X772" i="34"/>
  <c r="Q772" i="34"/>
  <c r="U772" i="34"/>
  <c r="A793" i="34"/>
  <c r="Q793" i="34"/>
  <c r="U793" i="34"/>
  <c r="R793" i="34"/>
  <c r="S793" i="34"/>
  <c r="P793" i="34"/>
  <c r="AA793" i="34"/>
  <c r="X793" i="34"/>
  <c r="T793" i="34"/>
  <c r="V793" i="34"/>
  <c r="A797" i="34"/>
  <c r="P797" i="34"/>
  <c r="T797" i="34"/>
  <c r="X797" i="34"/>
  <c r="Q797" i="34"/>
  <c r="U797" i="34"/>
  <c r="R797" i="34"/>
  <c r="V797" i="34"/>
  <c r="S797" i="34"/>
  <c r="AA797" i="34"/>
  <c r="A801" i="34"/>
  <c r="P801" i="34"/>
  <c r="T801" i="34"/>
  <c r="X801" i="34"/>
  <c r="Q801" i="34"/>
  <c r="U801" i="34"/>
  <c r="R801" i="34"/>
  <c r="V801" i="34"/>
  <c r="S801" i="34"/>
  <c r="AA801" i="34"/>
  <c r="A1033" i="34"/>
  <c r="Q1033" i="34"/>
  <c r="R1033" i="34"/>
  <c r="V1033" i="34"/>
  <c r="AA1033" i="34"/>
  <c r="P1033" i="34"/>
  <c r="X1033" i="34"/>
  <c r="A751" i="34"/>
  <c r="S751" i="34"/>
  <c r="AA751" i="34"/>
  <c r="P751" i="34"/>
  <c r="T751" i="34"/>
  <c r="X751" i="34"/>
  <c r="Q751" i="34"/>
  <c r="U751" i="34"/>
  <c r="R751" i="34"/>
  <c r="V751" i="34"/>
  <c r="A755" i="34"/>
  <c r="S755" i="34"/>
  <c r="AA755" i="34"/>
  <c r="P755" i="34"/>
  <c r="T755" i="34"/>
  <c r="X755" i="34"/>
  <c r="Q755" i="34"/>
  <c r="U755" i="34"/>
  <c r="R755" i="34"/>
  <c r="V755" i="34"/>
  <c r="A759" i="34"/>
  <c r="S759" i="34"/>
  <c r="AA759" i="34"/>
  <c r="P759" i="34"/>
  <c r="T759" i="34"/>
  <c r="X759" i="34"/>
  <c r="Q759" i="34"/>
  <c r="U759" i="34"/>
  <c r="R759" i="34"/>
  <c r="V759" i="34"/>
  <c r="A763" i="34"/>
  <c r="S763" i="34"/>
  <c r="AA763" i="34"/>
  <c r="P763" i="34"/>
  <c r="T763" i="34"/>
  <c r="X763" i="34"/>
  <c r="Q763" i="34"/>
  <c r="U763" i="34"/>
  <c r="R763" i="34"/>
  <c r="V763" i="34"/>
  <c r="A767" i="34"/>
  <c r="S767" i="34"/>
  <c r="AA767" i="34"/>
  <c r="P767" i="34"/>
  <c r="T767" i="34"/>
  <c r="X767" i="34"/>
  <c r="Q767" i="34"/>
  <c r="U767" i="34"/>
  <c r="R767" i="34"/>
  <c r="V767" i="34"/>
  <c r="A771" i="34"/>
  <c r="S771" i="34"/>
  <c r="AA771" i="34"/>
  <c r="P771" i="34"/>
  <c r="T771" i="34"/>
  <c r="X771" i="34"/>
  <c r="Q771" i="34"/>
  <c r="U771" i="34"/>
  <c r="R771" i="34"/>
  <c r="V771" i="34"/>
  <c r="A775" i="34"/>
  <c r="S775" i="34"/>
  <c r="AA775" i="34"/>
  <c r="P775" i="34"/>
  <c r="T775" i="34"/>
  <c r="X775" i="34"/>
  <c r="Q775" i="34"/>
  <c r="U775" i="34"/>
  <c r="R775" i="34"/>
  <c r="V775" i="34"/>
  <c r="A779" i="34"/>
  <c r="S779" i="34"/>
  <c r="AA779" i="34"/>
  <c r="P779" i="34"/>
  <c r="T779" i="34"/>
  <c r="X779" i="34"/>
  <c r="Q779" i="34"/>
  <c r="U779" i="34"/>
  <c r="R779" i="34"/>
  <c r="V779" i="34"/>
  <c r="A783" i="34"/>
  <c r="S783" i="34"/>
  <c r="AA783" i="34"/>
  <c r="P783" i="34"/>
  <c r="T783" i="34"/>
  <c r="X783" i="34"/>
  <c r="Q783" i="34"/>
  <c r="U783" i="34"/>
  <c r="R783" i="34"/>
  <c r="V783" i="34"/>
  <c r="A787" i="34"/>
  <c r="S787" i="34"/>
  <c r="AA787" i="34"/>
  <c r="P787" i="34"/>
  <c r="T787" i="34"/>
  <c r="X787" i="34"/>
  <c r="Q787" i="34"/>
  <c r="U787" i="34"/>
  <c r="R787" i="34"/>
  <c r="V787" i="34"/>
  <c r="A791" i="34"/>
  <c r="S791" i="34"/>
  <c r="AA791" i="34"/>
  <c r="P791" i="34"/>
  <c r="T791" i="34"/>
  <c r="X791" i="34"/>
  <c r="Q791" i="34"/>
  <c r="U791" i="34"/>
  <c r="R791" i="34"/>
  <c r="V791" i="34"/>
  <c r="A386" i="34"/>
  <c r="AA386" i="34"/>
  <c r="P386" i="34"/>
  <c r="X386" i="34"/>
  <c r="Q386" i="34"/>
  <c r="R386" i="34"/>
  <c r="V386" i="34"/>
  <c r="A486" i="34"/>
  <c r="P486" i="34"/>
  <c r="X486" i="34"/>
  <c r="Q486" i="34"/>
  <c r="R486" i="34"/>
  <c r="V486" i="34"/>
  <c r="AA486" i="34"/>
  <c r="A715" i="34"/>
  <c r="S715" i="34"/>
  <c r="AA715" i="34"/>
  <c r="P715" i="34"/>
  <c r="T715" i="34"/>
  <c r="X715" i="34"/>
  <c r="Q715" i="34"/>
  <c r="U715" i="34"/>
  <c r="R715" i="34"/>
  <c r="V715" i="34"/>
  <c r="A719" i="34"/>
  <c r="S719" i="34"/>
  <c r="AA719" i="34"/>
  <c r="P719" i="34"/>
  <c r="T719" i="34"/>
  <c r="X719" i="34"/>
  <c r="Q719" i="34"/>
  <c r="U719" i="34"/>
  <c r="R719" i="34"/>
  <c r="V719" i="34"/>
  <c r="A723" i="34"/>
  <c r="S723" i="34"/>
  <c r="AA723" i="34"/>
  <c r="P723" i="34"/>
  <c r="T723" i="34"/>
  <c r="X723" i="34"/>
  <c r="Q723" i="34"/>
  <c r="U723" i="34"/>
  <c r="R723" i="34"/>
  <c r="V723" i="34"/>
  <c r="A727" i="34"/>
  <c r="S727" i="34"/>
  <c r="AA727" i="34"/>
  <c r="P727" i="34"/>
  <c r="T727" i="34"/>
  <c r="X727" i="34"/>
  <c r="Q727" i="34"/>
  <c r="U727" i="34"/>
  <c r="R727" i="34"/>
  <c r="V727" i="34"/>
  <c r="A731" i="34"/>
  <c r="S731" i="34"/>
  <c r="AA731" i="34"/>
  <c r="P731" i="34"/>
  <c r="T731" i="34"/>
  <c r="X731" i="34"/>
  <c r="Q731" i="34"/>
  <c r="U731" i="34"/>
  <c r="R731" i="34"/>
  <c r="V731" i="34"/>
  <c r="A735" i="34"/>
  <c r="S735" i="34"/>
  <c r="AA735" i="34"/>
  <c r="P735" i="34"/>
  <c r="T735" i="34"/>
  <c r="X735" i="34"/>
  <c r="Q735" i="34"/>
  <c r="U735" i="34"/>
  <c r="R735" i="34"/>
  <c r="V735" i="34"/>
  <c r="A739" i="34"/>
  <c r="S739" i="34"/>
  <c r="AA739" i="34"/>
  <c r="P739" i="34"/>
  <c r="T739" i="34"/>
  <c r="X739" i="34"/>
  <c r="Q739" i="34"/>
  <c r="U739" i="34"/>
  <c r="R739" i="34"/>
  <c r="V739" i="34"/>
  <c r="A743" i="34"/>
  <c r="S743" i="34"/>
  <c r="AA743" i="34"/>
  <c r="P743" i="34"/>
  <c r="T743" i="34"/>
  <c r="X743" i="34"/>
  <c r="Q743" i="34"/>
  <c r="U743" i="34"/>
  <c r="R743" i="34"/>
  <c r="V743" i="34"/>
  <c r="A747" i="34"/>
  <c r="S747" i="34"/>
  <c r="AA747" i="34"/>
  <c r="P747" i="34"/>
  <c r="T747" i="34"/>
  <c r="X747" i="34"/>
  <c r="Q747" i="34"/>
  <c r="U747" i="34"/>
  <c r="R747" i="34"/>
  <c r="V747" i="34"/>
  <c r="A342" i="34"/>
  <c r="AA342" i="34"/>
  <c r="P342" i="34"/>
  <c r="X342" i="34"/>
  <c r="Q342" i="34"/>
  <c r="R342" i="34"/>
  <c r="V342" i="34"/>
  <c r="A346" i="34"/>
  <c r="AA346" i="34"/>
  <c r="P346" i="34"/>
  <c r="X346" i="34"/>
  <c r="Q346" i="34"/>
  <c r="R346" i="34"/>
  <c r="V346" i="34"/>
  <c r="A350" i="34"/>
  <c r="AA350" i="34"/>
  <c r="P350" i="34"/>
  <c r="X350" i="34"/>
  <c r="Q350" i="34"/>
  <c r="R350" i="34"/>
  <c r="V350" i="34"/>
  <c r="A354" i="34"/>
  <c r="AA354" i="34"/>
  <c r="P354" i="34"/>
  <c r="X354" i="34"/>
  <c r="Q354" i="34"/>
  <c r="R354" i="34"/>
  <c r="V354" i="34"/>
  <c r="A358" i="34"/>
  <c r="AA358" i="34"/>
  <c r="P358" i="34"/>
  <c r="X358" i="34"/>
  <c r="Q358" i="34"/>
  <c r="R358" i="34"/>
  <c r="V358" i="34"/>
  <c r="A362" i="34"/>
  <c r="AA362" i="34"/>
  <c r="P362" i="34"/>
  <c r="X362" i="34"/>
  <c r="Q362" i="34"/>
  <c r="R362" i="34"/>
  <c r="V362" i="34"/>
  <c r="A366" i="34"/>
  <c r="AA366" i="34"/>
  <c r="P366" i="34"/>
  <c r="X366" i="34"/>
  <c r="Q366" i="34"/>
  <c r="R366" i="34"/>
  <c r="V366" i="34"/>
  <c r="A370" i="34"/>
  <c r="AA370" i="34"/>
  <c r="P370" i="34"/>
  <c r="X370" i="34"/>
  <c r="Q370" i="34"/>
  <c r="R370" i="34"/>
  <c r="V370" i="34"/>
  <c r="A374" i="34"/>
  <c r="AA374" i="34"/>
  <c r="P374" i="34"/>
  <c r="X374" i="34"/>
  <c r="Q374" i="34"/>
  <c r="R374" i="34"/>
  <c r="V374" i="34"/>
  <c r="A378" i="34"/>
  <c r="AA378" i="34"/>
  <c r="P378" i="34"/>
  <c r="X378" i="34"/>
  <c r="Q378" i="34"/>
  <c r="R378" i="34"/>
  <c r="V378" i="34"/>
  <c r="A382" i="34"/>
  <c r="AA382" i="34"/>
  <c r="P382" i="34"/>
  <c r="X382" i="34"/>
  <c r="Q382" i="34"/>
  <c r="R382" i="34"/>
  <c r="V382" i="34"/>
  <c r="A228" i="34"/>
  <c r="AA228" i="34"/>
  <c r="P228" i="34"/>
  <c r="X228" i="34"/>
  <c r="Q228" i="34"/>
  <c r="R228" i="34"/>
  <c r="V228" i="34"/>
  <c r="A232" i="34"/>
  <c r="AA232" i="34"/>
  <c r="P232" i="34"/>
  <c r="X232" i="34"/>
  <c r="Q232" i="34"/>
  <c r="R232" i="34"/>
  <c r="V232" i="34"/>
  <c r="A236" i="34"/>
  <c r="AA236" i="34"/>
  <c r="P236" i="34"/>
  <c r="X236" i="34"/>
  <c r="Q236" i="34"/>
  <c r="R236" i="34"/>
  <c r="V236" i="34"/>
  <c r="A240" i="34"/>
  <c r="AA240" i="34"/>
  <c r="P240" i="34"/>
  <c r="X240" i="34"/>
  <c r="Q240" i="34"/>
  <c r="R240" i="34"/>
  <c r="V240" i="34"/>
  <c r="A244" i="34"/>
  <c r="AA244" i="34"/>
  <c r="P244" i="34"/>
  <c r="X244" i="34"/>
  <c r="Q244" i="34"/>
  <c r="R244" i="34"/>
  <c r="V244" i="34"/>
  <c r="A248" i="34"/>
  <c r="AA248" i="34"/>
  <c r="P248" i="34"/>
  <c r="X248" i="34"/>
  <c r="Q248" i="34"/>
  <c r="R248" i="34"/>
  <c r="V248" i="34"/>
  <c r="A252" i="34"/>
  <c r="AA252" i="34"/>
  <c r="P252" i="34"/>
  <c r="X252" i="34"/>
  <c r="Q252" i="34"/>
  <c r="R252" i="34"/>
  <c r="V252" i="34"/>
  <c r="A256" i="34"/>
  <c r="AA256" i="34"/>
  <c r="P256" i="34"/>
  <c r="X256" i="34"/>
  <c r="Q256" i="34"/>
  <c r="R256" i="34"/>
  <c r="V256" i="34"/>
  <c r="A260" i="34"/>
  <c r="AA260" i="34"/>
  <c r="P260" i="34"/>
  <c r="X260" i="34"/>
  <c r="Q260" i="34"/>
  <c r="R260" i="34"/>
  <c r="V260" i="34"/>
  <c r="A264" i="34"/>
  <c r="AA264" i="34"/>
  <c r="P264" i="34"/>
  <c r="X264" i="34"/>
  <c r="Q264" i="34"/>
  <c r="R264" i="34"/>
  <c r="V264" i="34"/>
  <c r="A268" i="34"/>
  <c r="AA268" i="34"/>
  <c r="P268" i="34"/>
  <c r="X268" i="34"/>
  <c r="Q268" i="34"/>
  <c r="R268" i="34"/>
  <c r="V268" i="34"/>
  <c r="A752" i="34"/>
  <c r="R752" i="34"/>
  <c r="V752" i="34"/>
  <c r="S752" i="34"/>
  <c r="AA752" i="34"/>
  <c r="P752" i="34"/>
  <c r="T752" i="34"/>
  <c r="X752" i="34"/>
  <c r="Q752" i="34"/>
  <c r="U752" i="34"/>
  <c r="A768" i="34"/>
  <c r="R768" i="34"/>
  <c r="V768" i="34"/>
  <c r="S768" i="34"/>
  <c r="AA768" i="34"/>
  <c r="P768" i="34"/>
  <c r="T768" i="34"/>
  <c r="X768" i="34"/>
  <c r="Q768" i="34"/>
  <c r="U768" i="34"/>
  <c r="A780" i="34"/>
  <c r="R780" i="34"/>
  <c r="V780" i="34"/>
  <c r="S780" i="34"/>
  <c r="AA780" i="34"/>
  <c r="P780" i="34"/>
  <c r="T780" i="34"/>
  <c r="X780" i="34"/>
  <c r="Q780" i="34"/>
  <c r="U780" i="34"/>
  <c r="A788" i="34"/>
  <c r="R788" i="34"/>
  <c r="V788" i="34"/>
  <c r="S788" i="34"/>
  <c r="AA788" i="34"/>
  <c r="P788" i="34"/>
  <c r="T788" i="34"/>
  <c r="X788" i="34"/>
  <c r="Q788" i="34"/>
  <c r="U788" i="34"/>
  <c r="A383" i="34"/>
  <c r="R383" i="34"/>
  <c r="V383" i="34"/>
  <c r="AA383" i="34"/>
  <c r="P383" i="34"/>
  <c r="X383" i="34"/>
  <c r="Q383" i="34"/>
  <c r="A387" i="34"/>
  <c r="R387" i="34"/>
  <c r="V387" i="34"/>
  <c r="AA387" i="34"/>
  <c r="P387" i="34"/>
  <c r="X387" i="34"/>
  <c r="Q387" i="34"/>
  <c r="A487" i="34"/>
  <c r="AA487" i="34"/>
  <c r="P487" i="34"/>
  <c r="X487" i="34"/>
  <c r="Q487" i="34"/>
  <c r="R487" i="34"/>
  <c r="V487" i="34"/>
  <c r="A716" i="34"/>
  <c r="R716" i="34"/>
  <c r="V716" i="34"/>
  <c r="S716" i="34"/>
  <c r="AA716" i="34"/>
  <c r="P716" i="34"/>
  <c r="T716" i="34"/>
  <c r="X716" i="34"/>
  <c r="Q716" i="34"/>
  <c r="U716" i="34"/>
  <c r="A720" i="34"/>
  <c r="R720" i="34"/>
  <c r="V720" i="34"/>
  <c r="S720" i="34"/>
  <c r="AA720" i="34"/>
  <c r="P720" i="34"/>
  <c r="T720" i="34"/>
  <c r="X720" i="34"/>
  <c r="Q720" i="34"/>
  <c r="U720" i="34"/>
  <c r="A724" i="34"/>
  <c r="R724" i="34"/>
  <c r="V724" i="34"/>
  <c r="S724" i="34"/>
  <c r="AA724" i="34"/>
  <c r="P724" i="34"/>
  <c r="T724" i="34"/>
  <c r="X724" i="34"/>
  <c r="Q724" i="34"/>
  <c r="U724" i="34"/>
  <c r="A728" i="34"/>
  <c r="R728" i="34"/>
  <c r="V728" i="34"/>
  <c r="S728" i="34"/>
  <c r="AA728" i="34"/>
  <c r="P728" i="34"/>
  <c r="T728" i="34"/>
  <c r="X728" i="34"/>
  <c r="Q728" i="34"/>
  <c r="U728" i="34"/>
  <c r="A732" i="34"/>
  <c r="R732" i="34"/>
  <c r="V732" i="34"/>
  <c r="S732" i="34"/>
  <c r="AA732" i="34"/>
  <c r="P732" i="34"/>
  <c r="T732" i="34"/>
  <c r="X732" i="34"/>
  <c r="Q732" i="34"/>
  <c r="U732" i="34"/>
  <c r="A736" i="34"/>
  <c r="R736" i="34"/>
  <c r="V736" i="34"/>
  <c r="S736" i="34"/>
  <c r="AA736" i="34"/>
  <c r="P736" i="34"/>
  <c r="T736" i="34"/>
  <c r="X736" i="34"/>
  <c r="Q736" i="34"/>
  <c r="U736" i="34"/>
  <c r="A740" i="34"/>
  <c r="R740" i="34"/>
  <c r="V740" i="34"/>
  <c r="S740" i="34"/>
  <c r="AA740" i="34"/>
  <c r="P740" i="34"/>
  <c r="T740" i="34"/>
  <c r="X740" i="34"/>
  <c r="Q740" i="34"/>
  <c r="U740" i="34"/>
  <c r="A744" i="34"/>
  <c r="R744" i="34"/>
  <c r="V744" i="34"/>
  <c r="S744" i="34"/>
  <c r="AA744" i="34"/>
  <c r="P744" i="34"/>
  <c r="T744" i="34"/>
  <c r="X744" i="34"/>
  <c r="Q744" i="34"/>
  <c r="U744" i="34"/>
  <c r="A339" i="34"/>
  <c r="R339" i="34"/>
  <c r="V339" i="34"/>
  <c r="AA339" i="34"/>
  <c r="P339" i="34"/>
  <c r="X339" i="34"/>
  <c r="Q339" i="34"/>
  <c r="A343" i="34"/>
  <c r="R343" i="34"/>
  <c r="V343" i="34"/>
  <c r="AA343" i="34"/>
  <c r="P343" i="34"/>
  <c r="X343" i="34"/>
  <c r="Q343" i="34"/>
  <c r="A347" i="34"/>
  <c r="R347" i="34"/>
  <c r="V347" i="34"/>
  <c r="AA347" i="34"/>
  <c r="P347" i="34"/>
  <c r="X347" i="34"/>
  <c r="Q347" i="34"/>
  <c r="A351" i="34"/>
  <c r="R351" i="34"/>
  <c r="V351" i="34"/>
  <c r="AA351" i="34"/>
  <c r="P351" i="34"/>
  <c r="X351" i="34"/>
  <c r="Q351" i="34"/>
  <c r="A355" i="34"/>
  <c r="R355" i="34"/>
  <c r="V355" i="34"/>
  <c r="AA355" i="34"/>
  <c r="P355" i="34"/>
  <c r="X355" i="34"/>
  <c r="Q355" i="34"/>
  <c r="A359" i="34"/>
  <c r="R359" i="34"/>
  <c r="V359" i="34"/>
  <c r="AA359" i="34"/>
  <c r="P359" i="34"/>
  <c r="X359" i="34"/>
  <c r="Q359" i="34"/>
  <c r="A363" i="34"/>
  <c r="R363" i="34"/>
  <c r="V363" i="34"/>
  <c r="AA363" i="34"/>
  <c r="P363" i="34"/>
  <c r="X363" i="34"/>
  <c r="Q363" i="34"/>
  <c r="A367" i="34"/>
  <c r="R367" i="34"/>
  <c r="V367" i="34"/>
  <c r="AA367" i="34"/>
  <c r="P367" i="34"/>
  <c r="X367" i="34"/>
  <c r="Q367" i="34"/>
  <c r="A371" i="34"/>
  <c r="R371" i="34"/>
  <c r="V371" i="34"/>
  <c r="AA371" i="34"/>
  <c r="P371" i="34"/>
  <c r="X371" i="34"/>
  <c r="Q371" i="34"/>
  <c r="A375" i="34"/>
  <c r="R375" i="34"/>
  <c r="V375" i="34"/>
  <c r="AA375" i="34"/>
  <c r="P375" i="34"/>
  <c r="X375" i="34"/>
  <c r="Q375" i="34"/>
  <c r="A379" i="34"/>
  <c r="R379" i="34"/>
  <c r="V379" i="34"/>
  <c r="AA379" i="34"/>
  <c r="P379" i="34"/>
  <c r="X379" i="34"/>
  <c r="Q379" i="34"/>
  <c r="A497" i="34"/>
  <c r="Q497" i="34"/>
  <c r="R497" i="34"/>
  <c r="V497" i="34"/>
  <c r="AA497" i="34"/>
  <c r="P497" i="34"/>
  <c r="X497" i="34"/>
  <c r="A229" i="34"/>
  <c r="R229" i="34"/>
  <c r="V229" i="34"/>
  <c r="AA229" i="34"/>
  <c r="P229" i="34"/>
  <c r="X229" i="34"/>
  <c r="Q229" i="34"/>
  <c r="A233" i="34"/>
  <c r="R233" i="34"/>
  <c r="V233" i="34"/>
  <c r="AA233" i="34"/>
  <c r="P233" i="34"/>
  <c r="X233" i="34"/>
  <c r="Q233" i="34"/>
  <c r="A237" i="34"/>
  <c r="R237" i="34"/>
  <c r="V237" i="34"/>
  <c r="AA237" i="34"/>
  <c r="P237" i="34"/>
  <c r="X237" i="34"/>
  <c r="Q237" i="34"/>
  <c r="A241" i="34"/>
  <c r="R241" i="34"/>
  <c r="V241" i="34"/>
  <c r="AA241" i="34"/>
  <c r="P241" i="34"/>
  <c r="X241" i="34"/>
  <c r="Q241" i="34"/>
  <c r="A245" i="34"/>
  <c r="R245" i="34"/>
  <c r="V245" i="34"/>
  <c r="AA245" i="34"/>
  <c r="P245" i="34"/>
  <c r="X245" i="34"/>
  <c r="Q245" i="34"/>
  <c r="A249" i="34"/>
  <c r="R249" i="34"/>
  <c r="V249" i="34"/>
  <c r="AA249" i="34"/>
  <c r="P249" i="34"/>
  <c r="X249" i="34"/>
  <c r="Q249" i="34"/>
  <c r="A253" i="34"/>
  <c r="R253" i="34"/>
  <c r="V253" i="34"/>
  <c r="AA253" i="34"/>
  <c r="P253" i="34"/>
  <c r="X253" i="34"/>
  <c r="Q253" i="34"/>
  <c r="A257" i="34"/>
  <c r="R257" i="34"/>
  <c r="V257" i="34"/>
  <c r="AA257" i="34"/>
  <c r="P257" i="34"/>
  <c r="X257" i="34"/>
  <c r="Q257" i="34"/>
  <c r="A261" i="34"/>
  <c r="R261" i="34"/>
  <c r="V261" i="34"/>
  <c r="AA261" i="34"/>
  <c r="P261" i="34"/>
  <c r="X261" i="34"/>
  <c r="Q261" i="34"/>
  <c r="A265" i="34"/>
  <c r="R265" i="34"/>
  <c r="V265" i="34"/>
  <c r="AA265" i="34"/>
  <c r="P265" i="34"/>
  <c r="X265" i="34"/>
  <c r="Q265" i="34"/>
  <c r="B102" i="34"/>
  <c r="B101" i="34"/>
  <c r="A101" i="34" l="1"/>
  <c r="R101" i="34"/>
  <c r="V101" i="34"/>
  <c r="AA101" i="34"/>
  <c r="P101" i="34"/>
  <c r="X101" i="34"/>
  <c r="Q101" i="34"/>
  <c r="A102" i="34"/>
  <c r="Q102" i="34"/>
  <c r="R102" i="34"/>
  <c r="V102" i="34"/>
  <c r="AA102" i="34"/>
  <c r="P102" i="34"/>
  <c r="X102" i="34"/>
  <c r="B1506" i="34"/>
  <c r="B2638" i="34"/>
  <c r="X1506" i="34" l="1"/>
  <c r="V1506" i="34"/>
  <c r="A1506" i="34"/>
  <c r="X2638" i="34"/>
  <c r="V2638" i="34"/>
  <c r="A2638" i="34"/>
  <c r="B2637" i="34"/>
  <c r="B2636" i="34"/>
  <c r="B43" i="34"/>
  <c r="A43" i="34" l="1"/>
  <c r="P43" i="34"/>
  <c r="X43" i="34"/>
  <c r="Q43" i="34"/>
  <c r="R43" i="34"/>
  <c r="V43" i="34"/>
  <c r="AA43" i="34"/>
  <c r="V2636" i="34"/>
  <c r="X2636" i="34"/>
  <c r="A2636" i="34"/>
  <c r="X2637" i="34"/>
  <c r="V2637" i="34"/>
  <c r="A2637" i="34"/>
  <c r="B2716" i="34"/>
  <c r="B2717" i="34"/>
  <c r="B2718" i="34"/>
  <c r="B2719" i="34"/>
  <c r="B2720" i="34"/>
  <c r="B2721" i="34"/>
  <c r="B2722" i="34"/>
  <c r="B2723" i="34"/>
  <c r="B2724" i="34"/>
  <c r="B2725" i="34"/>
  <c r="B2727" i="34"/>
  <c r="B2728" i="34"/>
  <c r="B2729" i="34"/>
  <c r="B2730" i="34"/>
  <c r="B2731" i="34"/>
  <c r="B2732" i="34"/>
  <c r="B2733" i="34"/>
  <c r="B2735" i="34"/>
  <c r="B2736" i="34"/>
  <c r="B2737" i="34"/>
  <c r="B2738" i="34"/>
  <c r="B2412" i="34"/>
  <c r="B2413" i="34"/>
  <c r="B2414" i="34"/>
  <c r="B2415" i="34"/>
  <c r="B2416" i="34"/>
  <c r="B2426" i="34"/>
  <c r="B2427" i="34"/>
  <c r="B2428" i="34"/>
  <c r="B2429" i="34"/>
  <c r="B2430" i="34"/>
  <c r="B2431" i="34"/>
  <c r="B2432" i="34"/>
  <c r="B2434" i="34"/>
  <c r="B2435" i="34"/>
  <c r="B2436" i="34"/>
  <c r="B2437" i="34"/>
  <c r="B2438" i="34"/>
  <c r="B2439" i="34"/>
  <c r="B2441" i="34"/>
  <c r="B2443" i="34"/>
  <c r="B2444" i="34"/>
  <c r="B2445" i="34"/>
  <c r="B2446" i="34"/>
  <c r="B2447" i="34"/>
  <c r="B2448" i="34"/>
  <c r="B2449" i="34"/>
  <c r="B2450" i="34"/>
  <c r="B2451" i="34"/>
  <c r="B2452" i="34"/>
  <c r="B2458" i="34"/>
  <c r="B2459" i="34"/>
  <c r="B2460" i="34"/>
  <c r="B2461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603" i="34"/>
  <c r="B2604" i="34"/>
  <c r="B2605" i="34"/>
  <c r="B2606" i="34"/>
  <c r="B2607" i="34"/>
  <c r="B2608" i="34"/>
  <c r="B2609" i="34"/>
  <c r="B2610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462" i="34"/>
  <c r="B2421" i="34"/>
  <c r="B2511" i="34"/>
  <c r="B2512" i="34"/>
  <c r="B2513" i="34"/>
  <c r="B2514" i="34"/>
  <c r="B2515" i="34"/>
  <c r="B2516" i="34"/>
  <c r="B2517" i="34"/>
  <c r="B2518" i="34"/>
  <c r="B2519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2" i="34"/>
  <c r="B2581" i="34"/>
  <c r="B2580" i="34"/>
  <c r="B257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20" i="34"/>
  <c r="B2419" i="34"/>
  <c r="B2457" i="34"/>
  <c r="B2456" i="34"/>
  <c r="B2792" i="34"/>
  <c r="B2791" i="34"/>
  <c r="B2790" i="34"/>
  <c r="B2635" i="34"/>
  <c r="B2455" i="34"/>
  <c r="B2454" i="34"/>
  <c r="B2453" i="34"/>
  <c r="B2425" i="34"/>
  <c r="B2424" i="34"/>
  <c r="B2423" i="34"/>
  <c r="B2418" i="34"/>
  <c r="B2417" i="34"/>
  <c r="B2442" i="34"/>
  <c r="B2440" i="34"/>
  <c r="B2433" i="34"/>
  <c r="B2411" i="34"/>
  <c r="B2409" i="34"/>
  <c r="B2410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69" i="34"/>
  <c r="B2668" i="34"/>
  <c r="B2602" i="34"/>
  <c r="B2726" i="34"/>
  <c r="B2715" i="34"/>
  <c r="B2714" i="34"/>
  <c r="B2713" i="34"/>
  <c r="B2712" i="34"/>
  <c r="B2711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585" i="34"/>
  <c r="B2584" i="34"/>
  <c r="B2583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749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588" i="34"/>
  <c r="B2587" i="34"/>
  <c r="B2586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422" i="34"/>
  <c r="B2463" i="34"/>
  <c r="B2748" i="34"/>
  <c r="B2747" i="34"/>
  <c r="B2746" i="34"/>
  <c r="B2745" i="34"/>
  <c r="B2744" i="34"/>
  <c r="B2743" i="34"/>
  <c r="B2742" i="34"/>
  <c r="B2741" i="34"/>
  <c r="B2740" i="34"/>
  <c r="B2739" i="34"/>
  <c r="B2734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2286" i="34"/>
  <c r="B1946" i="34"/>
  <c r="B2342" i="34"/>
  <c r="B2343" i="34"/>
  <c r="B2344" i="34"/>
  <c r="B2345" i="34"/>
  <c r="B2346" i="34"/>
  <c r="B2347" i="34"/>
  <c r="B2348" i="34"/>
  <c r="B2398" i="34"/>
  <c r="B2399" i="34"/>
  <c r="B2400" i="34"/>
  <c r="B2401" i="34"/>
  <c r="B24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65" i="34"/>
  <c r="B2066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1987" i="34"/>
  <c r="B2166" i="34"/>
  <c r="B2067" i="34"/>
  <c r="A8" i="60"/>
  <c r="V2297" i="34" l="1"/>
  <c r="X2297" i="34"/>
  <c r="A2297" i="34"/>
  <c r="V2293" i="34"/>
  <c r="X2293" i="34"/>
  <c r="A2293" i="34"/>
  <c r="V2289" i="34"/>
  <c r="X2289" i="34"/>
  <c r="A2289" i="34"/>
  <c r="X2203" i="34"/>
  <c r="V2203" i="34"/>
  <c r="A2203" i="34"/>
  <c r="X2199" i="34"/>
  <c r="V2199" i="34"/>
  <c r="A2199" i="34"/>
  <c r="X2195" i="34"/>
  <c r="V2195" i="34"/>
  <c r="A2195" i="34"/>
  <c r="X2191" i="34"/>
  <c r="V2191" i="34"/>
  <c r="A2191" i="34"/>
  <c r="X2187" i="34"/>
  <c r="V2187" i="34"/>
  <c r="A2187" i="34"/>
  <c r="X2183" i="34"/>
  <c r="V2183" i="34"/>
  <c r="A2183" i="34"/>
  <c r="X2179" i="34"/>
  <c r="V2179" i="34"/>
  <c r="A2179" i="34"/>
  <c r="V2080" i="34"/>
  <c r="X2080" i="34"/>
  <c r="A2080" i="34"/>
  <c r="V2076" i="34"/>
  <c r="X2076" i="34"/>
  <c r="A2076" i="34"/>
  <c r="V2072" i="34"/>
  <c r="X2072" i="34"/>
  <c r="A2072" i="34"/>
  <c r="V2068" i="34"/>
  <c r="X2068" i="34"/>
  <c r="A2068" i="34"/>
  <c r="X2018" i="34"/>
  <c r="V2018" i="34"/>
  <c r="A2018" i="34"/>
  <c r="X2014" i="34"/>
  <c r="V2014" i="34"/>
  <c r="A2014" i="34"/>
  <c r="X2010" i="34"/>
  <c r="V2010" i="34"/>
  <c r="A2010" i="34"/>
  <c r="X2006" i="34"/>
  <c r="V2006" i="34"/>
  <c r="A2006" i="34"/>
  <c r="X2402" i="34"/>
  <c r="V2402" i="34"/>
  <c r="A2402" i="34"/>
  <c r="X2398" i="34"/>
  <c r="V2398" i="34"/>
  <c r="A2398" i="34"/>
  <c r="V2345" i="34"/>
  <c r="X2345" i="34"/>
  <c r="A2345" i="34"/>
  <c r="V1946" i="34"/>
  <c r="X1946" i="34"/>
  <c r="A1946" i="34"/>
  <c r="X2283" i="34"/>
  <c r="V2283" i="34"/>
  <c r="A2283" i="34"/>
  <c r="X2279" i="34"/>
  <c r="V2279" i="34"/>
  <c r="A2279" i="34"/>
  <c r="X2275" i="34"/>
  <c r="V2275" i="34"/>
  <c r="A2275" i="34"/>
  <c r="X2271" i="34"/>
  <c r="V2271" i="34"/>
  <c r="A2271" i="34"/>
  <c r="X2267" i="34"/>
  <c r="V2267" i="34"/>
  <c r="A2267" i="34"/>
  <c r="X2263" i="34"/>
  <c r="V2263" i="34"/>
  <c r="A2263" i="34"/>
  <c r="X2259" i="34"/>
  <c r="V2259" i="34"/>
  <c r="A2259" i="34"/>
  <c r="V2176" i="34"/>
  <c r="X2176" i="34"/>
  <c r="A2176" i="34"/>
  <c r="V2172" i="34"/>
  <c r="X2172" i="34"/>
  <c r="A2172" i="34"/>
  <c r="V2168" i="34"/>
  <c r="X2168" i="34"/>
  <c r="A2168" i="34"/>
  <c r="V2164" i="34"/>
  <c r="X2164" i="34"/>
  <c r="A2164" i="34"/>
  <c r="V2160" i="34"/>
  <c r="X2160" i="34"/>
  <c r="A2160" i="34"/>
  <c r="V2156" i="34"/>
  <c r="X2156" i="34"/>
  <c r="A2156" i="34"/>
  <c r="V2152" i="34"/>
  <c r="X2152" i="34"/>
  <c r="A2152" i="34"/>
  <c r="X2062" i="34"/>
  <c r="V2062" i="34"/>
  <c r="A2062" i="34"/>
  <c r="X2058" i="34"/>
  <c r="V2058" i="34"/>
  <c r="A2058" i="34"/>
  <c r="X2054" i="34"/>
  <c r="V2054" i="34"/>
  <c r="A2054" i="34"/>
  <c r="X2050" i="34"/>
  <c r="V2050" i="34"/>
  <c r="A2050" i="34"/>
  <c r="X2002" i="34"/>
  <c r="V2002" i="34"/>
  <c r="A2002" i="34"/>
  <c r="X1998" i="34"/>
  <c r="V1998" i="34"/>
  <c r="A1998" i="34"/>
  <c r="X1994" i="34"/>
  <c r="V1994" i="34"/>
  <c r="A1994" i="34"/>
  <c r="X1990" i="34"/>
  <c r="V1990" i="34"/>
  <c r="A1990" i="34"/>
  <c r="V2739" i="34"/>
  <c r="X2739" i="34"/>
  <c r="A2739" i="34"/>
  <c r="V2743" i="34"/>
  <c r="X2743" i="34"/>
  <c r="A2743" i="34"/>
  <c r="V2747" i="34"/>
  <c r="X2747" i="34"/>
  <c r="A2747" i="34"/>
  <c r="X2545" i="34"/>
  <c r="V2545" i="34"/>
  <c r="A2545" i="34"/>
  <c r="X2549" i="34"/>
  <c r="V2549" i="34"/>
  <c r="A2549" i="34"/>
  <c r="X2553" i="34"/>
  <c r="V2553" i="34"/>
  <c r="A2553" i="34"/>
  <c r="X2557" i="34"/>
  <c r="V2557" i="34"/>
  <c r="A2557" i="34"/>
  <c r="X2561" i="34"/>
  <c r="V2561" i="34"/>
  <c r="A2561" i="34"/>
  <c r="X2565" i="34"/>
  <c r="V2565" i="34"/>
  <c r="A2565" i="34"/>
  <c r="X2569" i="34"/>
  <c r="V2569" i="34"/>
  <c r="A2569" i="34"/>
  <c r="X2573" i="34"/>
  <c r="V2573" i="34"/>
  <c r="A2573" i="34"/>
  <c r="X2577" i="34"/>
  <c r="V2577" i="34"/>
  <c r="A2577" i="34"/>
  <c r="V2588" i="34"/>
  <c r="X2588" i="34"/>
  <c r="A2588" i="34"/>
  <c r="X2626" i="34"/>
  <c r="V2626" i="34"/>
  <c r="A2626" i="34"/>
  <c r="X2630" i="34"/>
  <c r="V2630" i="34"/>
  <c r="A2630" i="34"/>
  <c r="X2634" i="34"/>
  <c r="V2634" i="34"/>
  <c r="A2634" i="34"/>
  <c r="X2522" i="34"/>
  <c r="V2522" i="34"/>
  <c r="A2522" i="34"/>
  <c r="X2526" i="34"/>
  <c r="V2526" i="34"/>
  <c r="A2526" i="34"/>
  <c r="X2530" i="34"/>
  <c r="V2530" i="34"/>
  <c r="A2530" i="34"/>
  <c r="X2534" i="34"/>
  <c r="V2534" i="34"/>
  <c r="A2534" i="34"/>
  <c r="X2538" i="34"/>
  <c r="V2538" i="34"/>
  <c r="A2538" i="34"/>
  <c r="X2542" i="34"/>
  <c r="V2542" i="34"/>
  <c r="A2542" i="34"/>
  <c r="V2584" i="34"/>
  <c r="X2584" i="34"/>
  <c r="A2584" i="34"/>
  <c r="X2613" i="34"/>
  <c r="V2613" i="34"/>
  <c r="A2613" i="34"/>
  <c r="X2617" i="34"/>
  <c r="V2617" i="34"/>
  <c r="A2617" i="34"/>
  <c r="X2621" i="34"/>
  <c r="V2621" i="34"/>
  <c r="A2621" i="34"/>
  <c r="X2713" i="34"/>
  <c r="V2713" i="34"/>
  <c r="A2713" i="34"/>
  <c r="X2602" i="34"/>
  <c r="V2602" i="34"/>
  <c r="A2602" i="34"/>
  <c r="V2671" i="34"/>
  <c r="X2671" i="34"/>
  <c r="A2671" i="34"/>
  <c r="V2675" i="34"/>
  <c r="X2675" i="34"/>
  <c r="A2675" i="34"/>
  <c r="V2679" i="34"/>
  <c r="X2679" i="34"/>
  <c r="A2679" i="34"/>
  <c r="V2683" i="34"/>
  <c r="X2683" i="34"/>
  <c r="A2683" i="34"/>
  <c r="V2687" i="34"/>
  <c r="X2687" i="34"/>
  <c r="A2687" i="34"/>
  <c r="V2691" i="34"/>
  <c r="X2691" i="34"/>
  <c r="A2691" i="34"/>
  <c r="V2695" i="34"/>
  <c r="X2695" i="34"/>
  <c r="A2695" i="34"/>
  <c r="V2699" i="34"/>
  <c r="X2699" i="34"/>
  <c r="A2699" i="34"/>
  <c r="V2703" i="34"/>
  <c r="X2703" i="34"/>
  <c r="A2703" i="34"/>
  <c r="V2707" i="34"/>
  <c r="X2707" i="34"/>
  <c r="A2707" i="34"/>
  <c r="X2410" i="34"/>
  <c r="V2410" i="34"/>
  <c r="A2410" i="34"/>
  <c r="V2440" i="34"/>
  <c r="X2440" i="34"/>
  <c r="A2440" i="34"/>
  <c r="S2418" i="34"/>
  <c r="T2418" i="34"/>
  <c r="X2418" i="34"/>
  <c r="U2418" i="34"/>
  <c r="V2418" i="34"/>
  <c r="A2418" i="34"/>
  <c r="T2453" i="34"/>
  <c r="X2453" i="34"/>
  <c r="U2453" i="34"/>
  <c r="V2453" i="34"/>
  <c r="S2453" i="34"/>
  <c r="A2453" i="34"/>
  <c r="X2790" i="34"/>
  <c r="V2790" i="34"/>
  <c r="A2790" i="34"/>
  <c r="X2457" i="34"/>
  <c r="V2457" i="34"/>
  <c r="A2457" i="34"/>
  <c r="X2465" i="34"/>
  <c r="V2465" i="34"/>
  <c r="A2465" i="34"/>
  <c r="X2469" i="34"/>
  <c r="V2469" i="34"/>
  <c r="A2469" i="34"/>
  <c r="X2473" i="34"/>
  <c r="V2473" i="34"/>
  <c r="A2473" i="34"/>
  <c r="X2477" i="34"/>
  <c r="V2477" i="34"/>
  <c r="A2477" i="34"/>
  <c r="X2481" i="34"/>
  <c r="V2481" i="34"/>
  <c r="A2481" i="34"/>
  <c r="X2485" i="34"/>
  <c r="V2485" i="34"/>
  <c r="A2485" i="34"/>
  <c r="X2489" i="34"/>
  <c r="V2489" i="34"/>
  <c r="A2489" i="34"/>
  <c r="X2493" i="34"/>
  <c r="V2493" i="34"/>
  <c r="A2493" i="34"/>
  <c r="X2497" i="34"/>
  <c r="V2497" i="34"/>
  <c r="A2497" i="34"/>
  <c r="X2581" i="34"/>
  <c r="V2581" i="34"/>
  <c r="A2581" i="34"/>
  <c r="V2591" i="34"/>
  <c r="X2591" i="34"/>
  <c r="A2591" i="34"/>
  <c r="V2595" i="34"/>
  <c r="X2595" i="34"/>
  <c r="A2595" i="34"/>
  <c r="V2599" i="34"/>
  <c r="X2599" i="34"/>
  <c r="A2599" i="34"/>
  <c r="X2518" i="34"/>
  <c r="V2518" i="34"/>
  <c r="A2518" i="34"/>
  <c r="X2514" i="34"/>
  <c r="V2514" i="34"/>
  <c r="A2514" i="34"/>
  <c r="X2421" i="34"/>
  <c r="V2421" i="34"/>
  <c r="A2421" i="34"/>
  <c r="X2665" i="34"/>
  <c r="V2665" i="34"/>
  <c r="A2665" i="34"/>
  <c r="X2661" i="34"/>
  <c r="V2661" i="34"/>
  <c r="A2661" i="34"/>
  <c r="X2657" i="34"/>
  <c r="V2657" i="34"/>
  <c r="A2657" i="34"/>
  <c r="X2653" i="34"/>
  <c r="V2653" i="34"/>
  <c r="A2653" i="34"/>
  <c r="X2649" i="34"/>
  <c r="V2649" i="34"/>
  <c r="A2649" i="34"/>
  <c r="X2645" i="34"/>
  <c r="V2645" i="34"/>
  <c r="A2645" i="34"/>
  <c r="X2641" i="34"/>
  <c r="V2641" i="34"/>
  <c r="A2641" i="34"/>
  <c r="X2609" i="34"/>
  <c r="V2609" i="34"/>
  <c r="A2609" i="34"/>
  <c r="X2605" i="34"/>
  <c r="V2605" i="34"/>
  <c r="A2605" i="34"/>
  <c r="X2510" i="34"/>
  <c r="V2510" i="34"/>
  <c r="A2510" i="34"/>
  <c r="X2506" i="34"/>
  <c r="V2506" i="34"/>
  <c r="A2506" i="34"/>
  <c r="X2502" i="34"/>
  <c r="V2502" i="34"/>
  <c r="A2502" i="34"/>
  <c r="X2461" i="34"/>
  <c r="V2461" i="34"/>
  <c r="A2461" i="34"/>
  <c r="V2452" i="34"/>
  <c r="X2452" i="34"/>
  <c r="A2452" i="34"/>
  <c r="V2448" i="34"/>
  <c r="X2448" i="34"/>
  <c r="A2448" i="34"/>
  <c r="V2444" i="34"/>
  <c r="X2444" i="34"/>
  <c r="A2444" i="34"/>
  <c r="V2436" i="34"/>
  <c r="X2436" i="34"/>
  <c r="A2436" i="34"/>
  <c r="V2432" i="34"/>
  <c r="X2432" i="34"/>
  <c r="A2432" i="34"/>
  <c r="V2428" i="34"/>
  <c r="X2428" i="34"/>
  <c r="A2428" i="34"/>
  <c r="V2415" i="34"/>
  <c r="X2415" i="34"/>
  <c r="A2415" i="34"/>
  <c r="X2737" i="34"/>
  <c r="V2737" i="34"/>
  <c r="A2737" i="34"/>
  <c r="X2733" i="34"/>
  <c r="V2733" i="34"/>
  <c r="A2733" i="34"/>
  <c r="X2729" i="34"/>
  <c r="V2729" i="34"/>
  <c r="A2729" i="34"/>
  <c r="X2725" i="34"/>
  <c r="V2725" i="34"/>
  <c r="A2725" i="34"/>
  <c r="X2721" i="34"/>
  <c r="V2721" i="34"/>
  <c r="A2721" i="34"/>
  <c r="X2717" i="34"/>
  <c r="V2717" i="34"/>
  <c r="A2717" i="34"/>
  <c r="X2067" i="34"/>
  <c r="V2067" i="34"/>
  <c r="A2067" i="34"/>
  <c r="V2296" i="34"/>
  <c r="X2296" i="34"/>
  <c r="A2296" i="34"/>
  <c r="V2292" i="34"/>
  <c r="X2292" i="34"/>
  <c r="A2292" i="34"/>
  <c r="V2288" i="34"/>
  <c r="X2288" i="34"/>
  <c r="A2288" i="34"/>
  <c r="X2202" i="34"/>
  <c r="V2202" i="34"/>
  <c r="A2202" i="34"/>
  <c r="X2198" i="34"/>
  <c r="V2198" i="34"/>
  <c r="A2198" i="34"/>
  <c r="X2194" i="34"/>
  <c r="V2194" i="34"/>
  <c r="A2194" i="34"/>
  <c r="X2190" i="34"/>
  <c r="V2190" i="34"/>
  <c r="A2190" i="34"/>
  <c r="X2186" i="34"/>
  <c r="V2186" i="34"/>
  <c r="A2186" i="34"/>
  <c r="X2182" i="34"/>
  <c r="V2182" i="34"/>
  <c r="A2182" i="34"/>
  <c r="X2178" i="34"/>
  <c r="V2178" i="34"/>
  <c r="A2178" i="34"/>
  <c r="X2079" i="34"/>
  <c r="V2079" i="34"/>
  <c r="A2079" i="34"/>
  <c r="X2075" i="34"/>
  <c r="V2075" i="34"/>
  <c r="A2075" i="34"/>
  <c r="X2071" i="34"/>
  <c r="V2071" i="34"/>
  <c r="A2071" i="34"/>
  <c r="V2017" i="34"/>
  <c r="X2017" i="34"/>
  <c r="A2017" i="34"/>
  <c r="V2013" i="34"/>
  <c r="X2013" i="34"/>
  <c r="A2013" i="34"/>
  <c r="V2009" i="34"/>
  <c r="X2009" i="34"/>
  <c r="A2009" i="34"/>
  <c r="V2005" i="34"/>
  <c r="X2005" i="34"/>
  <c r="A2005" i="34"/>
  <c r="X2401" i="34"/>
  <c r="V2401" i="34"/>
  <c r="A2401" i="34"/>
  <c r="V2348" i="34"/>
  <c r="X2348" i="34"/>
  <c r="A2348" i="34"/>
  <c r="V2344" i="34"/>
  <c r="X2344" i="34"/>
  <c r="A2344" i="34"/>
  <c r="X2286" i="34"/>
  <c r="V2286" i="34"/>
  <c r="A2286" i="34"/>
  <c r="X2282" i="34"/>
  <c r="V2282" i="34"/>
  <c r="A2282" i="34"/>
  <c r="X2278" i="34"/>
  <c r="V2278" i="34"/>
  <c r="A2278" i="34"/>
  <c r="X2274" i="34"/>
  <c r="V2274" i="34"/>
  <c r="A2274" i="34"/>
  <c r="X2270" i="34"/>
  <c r="V2270" i="34"/>
  <c r="A2270" i="34"/>
  <c r="X2266" i="34"/>
  <c r="V2266" i="34"/>
  <c r="A2266" i="34"/>
  <c r="X2262" i="34"/>
  <c r="V2262" i="34"/>
  <c r="A2262" i="34"/>
  <c r="X2258" i="34"/>
  <c r="V2258" i="34"/>
  <c r="A2258" i="34"/>
  <c r="X2175" i="34"/>
  <c r="V2175" i="34"/>
  <c r="A2175" i="34"/>
  <c r="X2171" i="34"/>
  <c r="V2171" i="34"/>
  <c r="A2171" i="34"/>
  <c r="X2167" i="34"/>
  <c r="V2167" i="34"/>
  <c r="A2167" i="34"/>
  <c r="X2163" i="34"/>
  <c r="V2163" i="34"/>
  <c r="A2163" i="34"/>
  <c r="X2159" i="34"/>
  <c r="V2159" i="34"/>
  <c r="A2159" i="34"/>
  <c r="X2155" i="34"/>
  <c r="V2155" i="34"/>
  <c r="A2155" i="34"/>
  <c r="X2151" i="34"/>
  <c r="V2151" i="34"/>
  <c r="A2151" i="34"/>
  <c r="V2061" i="34"/>
  <c r="X2061" i="34"/>
  <c r="A2061" i="34"/>
  <c r="V2057" i="34"/>
  <c r="X2057" i="34"/>
  <c r="A2057" i="34"/>
  <c r="V2053" i="34"/>
  <c r="X2053" i="34"/>
  <c r="A2053" i="34"/>
  <c r="V2049" i="34"/>
  <c r="X2049" i="34"/>
  <c r="A2049" i="34"/>
  <c r="V2001" i="34"/>
  <c r="X2001" i="34"/>
  <c r="A2001" i="34"/>
  <c r="V1997" i="34"/>
  <c r="X1997" i="34"/>
  <c r="A1997" i="34"/>
  <c r="V1993" i="34"/>
  <c r="X1993" i="34"/>
  <c r="A1993" i="34"/>
  <c r="V1989" i="34"/>
  <c r="X1989" i="34"/>
  <c r="A1989" i="34"/>
  <c r="V2740" i="34"/>
  <c r="X2740" i="34"/>
  <c r="A2740" i="34"/>
  <c r="V2744" i="34"/>
  <c r="X2744" i="34"/>
  <c r="A2744" i="34"/>
  <c r="V2748" i="34"/>
  <c r="X2748" i="34"/>
  <c r="A2748" i="34"/>
  <c r="X2546" i="34"/>
  <c r="V2546" i="34"/>
  <c r="A2546" i="34"/>
  <c r="X2550" i="34"/>
  <c r="V2550" i="34"/>
  <c r="A2550" i="34"/>
  <c r="X2554" i="34"/>
  <c r="V2554" i="34"/>
  <c r="A2554" i="34"/>
  <c r="X2558" i="34"/>
  <c r="V2558" i="34"/>
  <c r="A2558" i="34"/>
  <c r="X2562" i="34"/>
  <c r="V2562" i="34"/>
  <c r="A2562" i="34"/>
  <c r="X2566" i="34"/>
  <c r="V2566" i="34"/>
  <c r="A2566" i="34"/>
  <c r="X2570" i="34"/>
  <c r="V2570" i="34"/>
  <c r="A2570" i="34"/>
  <c r="X2574" i="34"/>
  <c r="V2574" i="34"/>
  <c r="A2574" i="34"/>
  <c r="X2578" i="34"/>
  <c r="V2578" i="34"/>
  <c r="A2578" i="34"/>
  <c r="V2623" i="34"/>
  <c r="X2623" i="34"/>
  <c r="A2623" i="34"/>
  <c r="V2627" i="34"/>
  <c r="X2627" i="34"/>
  <c r="A2627" i="34"/>
  <c r="V2631" i="34"/>
  <c r="X2631" i="34"/>
  <c r="A2631" i="34"/>
  <c r="X2749" i="34"/>
  <c r="V2749" i="34"/>
  <c r="A2749" i="34"/>
  <c r="V2523" i="34"/>
  <c r="X2523" i="34"/>
  <c r="A2523" i="34"/>
  <c r="V2527" i="34"/>
  <c r="X2527" i="34"/>
  <c r="A2527" i="34"/>
  <c r="V2531" i="34"/>
  <c r="X2531" i="34"/>
  <c r="A2531" i="34"/>
  <c r="V2535" i="34"/>
  <c r="X2535" i="34"/>
  <c r="A2535" i="34"/>
  <c r="V2539" i="34"/>
  <c r="X2539" i="34"/>
  <c r="A2539" i="34"/>
  <c r="V2543" i="34"/>
  <c r="X2543" i="34"/>
  <c r="A2543" i="34"/>
  <c r="X2585" i="34"/>
  <c r="V2585" i="34"/>
  <c r="A2585" i="34"/>
  <c r="X2614" i="34"/>
  <c r="V2614" i="34"/>
  <c r="A2614" i="34"/>
  <c r="X2618" i="34"/>
  <c r="V2618" i="34"/>
  <c r="A2618" i="34"/>
  <c r="X2622" i="34"/>
  <c r="V2622" i="34"/>
  <c r="A2622" i="34"/>
  <c r="X2714" i="34"/>
  <c r="V2714" i="34"/>
  <c r="A2714" i="34"/>
  <c r="X2654" i="34"/>
  <c r="V2654" i="34"/>
  <c r="A2654" i="34"/>
  <c r="V2672" i="34"/>
  <c r="X2672" i="34"/>
  <c r="A2672" i="34"/>
  <c r="V2676" i="34"/>
  <c r="X2676" i="34"/>
  <c r="A2676" i="34"/>
  <c r="V2680" i="34"/>
  <c r="X2680" i="34"/>
  <c r="A2680" i="34"/>
  <c r="V2684" i="34"/>
  <c r="X2684" i="34"/>
  <c r="A2684" i="34"/>
  <c r="V2688" i="34"/>
  <c r="X2688" i="34"/>
  <c r="A2688" i="34"/>
  <c r="V2692" i="34"/>
  <c r="X2692" i="34"/>
  <c r="A2692" i="34"/>
  <c r="V2696" i="34"/>
  <c r="X2696" i="34"/>
  <c r="A2696" i="34"/>
  <c r="V2700" i="34"/>
  <c r="X2700" i="34"/>
  <c r="A2700" i="34"/>
  <c r="V2704" i="34"/>
  <c r="X2704" i="34"/>
  <c r="A2704" i="34"/>
  <c r="V2708" i="34"/>
  <c r="X2708" i="34"/>
  <c r="A2708" i="34"/>
  <c r="X2409" i="34"/>
  <c r="V2409" i="34"/>
  <c r="A2409" i="34"/>
  <c r="X2441" i="34"/>
  <c r="V2441" i="34"/>
  <c r="A2441" i="34"/>
  <c r="V2423" i="34"/>
  <c r="S2423" i="34"/>
  <c r="T2423" i="34"/>
  <c r="X2423" i="34"/>
  <c r="U2423" i="34"/>
  <c r="A2423" i="34"/>
  <c r="X2454" i="34"/>
  <c r="V2454" i="34"/>
  <c r="A2454" i="34"/>
  <c r="V2791" i="34"/>
  <c r="X2791" i="34"/>
  <c r="A2791" i="34"/>
  <c r="V2419" i="34"/>
  <c r="X2419" i="34"/>
  <c r="A2419" i="34"/>
  <c r="X2466" i="34"/>
  <c r="V2466" i="34"/>
  <c r="A2466" i="34"/>
  <c r="X2470" i="34"/>
  <c r="V2470" i="34"/>
  <c r="A2470" i="34"/>
  <c r="X2474" i="34"/>
  <c r="V2474" i="34"/>
  <c r="A2474" i="34"/>
  <c r="X2478" i="34"/>
  <c r="V2478" i="34"/>
  <c r="A2478" i="34"/>
  <c r="X2482" i="34"/>
  <c r="V2482" i="34"/>
  <c r="A2482" i="34"/>
  <c r="X2486" i="34"/>
  <c r="V2486" i="34"/>
  <c r="A2486" i="34"/>
  <c r="X2490" i="34"/>
  <c r="V2490" i="34"/>
  <c r="A2490" i="34"/>
  <c r="X2494" i="34"/>
  <c r="V2494" i="34"/>
  <c r="A2494" i="34"/>
  <c r="X2498" i="34"/>
  <c r="V2498" i="34"/>
  <c r="A2498" i="34"/>
  <c r="X2582" i="34"/>
  <c r="V2582" i="34"/>
  <c r="A2582" i="34"/>
  <c r="V2592" i="34"/>
  <c r="X2592" i="34"/>
  <c r="A2592" i="34"/>
  <c r="V2596" i="34"/>
  <c r="X2596" i="34"/>
  <c r="A2596" i="34"/>
  <c r="V2600" i="34"/>
  <c r="X2600" i="34"/>
  <c r="A2600" i="34"/>
  <c r="X2517" i="34"/>
  <c r="V2517" i="34"/>
  <c r="A2517" i="34"/>
  <c r="X2513" i="34"/>
  <c r="V2513" i="34"/>
  <c r="A2513" i="34"/>
  <c r="X2462" i="34"/>
  <c r="V2462" i="34"/>
  <c r="A2462" i="34"/>
  <c r="V2664" i="34"/>
  <c r="X2664" i="34"/>
  <c r="A2664" i="34"/>
  <c r="V2660" i="34"/>
  <c r="X2660" i="34"/>
  <c r="A2660" i="34"/>
  <c r="V2656" i="34"/>
  <c r="X2656" i="34"/>
  <c r="A2656" i="34"/>
  <c r="V2652" i="34"/>
  <c r="X2652" i="34"/>
  <c r="A2652" i="34"/>
  <c r="V2648" i="34"/>
  <c r="X2648" i="34"/>
  <c r="A2648" i="34"/>
  <c r="V2644" i="34"/>
  <c r="X2644" i="34"/>
  <c r="A2644" i="34"/>
  <c r="V2640" i="34"/>
  <c r="X2640" i="34"/>
  <c r="A2640" i="34"/>
  <c r="V2608" i="34"/>
  <c r="X2608" i="34"/>
  <c r="A2608" i="34"/>
  <c r="V2604" i="34"/>
  <c r="X2604" i="34"/>
  <c r="A2604" i="34"/>
  <c r="X2509" i="34"/>
  <c r="V2509" i="34"/>
  <c r="A2509" i="34"/>
  <c r="X2505" i="34"/>
  <c r="V2505" i="34"/>
  <c r="A2505" i="34"/>
  <c r="X2501" i="34"/>
  <c r="V2501" i="34"/>
  <c r="A2501" i="34"/>
  <c r="V2460" i="34"/>
  <c r="X2460" i="34"/>
  <c r="A2460" i="34"/>
  <c r="V2451" i="34"/>
  <c r="X2451" i="34"/>
  <c r="A2451" i="34"/>
  <c r="V2447" i="34"/>
  <c r="X2447" i="34"/>
  <c r="A2447" i="34"/>
  <c r="V2443" i="34"/>
  <c r="X2443" i="34"/>
  <c r="A2443" i="34"/>
  <c r="V2439" i="34"/>
  <c r="X2439" i="34"/>
  <c r="A2439" i="34"/>
  <c r="V2435" i="34"/>
  <c r="X2435" i="34"/>
  <c r="A2435" i="34"/>
  <c r="V2431" i="34"/>
  <c r="X2431" i="34"/>
  <c r="A2431" i="34"/>
  <c r="V2427" i="34"/>
  <c r="X2427" i="34"/>
  <c r="A2427" i="34"/>
  <c r="X2414" i="34"/>
  <c r="V2414" i="34"/>
  <c r="A2414" i="34"/>
  <c r="V2736" i="34"/>
  <c r="X2736" i="34"/>
  <c r="A2736" i="34"/>
  <c r="V2732" i="34"/>
  <c r="X2732" i="34"/>
  <c r="A2732" i="34"/>
  <c r="V2728" i="34"/>
  <c r="X2728" i="34"/>
  <c r="A2728" i="34"/>
  <c r="V2724" i="34"/>
  <c r="X2724" i="34"/>
  <c r="A2724" i="34"/>
  <c r="V2720" i="34"/>
  <c r="X2720" i="34"/>
  <c r="A2720" i="34"/>
  <c r="V2716" i="34"/>
  <c r="X2716" i="34"/>
  <c r="A2716" i="34"/>
  <c r="X2166" i="34"/>
  <c r="V2166" i="34"/>
  <c r="A2166" i="34"/>
  <c r="X2295" i="34"/>
  <c r="V2295" i="34"/>
  <c r="A2295" i="34"/>
  <c r="X2291" i="34"/>
  <c r="V2291" i="34"/>
  <c r="A2291" i="34"/>
  <c r="X2287" i="34"/>
  <c r="V2287" i="34"/>
  <c r="A2287" i="34"/>
  <c r="V2201" i="34"/>
  <c r="X2201" i="34"/>
  <c r="A2201" i="34"/>
  <c r="V2197" i="34"/>
  <c r="X2197" i="34"/>
  <c r="A2197" i="34"/>
  <c r="V2193" i="34"/>
  <c r="X2193" i="34"/>
  <c r="A2193" i="34"/>
  <c r="V2189" i="34"/>
  <c r="X2189" i="34"/>
  <c r="A2189" i="34"/>
  <c r="V2185" i="34"/>
  <c r="X2185" i="34"/>
  <c r="A2185" i="34"/>
  <c r="V2181" i="34"/>
  <c r="X2181" i="34"/>
  <c r="A2181" i="34"/>
  <c r="X2082" i="34"/>
  <c r="V2082" i="34"/>
  <c r="A2082" i="34"/>
  <c r="X2078" i="34"/>
  <c r="V2078" i="34"/>
  <c r="A2078" i="34"/>
  <c r="X2074" i="34"/>
  <c r="V2074" i="34"/>
  <c r="A2074" i="34"/>
  <c r="X2070" i="34"/>
  <c r="V2070" i="34"/>
  <c r="A2070" i="34"/>
  <c r="X2066" i="34"/>
  <c r="V2066" i="34"/>
  <c r="A2066" i="34"/>
  <c r="V2016" i="34"/>
  <c r="X2016" i="34"/>
  <c r="A2016" i="34"/>
  <c r="V2012" i="34"/>
  <c r="X2012" i="34"/>
  <c r="A2012" i="34"/>
  <c r="V2008" i="34"/>
  <c r="X2008" i="34"/>
  <c r="A2008" i="34"/>
  <c r="V2004" i="34"/>
  <c r="X2004" i="34"/>
  <c r="A2004" i="34"/>
  <c r="V2400" i="34"/>
  <c r="X2400" i="34"/>
  <c r="A2400" i="34"/>
  <c r="X2347" i="34"/>
  <c r="V2347" i="34"/>
  <c r="A2347" i="34"/>
  <c r="X2343" i="34"/>
  <c r="V2343" i="34"/>
  <c r="A2343" i="34"/>
  <c r="V2285" i="34"/>
  <c r="X2285" i="34"/>
  <c r="A2285" i="34"/>
  <c r="V2281" i="34"/>
  <c r="X2281" i="34"/>
  <c r="A2281" i="34"/>
  <c r="V2277" i="34"/>
  <c r="X2277" i="34"/>
  <c r="A2277" i="34"/>
  <c r="V2273" i="34"/>
  <c r="X2273" i="34"/>
  <c r="A2273" i="34"/>
  <c r="V2269" i="34"/>
  <c r="X2269" i="34"/>
  <c r="A2269" i="34"/>
  <c r="V2265" i="34"/>
  <c r="X2265" i="34"/>
  <c r="A2265" i="34"/>
  <c r="V2261" i="34"/>
  <c r="X2261" i="34"/>
  <c r="A2261" i="34"/>
  <c r="V2257" i="34"/>
  <c r="X2257" i="34"/>
  <c r="A2257" i="34"/>
  <c r="X2174" i="34"/>
  <c r="V2174" i="34"/>
  <c r="A2174" i="34"/>
  <c r="X2170" i="34"/>
  <c r="V2170" i="34"/>
  <c r="A2170" i="34"/>
  <c r="X2162" i="34"/>
  <c r="V2162" i="34"/>
  <c r="A2162" i="34"/>
  <c r="X2158" i="34"/>
  <c r="V2158" i="34"/>
  <c r="A2158" i="34"/>
  <c r="X2154" i="34"/>
  <c r="V2154" i="34"/>
  <c r="A2154" i="34"/>
  <c r="V2064" i="34"/>
  <c r="X2064" i="34"/>
  <c r="A2064" i="34"/>
  <c r="V2060" i="34"/>
  <c r="X2060" i="34"/>
  <c r="A2060" i="34"/>
  <c r="V2056" i="34"/>
  <c r="X2056" i="34"/>
  <c r="A2056" i="34"/>
  <c r="V2052" i="34"/>
  <c r="X2052" i="34"/>
  <c r="A2052" i="34"/>
  <c r="V2048" i="34"/>
  <c r="X2048" i="34"/>
  <c r="A2048" i="34"/>
  <c r="V2000" i="34"/>
  <c r="X2000" i="34"/>
  <c r="A2000" i="34"/>
  <c r="V1996" i="34"/>
  <c r="X1996" i="34"/>
  <c r="A1996" i="34"/>
  <c r="V1992" i="34"/>
  <c r="X1992" i="34"/>
  <c r="A1992" i="34"/>
  <c r="V1988" i="34"/>
  <c r="X1988" i="34"/>
  <c r="A1988" i="34"/>
  <c r="X2741" i="34"/>
  <c r="V2741" i="34"/>
  <c r="A2741" i="34"/>
  <c r="X2745" i="34"/>
  <c r="V2745" i="34"/>
  <c r="A2745" i="34"/>
  <c r="V2463" i="34"/>
  <c r="X2463" i="34"/>
  <c r="A2463" i="34"/>
  <c r="V2547" i="34"/>
  <c r="X2547" i="34"/>
  <c r="A2547" i="34"/>
  <c r="V2551" i="34"/>
  <c r="X2551" i="34"/>
  <c r="A2551" i="34"/>
  <c r="V2555" i="34"/>
  <c r="X2555" i="34"/>
  <c r="A2555" i="34"/>
  <c r="V2559" i="34"/>
  <c r="X2559" i="34"/>
  <c r="A2559" i="34"/>
  <c r="V2563" i="34"/>
  <c r="X2563" i="34"/>
  <c r="A2563" i="34"/>
  <c r="V2567" i="34"/>
  <c r="X2567" i="34"/>
  <c r="A2567" i="34"/>
  <c r="V2571" i="34"/>
  <c r="X2571" i="34"/>
  <c r="A2571" i="34"/>
  <c r="V2575" i="34"/>
  <c r="X2575" i="34"/>
  <c r="A2575" i="34"/>
  <c r="X2586" i="34"/>
  <c r="V2586" i="34"/>
  <c r="A2586" i="34"/>
  <c r="V2624" i="34"/>
  <c r="X2624" i="34"/>
  <c r="A2624" i="34"/>
  <c r="V2628" i="34"/>
  <c r="X2628" i="34"/>
  <c r="A2628" i="34"/>
  <c r="V2632" i="34"/>
  <c r="X2632" i="34"/>
  <c r="A2632" i="34"/>
  <c r="V2520" i="34"/>
  <c r="X2520" i="34"/>
  <c r="A2520" i="34"/>
  <c r="V2524" i="34"/>
  <c r="X2524" i="34"/>
  <c r="A2524" i="34"/>
  <c r="V2528" i="34"/>
  <c r="X2528" i="34"/>
  <c r="A2528" i="34"/>
  <c r="V2532" i="34"/>
  <c r="X2532" i="34"/>
  <c r="A2532" i="34"/>
  <c r="V2536" i="34"/>
  <c r="X2536" i="34"/>
  <c r="A2536" i="34"/>
  <c r="V2540" i="34"/>
  <c r="X2540" i="34"/>
  <c r="A2540" i="34"/>
  <c r="V2544" i="34"/>
  <c r="X2544" i="34"/>
  <c r="A2544" i="34"/>
  <c r="V2611" i="34"/>
  <c r="X2611" i="34"/>
  <c r="A2611" i="34"/>
  <c r="V2615" i="34"/>
  <c r="X2615" i="34"/>
  <c r="A2615" i="34"/>
  <c r="V2619" i="34"/>
  <c r="X2619" i="34"/>
  <c r="A2619" i="34"/>
  <c r="V2711" i="34"/>
  <c r="X2711" i="34"/>
  <c r="A2711" i="34"/>
  <c r="V2715" i="34"/>
  <c r="X2715" i="34"/>
  <c r="A2715" i="34"/>
  <c r="V2668" i="34"/>
  <c r="X2668" i="34"/>
  <c r="A2668" i="34"/>
  <c r="X2673" i="34"/>
  <c r="V2673" i="34"/>
  <c r="A2673" i="34"/>
  <c r="X2677" i="34"/>
  <c r="V2677" i="34"/>
  <c r="A2677" i="34"/>
  <c r="X2681" i="34"/>
  <c r="V2681" i="34"/>
  <c r="A2681" i="34"/>
  <c r="X2685" i="34"/>
  <c r="V2685" i="34"/>
  <c r="A2685" i="34"/>
  <c r="X2689" i="34"/>
  <c r="V2689" i="34"/>
  <c r="A2689" i="34"/>
  <c r="X2693" i="34"/>
  <c r="V2693" i="34"/>
  <c r="A2693" i="34"/>
  <c r="X2697" i="34"/>
  <c r="V2697" i="34"/>
  <c r="A2697" i="34"/>
  <c r="X2701" i="34"/>
  <c r="V2701" i="34"/>
  <c r="A2701" i="34"/>
  <c r="X2705" i="34"/>
  <c r="V2705" i="34"/>
  <c r="A2705" i="34"/>
  <c r="X2709" i="34"/>
  <c r="V2709" i="34"/>
  <c r="A2709" i="34"/>
  <c r="V2411" i="34"/>
  <c r="X2411" i="34"/>
  <c r="A2411" i="34"/>
  <c r="X2442" i="34"/>
  <c r="V2442" i="34"/>
  <c r="A2442" i="34"/>
  <c r="V2424" i="34"/>
  <c r="X2424" i="34"/>
  <c r="A2424" i="34"/>
  <c r="V2455" i="34"/>
  <c r="X2455" i="34"/>
  <c r="A2455" i="34"/>
  <c r="V2792" i="34"/>
  <c r="X2792" i="34"/>
  <c r="A2792" i="34"/>
  <c r="V2420" i="34"/>
  <c r="X2420" i="34"/>
  <c r="A2420" i="34"/>
  <c r="V2467" i="34"/>
  <c r="X2467" i="34"/>
  <c r="A2467" i="34"/>
  <c r="V2471" i="34"/>
  <c r="X2471" i="34"/>
  <c r="A2471" i="34"/>
  <c r="V2475" i="34"/>
  <c r="X2475" i="34"/>
  <c r="A2475" i="34"/>
  <c r="V2479" i="34"/>
  <c r="X2479" i="34"/>
  <c r="A2479" i="34"/>
  <c r="V2483" i="34"/>
  <c r="X2483" i="34"/>
  <c r="A2483" i="34"/>
  <c r="V2487" i="34"/>
  <c r="X2487" i="34"/>
  <c r="A2487" i="34"/>
  <c r="V2491" i="34"/>
  <c r="X2491" i="34"/>
  <c r="A2491" i="34"/>
  <c r="V2495" i="34"/>
  <c r="X2495" i="34"/>
  <c r="A2495" i="34"/>
  <c r="V2579" i="34"/>
  <c r="X2579" i="34"/>
  <c r="A2579" i="34"/>
  <c r="X2589" i="34"/>
  <c r="V2589" i="34"/>
  <c r="A2589" i="34"/>
  <c r="X2593" i="34"/>
  <c r="V2593" i="34"/>
  <c r="A2593" i="34"/>
  <c r="X2597" i="34"/>
  <c r="V2597" i="34"/>
  <c r="A2597" i="34"/>
  <c r="X2601" i="34"/>
  <c r="V2601" i="34"/>
  <c r="A2601" i="34"/>
  <c r="V2516" i="34"/>
  <c r="X2516" i="34"/>
  <c r="A2516" i="34"/>
  <c r="V2512" i="34"/>
  <c r="X2512" i="34"/>
  <c r="A2512" i="34"/>
  <c r="V2667" i="34"/>
  <c r="X2667" i="34"/>
  <c r="A2667" i="34"/>
  <c r="V2663" i="34"/>
  <c r="X2663" i="34"/>
  <c r="A2663" i="34"/>
  <c r="V2659" i="34"/>
  <c r="X2659" i="34"/>
  <c r="A2659" i="34"/>
  <c r="V2655" i="34"/>
  <c r="X2655" i="34"/>
  <c r="A2655" i="34"/>
  <c r="V2651" i="34"/>
  <c r="X2651" i="34"/>
  <c r="A2651" i="34"/>
  <c r="V2647" i="34"/>
  <c r="X2647" i="34"/>
  <c r="A2647" i="34"/>
  <c r="V2643" i="34"/>
  <c r="X2643" i="34"/>
  <c r="A2643" i="34"/>
  <c r="V2639" i="34"/>
  <c r="X2639" i="34"/>
  <c r="A2639" i="34"/>
  <c r="V2607" i="34"/>
  <c r="X2607" i="34"/>
  <c r="A2607" i="34"/>
  <c r="V2603" i="34"/>
  <c r="X2603" i="34"/>
  <c r="A2603" i="34"/>
  <c r="V2508" i="34"/>
  <c r="X2508" i="34"/>
  <c r="A2508" i="34"/>
  <c r="V2504" i="34"/>
  <c r="X2504" i="34"/>
  <c r="A2504" i="34"/>
  <c r="V2500" i="34"/>
  <c r="X2500" i="34"/>
  <c r="A2500" i="34"/>
  <c r="V2459" i="34"/>
  <c r="X2459" i="34"/>
  <c r="A2459" i="34"/>
  <c r="X2450" i="34"/>
  <c r="V2450" i="34"/>
  <c r="A2450" i="34"/>
  <c r="X2446" i="34"/>
  <c r="V2446" i="34"/>
  <c r="A2446" i="34"/>
  <c r="X2438" i="34"/>
  <c r="V2438" i="34"/>
  <c r="A2438" i="34"/>
  <c r="X2434" i="34"/>
  <c r="V2434" i="34"/>
  <c r="A2434" i="34"/>
  <c r="X2430" i="34"/>
  <c r="V2430" i="34"/>
  <c r="A2430" i="34"/>
  <c r="X2426" i="34"/>
  <c r="V2426" i="34"/>
  <c r="A2426" i="34"/>
  <c r="X2413" i="34"/>
  <c r="V2413" i="34"/>
  <c r="A2413" i="34"/>
  <c r="V2735" i="34"/>
  <c r="X2735" i="34"/>
  <c r="A2735" i="34"/>
  <c r="V2731" i="34"/>
  <c r="X2731" i="34"/>
  <c r="A2731" i="34"/>
  <c r="V2727" i="34"/>
  <c r="X2727" i="34"/>
  <c r="A2727" i="34"/>
  <c r="V2723" i="34"/>
  <c r="X2723" i="34"/>
  <c r="A2723" i="34"/>
  <c r="V2719" i="34"/>
  <c r="X2719" i="34"/>
  <c r="A2719" i="34"/>
  <c r="X1987" i="34"/>
  <c r="V1987" i="34"/>
  <c r="A1987" i="34"/>
  <c r="X2294" i="34"/>
  <c r="V2294" i="34"/>
  <c r="A2294" i="34"/>
  <c r="X2290" i="34"/>
  <c r="V2290" i="34"/>
  <c r="A2290" i="34"/>
  <c r="V2204" i="34"/>
  <c r="X2204" i="34"/>
  <c r="A2204" i="34"/>
  <c r="V2200" i="34"/>
  <c r="X2200" i="34"/>
  <c r="A2200" i="34"/>
  <c r="V2196" i="34"/>
  <c r="X2196" i="34"/>
  <c r="A2196" i="34"/>
  <c r="V2192" i="34"/>
  <c r="X2192" i="34"/>
  <c r="A2192" i="34"/>
  <c r="V2188" i="34"/>
  <c r="X2188" i="34"/>
  <c r="A2188" i="34"/>
  <c r="V2184" i="34"/>
  <c r="X2184" i="34"/>
  <c r="A2184" i="34"/>
  <c r="V2180" i="34"/>
  <c r="X2180" i="34"/>
  <c r="A2180" i="34"/>
  <c r="V2081" i="34"/>
  <c r="X2081" i="34"/>
  <c r="A2081" i="34"/>
  <c r="V2077" i="34"/>
  <c r="X2077" i="34"/>
  <c r="A2077" i="34"/>
  <c r="V2073" i="34"/>
  <c r="X2073" i="34"/>
  <c r="A2073" i="34"/>
  <c r="V2069" i="34"/>
  <c r="X2069" i="34"/>
  <c r="A2069" i="34"/>
  <c r="V2065" i="34"/>
  <c r="X2065" i="34"/>
  <c r="A2065" i="34"/>
  <c r="X2015" i="34"/>
  <c r="V2015" i="34"/>
  <c r="A2015" i="34"/>
  <c r="X2011" i="34"/>
  <c r="V2011" i="34"/>
  <c r="A2011" i="34"/>
  <c r="X2007" i="34"/>
  <c r="V2007" i="34"/>
  <c r="A2007" i="34"/>
  <c r="X2003" i="34"/>
  <c r="V2003" i="34"/>
  <c r="A2003" i="34"/>
  <c r="V2399" i="34"/>
  <c r="X2399" i="34"/>
  <c r="A2399" i="34"/>
  <c r="X2346" i="34"/>
  <c r="V2346" i="34"/>
  <c r="A2346" i="34"/>
  <c r="X2342" i="34"/>
  <c r="V2342" i="34"/>
  <c r="A2342" i="34"/>
  <c r="V2284" i="34"/>
  <c r="X2284" i="34"/>
  <c r="A2284" i="34"/>
  <c r="V2280" i="34"/>
  <c r="X2280" i="34"/>
  <c r="A2280" i="34"/>
  <c r="V2276" i="34"/>
  <c r="X2276" i="34"/>
  <c r="A2276" i="34"/>
  <c r="V2272" i="34"/>
  <c r="X2272" i="34"/>
  <c r="A2272" i="34"/>
  <c r="V2268" i="34"/>
  <c r="X2268" i="34"/>
  <c r="A2268" i="34"/>
  <c r="V2264" i="34"/>
  <c r="X2264" i="34"/>
  <c r="A2264" i="34"/>
  <c r="V2260" i="34"/>
  <c r="X2260" i="34"/>
  <c r="A2260" i="34"/>
  <c r="V2177" i="34"/>
  <c r="X2177" i="34"/>
  <c r="A2177" i="34"/>
  <c r="V2173" i="34"/>
  <c r="X2173" i="34"/>
  <c r="A2173" i="34"/>
  <c r="V2169" i="34"/>
  <c r="X2169" i="34"/>
  <c r="A2169" i="34"/>
  <c r="V2165" i="34"/>
  <c r="X2165" i="34"/>
  <c r="A2165" i="34"/>
  <c r="V2161" i="34"/>
  <c r="X2161" i="34"/>
  <c r="A2161" i="34"/>
  <c r="V2157" i="34"/>
  <c r="X2157" i="34"/>
  <c r="A2157" i="34"/>
  <c r="V2153" i="34"/>
  <c r="X2153" i="34"/>
  <c r="A2153" i="34"/>
  <c r="X2063" i="34"/>
  <c r="V2063" i="34"/>
  <c r="A2063" i="34"/>
  <c r="X2059" i="34"/>
  <c r="V2059" i="34"/>
  <c r="A2059" i="34"/>
  <c r="X2055" i="34"/>
  <c r="V2055" i="34"/>
  <c r="A2055" i="34"/>
  <c r="X2051" i="34"/>
  <c r="V2051" i="34"/>
  <c r="A2051" i="34"/>
  <c r="X2047" i="34"/>
  <c r="V2047" i="34"/>
  <c r="A2047" i="34"/>
  <c r="X1999" i="34"/>
  <c r="V1999" i="34"/>
  <c r="A1999" i="34"/>
  <c r="X1995" i="34"/>
  <c r="V1995" i="34"/>
  <c r="A1995" i="34"/>
  <c r="X1991" i="34"/>
  <c r="V1991" i="34"/>
  <c r="A1991" i="34"/>
  <c r="X2734" i="34"/>
  <c r="V2734" i="34"/>
  <c r="A2734" i="34"/>
  <c r="X2742" i="34"/>
  <c r="V2742" i="34"/>
  <c r="A2742" i="34"/>
  <c r="X2746" i="34"/>
  <c r="V2746" i="34"/>
  <c r="A2746" i="34"/>
  <c r="X2422" i="34"/>
  <c r="V2422" i="34"/>
  <c r="A2422" i="34"/>
  <c r="V2548" i="34"/>
  <c r="X2548" i="34"/>
  <c r="A2548" i="34"/>
  <c r="V2552" i="34"/>
  <c r="X2552" i="34"/>
  <c r="A2552" i="34"/>
  <c r="V2556" i="34"/>
  <c r="X2556" i="34"/>
  <c r="A2556" i="34"/>
  <c r="V2560" i="34"/>
  <c r="X2560" i="34"/>
  <c r="A2560" i="34"/>
  <c r="V2564" i="34"/>
  <c r="X2564" i="34"/>
  <c r="A2564" i="34"/>
  <c r="V2568" i="34"/>
  <c r="X2568" i="34"/>
  <c r="A2568" i="34"/>
  <c r="V2572" i="34"/>
  <c r="X2572" i="34"/>
  <c r="A2572" i="34"/>
  <c r="V2576" i="34"/>
  <c r="X2576" i="34"/>
  <c r="A2576" i="34"/>
  <c r="V2587" i="34"/>
  <c r="X2587" i="34"/>
  <c r="A2587" i="34"/>
  <c r="X2625" i="34"/>
  <c r="V2625" i="34"/>
  <c r="A2625" i="34"/>
  <c r="X2629" i="34"/>
  <c r="V2629" i="34"/>
  <c r="A2629" i="34"/>
  <c r="X2633" i="34"/>
  <c r="V2633" i="34"/>
  <c r="A2633" i="34"/>
  <c r="X2521" i="34"/>
  <c r="V2521" i="34"/>
  <c r="A2521" i="34"/>
  <c r="X2525" i="34"/>
  <c r="V2525" i="34"/>
  <c r="A2525" i="34"/>
  <c r="X2529" i="34"/>
  <c r="V2529" i="34"/>
  <c r="A2529" i="34"/>
  <c r="X2533" i="34"/>
  <c r="V2533" i="34"/>
  <c r="A2533" i="34"/>
  <c r="X2537" i="34"/>
  <c r="V2537" i="34"/>
  <c r="A2537" i="34"/>
  <c r="X2541" i="34"/>
  <c r="V2541" i="34"/>
  <c r="A2541" i="34"/>
  <c r="V2583" i="34"/>
  <c r="X2583" i="34"/>
  <c r="A2583" i="34"/>
  <c r="V2612" i="34"/>
  <c r="X2612" i="34"/>
  <c r="A2612" i="34"/>
  <c r="V2616" i="34"/>
  <c r="X2616" i="34"/>
  <c r="A2616" i="34"/>
  <c r="V2620" i="34"/>
  <c r="X2620" i="34"/>
  <c r="A2620" i="34"/>
  <c r="V2712" i="34"/>
  <c r="X2712" i="34"/>
  <c r="A2712" i="34"/>
  <c r="X2726" i="34"/>
  <c r="V2726" i="34"/>
  <c r="A2726" i="34"/>
  <c r="X2669" i="34"/>
  <c r="V2669" i="34"/>
  <c r="A2669" i="34"/>
  <c r="X2674" i="34"/>
  <c r="V2674" i="34"/>
  <c r="A2674" i="34"/>
  <c r="X2678" i="34"/>
  <c r="V2678" i="34"/>
  <c r="A2678" i="34"/>
  <c r="X2682" i="34"/>
  <c r="V2682" i="34"/>
  <c r="A2682" i="34"/>
  <c r="X2686" i="34"/>
  <c r="V2686" i="34"/>
  <c r="A2686" i="34"/>
  <c r="X2690" i="34"/>
  <c r="V2690" i="34"/>
  <c r="A2690" i="34"/>
  <c r="X2694" i="34"/>
  <c r="V2694" i="34"/>
  <c r="A2694" i="34"/>
  <c r="X2698" i="34"/>
  <c r="V2698" i="34"/>
  <c r="A2698" i="34"/>
  <c r="X2702" i="34"/>
  <c r="V2702" i="34"/>
  <c r="A2702" i="34"/>
  <c r="X2706" i="34"/>
  <c r="V2706" i="34"/>
  <c r="A2706" i="34"/>
  <c r="X2710" i="34"/>
  <c r="V2710" i="34"/>
  <c r="A2710" i="34"/>
  <c r="X2433" i="34"/>
  <c r="V2433" i="34"/>
  <c r="A2433" i="34"/>
  <c r="T2417" i="34"/>
  <c r="X2417" i="34"/>
  <c r="U2417" i="34"/>
  <c r="V2417" i="34"/>
  <c r="S2417" i="34"/>
  <c r="A2417" i="34"/>
  <c r="X2425" i="34"/>
  <c r="V2425" i="34"/>
  <c r="A2425" i="34"/>
  <c r="V2635" i="34"/>
  <c r="S2635" i="34"/>
  <c r="T2635" i="34"/>
  <c r="X2635" i="34"/>
  <c r="U2635" i="34"/>
  <c r="A2635" i="34"/>
  <c r="V2456" i="34"/>
  <c r="X2456" i="34"/>
  <c r="A2456" i="34"/>
  <c r="V2464" i="34"/>
  <c r="X2464" i="34"/>
  <c r="A2464" i="34"/>
  <c r="V2468" i="34"/>
  <c r="X2468" i="34"/>
  <c r="A2468" i="34"/>
  <c r="V2472" i="34"/>
  <c r="X2472" i="34"/>
  <c r="A2472" i="34"/>
  <c r="V2476" i="34"/>
  <c r="X2476" i="34"/>
  <c r="A2476" i="34"/>
  <c r="V2480" i="34"/>
  <c r="X2480" i="34"/>
  <c r="A2480" i="34"/>
  <c r="V2484" i="34"/>
  <c r="X2484" i="34"/>
  <c r="A2484" i="34"/>
  <c r="V2488" i="34"/>
  <c r="X2488" i="34"/>
  <c r="A2488" i="34"/>
  <c r="V2492" i="34"/>
  <c r="X2492" i="34"/>
  <c r="A2492" i="34"/>
  <c r="V2496" i="34"/>
  <c r="X2496" i="34"/>
  <c r="A2496" i="34"/>
  <c r="V2580" i="34"/>
  <c r="X2580" i="34"/>
  <c r="A2580" i="34"/>
  <c r="X2590" i="34"/>
  <c r="V2590" i="34"/>
  <c r="A2590" i="34"/>
  <c r="X2594" i="34"/>
  <c r="V2594" i="34"/>
  <c r="A2594" i="34"/>
  <c r="X2598" i="34"/>
  <c r="V2598" i="34"/>
  <c r="A2598" i="34"/>
  <c r="V2519" i="34"/>
  <c r="X2519" i="34"/>
  <c r="A2519" i="34"/>
  <c r="V2515" i="34"/>
  <c r="X2515" i="34"/>
  <c r="A2515" i="34"/>
  <c r="V2511" i="34"/>
  <c r="X2511" i="34"/>
  <c r="A2511" i="34"/>
  <c r="X2666" i="34"/>
  <c r="V2666" i="34"/>
  <c r="A2666" i="34"/>
  <c r="X2662" i="34"/>
  <c r="V2662" i="34"/>
  <c r="A2662" i="34"/>
  <c r="X2658" i="34"/>
  <c r="V2658" i="34"/>
  <c r="A2658" i="34"/>
  <c r="X2650" i="34"/>
  <c r="V2650" i="34"/>
  <c r="A2650" i="34"/>
  <c r="X2646" i="34"/>
  <c r="V2646" i="34"/>
  <c r="A2646" i="34"/>
  <c r="X2642" i="34"/>
  <c r="V2642" i="34"/>
  <c r="A2642" i="34"/>
  <c r="X2610" i="34"/>
  <c r="V2610" i="34"/>
  <c r="A2610" i="34"/>
  <c r="X2606" i="34"/>
  <c r="V2606" i="34"/>
  <c r="A2606" i="34"/>
  <c r="V2507" i="34"/>
  <c r="X2507" i="34"/>
  <c r="A2507" i="34"/>
  <c r="V2503" i="34"/>
  <c r="X2503" i="34"/>
  <c r="A2503" i="34"/>
  <c r="V2499" i="34"/>
  <c r="X2499" i="34"/>
  <c r="A2499" i="34"/>
  <c r="X2458" i="34"/>
  <c r="V2458" i="34"/>
  <c r="A2458" i="34"/>
  <c r="X2449" i="34"/>
  <c r="V2449" i="34"/>
  <c r="A2449" i="34"/>
  <c r="X2445" i="34"/>
  <c r="V2445" i="34"/>
  <c r="A2445" i="34"/>
  <c r="X2437" i="34"/>
  <c r="V2437" i="34"/>
  <c r="A2437" i="34"/>
  <c r="X2429" i="34"/>
  <c r="V2429" i="34"/>
  <c r="A2429" i="34"/>
  <c r="V2416" i="34"/>
  <c r="X2416" i="34"/>
  <c r="A2416" i="34"/>
  <c r="V2412" i="34"/>
  <c r="X2412" i="34"/>
  <c r="A2412" i="34"/>
  <c r="X2738" i="34"/>
  <c r="V2738" i="34"/>
  <c r="A2738" i="34"/>
  <c r="X2730" i="34"/>
  <c r="V2730" i="34"/>
  <c r="A2730" i="34"/>
  <c r="X2722" i="34"/>
  <c r="V2722" i="34"/>
  <c r="A2722" i="34"/>
  <c r="X2718" i="34"/>
  <c r="V2718" i="34"/>
  <c r="A2718" i="34"/>
  <c r="B1893" i="34" l="1"/>
  <c r="B1892" i="34"/>
  <c r="B1891" i="34"/>
  <c r="B1870" i="34"/>
  <c r="B1895" i="34"/>
  <c r="B1894" i="34"/>
  <c r="B1896" i="34"/>
  <c r="B1865" i="34"/>
  <c r="B1864" i="34"/>
  <c r="B1863" i="34"/>
  <c r="B1862" i="34"/>
  <c r="B1867" i="34"/>
  <c r="B1866" i="34"/>
  <c r="B1868" i="34"/>
  <c r="B1828" i="34"/>
  <c r="B1827" i="34"/>
  <c r="B1826" i="34"/>
  <c r="B1860" i="34"/>
  <c r="B1829" i="34"/>
  <c r="B2788" i="34"/>
  <c r="B2377" i="34"/>
  <c r="B1928" i="34"/>
  <c r="X1828" i="34" l="1"/>
  <c r="V1828" i="34"/>
  <c r="A1828" i="34"/>
  <c r="X1860" i="34"/>
  <c r="V1860" i="34"/>
  <c r="A1860" i="34"/>
  <c r="X1868" i="34"/>
  <c r="V1868" i="34"/>
  <c r="A1868" i="34"/>
  <c r="X1892" i="34"/>
  <c r="V1892" i="34"/>
  <c r="A1892" i="34"/>
  <c r="V2377" i="34"/>
  <c r="X2377" i="34"/>
  <c r="A2377" i="34"/>
  <c r="V1826" i="34"/>
  <c r="X1826" i="34"/>
  <c r="A1826" i="34"/>
  <c r="V1866" i="34"/>
  <c r="X1866" i="34"/>
  <c r="A1866" i="34"/>
  <c r="X1864" i="34"/>
  <c r="V1864" i="34"/>
  <c r="A1864" i="34"/>
  <c r="V1893" i="34"/>
  <c r="X1893" i="34"/>
  <c r="A1893" i="34"/>
  <c r="V2788" i="34"/>
  <c r="X2788" i="34"/>
  <c r="A2788" i="34"/>
  <c r="X1827" i="34"/>
  <c r="V1827" i="34"/>
  <c r="A1827" i="34"/>
  <c r="X1867" i="34"/>
  <c r="V1867" i="34"/>
  <c r="A1867" i="34"/>
  <c r="V1865" i="34"/>
  <c r="X1865" i="34"/>
  <c r="A1865" i="34"/>
  <c r="V1870" i="34"/>
  <c r="X1870" i="34"/>
  <c r="A1870" i="34"/>
  <c r="V1829" i="34"/>
  <c r="X1829" i="34"/>
  <c r="A1829" i="34"/>
  <c r="V1862" i="34"/>
  <c r="X1862" i="34"/>
  <c r="A1862" i="34"/>
  <c r="X1896" i="34"/>
  <c r="V1896" i="34"/>
  <c r="A1896" i="34"/>
  <c r="X1891" i="34"/>
  <c r="V1891" i="34"/>
  <c r="A1891" i="34"/>
  <c r="V1894" i="34"/>
  <c r="X1894" i="34"/>
  <c r="A1894" i="34"/>
  <c r="X1928" i="34"/>
  <c r="V1928" i="34"/>
  <c r="A1928" i="34"/>
  <c r="X1863" i="34"/>
  <c r="V1863" i="34"/>
  <c r="A1863" i="34"/>
  <c r="X1895" i="34"/>
  <c r="V1895" i="34"/>
  <c r="A1895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52" i="34"/>
  <c r="B1651" i="34"/>
  <c r="B1650" i="34"/>
  <c r="B1649" i="34"/>
  <c r="B1648" i="34"/>
  <c r="B1647" i="34"/>
  <c r="B1646" i="34"/>
  <c r="B1645" i="34"/>
  <c r="B1627" i="34"/>
  <c r="B1626" i="34"/>
  <c r="B1625" i="34"/>
  <c r="B1624" i="34"/>
  <c r="B1623" i="34"/>
  <c r="B1622" i="34"/>
  <c r="B1621" i="34"/>
  <c r="B1620" i="34"/>
  <c r="B1598" i="34"/>
  <c r="B1597" i="34"/>
  <c r="B1596" i="34"/>
  <c r="B1595" i="34"/>
  <c r="B1594" i="34"/>
  <c r="B1593" i="34"/>
  <c r="B1592" i="34"/>
  <c r="B1591" i="34"/>
  <c r="B1590" i="34"/>
  <c r="B1567" i="34"/>
  <c r="B1539" i="34"/>
  <c r="B1538" i="34"/>
  <c r="B1537" i="34"/>
  <c r="B1536" i="34"/>
  <c r="B1535" i="34"/>
  <c r="B1534" i="34"/>
  <c r="B1533" i="34"/>
  <c r="B1532" i="34"/>
  <c r="B1497" i="34"/>
  <c r="B1465" i="34"/>
  <c r="B1464" i="34"/>
  <c r="B1463" i="34"/>
  <c r="B1462" i="34"/>
  <c r="B1461" i="34"/>
  <c r="B1460" i="34"/>
  <c r="B1459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6" i="34"/>
  <c r="B1379" i="34"/>
  <c r="B1378" i="34"/>
  <c r="B1377" i="34"/>
  <c r="B1376" i="34"/>
  <c r="B1375" i="34"/>
  <c r="B1374" i="34"/>
  <c r="B1373" i="34"/>
  <c r="B1372" i="34"/>
  <c r="B1354" i="34"/>
  <c r="B1353" i="34"/>
  <c r="B1352" i="34"/>
  <c r="B1351" i="34"/>
  <c r="B1350" i="34"/>
  <c r="B1349" i="34"/>
  <c r="B1348" i="34"/>
  <c r="B1347" i="34"/>
  <c r="B1346" i="34"/>
  <c r="B1300" i="34"/>
  <c r="B1265" i="34"/>
  <c r="B1261" i="34"/>
  <c r="B1260" i="34"/>
  <c r="B1259" i="34"/>
  <c r="B1250" i="34"/>
  <c r="B1249" i="34"/>
  <c r="B1248" i="34"/>
  <c r="B1247" i="34"/>
  <c r="B1246" i="34"/>
  <c r="B1233" i="34"/>
  <c r="B1232" i="34"/>
  <c r="B1231" i="34"/>
  <c r="B1230" i="34"/>
  <c r="B1229" i="34"/>
  <c r="B1228" i="34"/>
  <c r="B1227" i="34"/>
  <c r="B1226" i="34"/>
  <c r="B1205" i="34"/>
  <c r="B1204" i="34"/>
  <c r="B1203" i="34"/>
  <c r="B1202" i="34"/>
  <c r="B1201" i="34"/>
  <c r="B1200" i="34"/>
  <c r="B1199" i="34"/>
  <c r="B1196" i="34"/>
  <c r="B1171" i="34"/>
  <c r="B1170" i="34"/>
  <c r="B1169" i="34"/>
  <c r="B1168" i="34"/>
  <c r="B1167" i="34"/>
  <c r="B1166" i="34"/>
  <c r="B1165" i="34"/>
  <c r="B1164" i="34"/>
  <c r="B1163" i="34"/>
  <c r="B1161" i="34"/>
  <c r="B1160" i="34"/>
  <c r="B1159" i="34"/>
  <c r="B886" i="34"/>
  <c r="B885" i="34"/>
  <c r="B878" i="34"/>
  <c r="B877" i="34"/>
  <c r="B957" i="34"/>
  <c r="B956" i="34"/>
  <c r="B955" i="34"/>
  <c r="B954" i="34"/>
  <c r="B953" i="34"/>
  <c r="B952" i="34"/>
  <c r="B951" i="34"/>
  <c r="B950" i="34"/>
  <c r="B891" i="34"/>
  <c r="B890" i="34"/>
  <c r="B889" i="34"/>
  <c r="B888" i="34"/>
  <c r="B887" i="34"/>
  <c r="B984" i="34"/>
  <c r="B1131" i="34"/>
  <c r="B1130" i="34"/>
  <c r="B1135" i="34"/>
  <c r="B1134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47" i="34"/>
  <c r="B1710" i="34"/>
  <c r="B1831" i="34"/>
  <c r="B1830" i="34"/>
  <c r="B1756" i="34"/>
  <c r="B1755" i="34"/>
  <c r="B1754" i="34"/>
  <c r="B1753" i="34"/>
  <c r="B1752" i="34"/>
  <c r="B1751" i="34"/>
  <c r="B1750" i="34"/>
  <c r="B1749" i="34"/>
  <c r="B1779" i="34"/>
  <c r="B1778" i="34"/>
  <c r="B1777" i="34"/>
  <c r="B1776" i="34"/>
  <c r="B1775" i="34"/>
  <c r="B1774" i="34"/>
  <c r="B1773" i="34"/>
  <c r="B1772" i="34"/>
  <c r="B1771" i="34"/>
  <c r="B1770" i="34"/>
  <c r="B1746" i="34"/>
  <c r="B1745" i="34"/>
  <c r="B1744" i="34"/>
  <c r="B1743" i="34"/>
  <c r="B1742" i="34"/>
  <c r="B1741" i="34"/>
  <c r="B1740" i="34"/>
  <c r="B1739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38" i="34"/>
  <c r="B1737" i="34"/>
  <c r="B1709" i="34"/>
  <c r="B1708" i="34"/>
  <c r="B1720" i="34"/>
  <c r="B1719" i="34"/>
  <c r="B1718" i="34"/>
  <c r="B1704" i="34"/>
  <c r="B1703" i="34"/>
  <c r="B1918" i="34"/>
  <c r="B1917" i="34"/>
  <c r="B1916" i="34"/>
  <c r="B1899" i="34"/>
  <c r="B1898" i="34"/>
  <c r="B1897" i="34"/>
  <c r="B1869" i="34"/>
  <c r="B1861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932" i="34"/>
  <c r="B1931" i="34"/>
  <c r="B1930" i="34"/>
  <c r="B1926" i="34"/>
  <c r="B1925" i="34"/>
  <c r="B1924" i="34"/>
  <c r="B1923" i="34"/>
  <c r="B1814" i="34"/>
  <c r="B1813" i="34"/>
  <c r="B1812" i="34"/>
  <c r="B1811" i="34"/>
  <c r="B1810" i="34"/>
  <c r="B1808" i="34"/>
  <c r="B1806" i="34"/>
  <c r="B1805" i="34"/>
  <c r="B1804" i="34"/>
  <c r="B1736" i="34"/>
  <c r="B1716" i="34"/>
  <c r="B1715" i="34"/>
  <c r="B1714" i="34"/>
  <c r="B1713" i="34"/>
  <c r="B1712" i="34"/>
  <c r="B1707" i="34"/>
  <c r="B1706" i="34"/>
  <c r="B1705" i="34"/>
  <c r="B2789" i="34"/>
  <c r="B2787" i="34"/>
  <c r="B2378" i="34"/>
  <c r="B2376" i="34"/>
  <c r="B1929" i="34"/>
  <c r="B1927" i="34"/>
  <c r="B1700" i="34"/>
  <c r="B1699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5" i="34"/>
  <c r="B2374" i="34"/>
  <c r="B2373" i="34"/>
  <c r="B2372" i="34"/>
  <c r="B2371" i="34"/>
  <c r="B2370" i="34"/>
  <c r="B2364" i="34"/>
  <c r="B2363" i="34"/>
  <c r="B2362" i="34"/>
  <c r="B2361" i="34"/>
  <c r="B2360" i="34"/>
  <c r="B2359" i="34"/>
  <c r="B2358" i="34"/>
  <c r="B2357" i="34"/>
  <c r="B2356" i="34"/>
  <c r="B2333" i="34"/>
  <c r="B2332" i="34"/>
  <c r="B2331" i="34"/>
  <c r="B2330" i="34"/>
  <c r="B2328" i="34"/>
  <c r="B2326" i="34"/>
  <c r="B2325" i="34"/>
  <c r="B2324" i="34"/>
  <c r="B2113" i="34"/>
  <c r="B2085" i="34"/>
  <c r="B2084" i="34"/>
  <c r="B2083" i="34"/>
  <c r="B1969" i="34"/>
  <c r="B1968" i="34"/>
  <c r="B1949" i="34"/>
  <c r="B1948" i="34"/>
  <c r="B1934" i="34"/>
  <c r="B1922" i="34"/>
  <c r="B1921" i="34"/>
  <c r="B1915" i="34"/>
  <c r="B1914" i="34"/>
  <c r="B1913" i="34"/>
  <c r="B1912" i="34"/>
  <c r="B1911" i="34"/>
  <c r="B1910" i="34"/>
  <c r="B1909" i="34"/>
  <c r="B1908" i="34"/>
  <c r="B1890" i="34"/>
  <c r="B1889" i="34"/>
  <c r="B1888" i="34"/>
  <c r="B1887" i="34"/>
  <c r="B1886" i="34"/>
  <c r="B1885" i="34"/>
  <c r="B1884" i="34"/>
  <c r="B1883" i="34"/>
  <c r="B1882" i="34"/>
  <c r="B1881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48" i="34"/>
  <c r="B1711" i="34"/>
  <c r="B1920" i="34"/>
  <c r="B1919" i="34"/>
  <c r="B1907" i="34"/>
  <c r="B1906" i="34"/>
  <c r="B1905" i="34"/>
  <c r="B1904" i="34"/>
  <c r="B1903" i="34"/>
  <c r="B1902" i="34"/>
  <c r="B1901" i="34"/>
  <c r="B1900" i="34"/>
  <c r="B1880" i="34"/>
  <c r="B1879" i="34"/>
  <c r="B1878" i="34"/>
  <c r="B1877" i="34"/>
  <c r="B1876" i="34"/>
  <c r="B1875" i="34"/>
  <c r="B1874" i="34"/>
  <c r="B1873" i="34"/>
  <c r="B1872" i="34"/>
  <c r="B1871" i="34"/>
  <c r="B1845" i="34"/>
  <c r="B1844" i="34"/>
  <c r="B184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27" i="34"/>
  <c r="B2026" i="34"/>
  <c r="B2025" i="34"/>
  <c r="B2024" i="34"/>
  <c r="B2023" i="34"/>
  <c r="B2022" i="34"/>
  <c r="B2021" i="34"/>
  <c r="B2020" i="34"/>
  <c r="B2019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5" i="34"/>
  <c r="B1944" i="34"/>
  <c r="B1943" i="34"/>
  <c r="B1942" i="34"/>
  <c r="B1941" i="34"/>
  <c r="B1940" i="34"/>
  <c r="B1939" i="34"/>
  <c r="B2397" i="34"/>
  <c r="B2396" i="34"/>
  <c r="B2395" i="34"/>
  <c r="B2394" i="34"/>
  <c r="B2393" i="34"/>
  <c r="B2392" i="34"/>
  <c r="B2391" i="34"/>
  <c r="B2341" i="34"/>
  <c r="B2340" i="34"/>
  <c r="B2339" i="34"/>
  <c r="B2338" i="34"/>
  <c r="B2337" i="34"/>
  <c r="B2336" i="34"/>
  <c r="B2335" i="34"/>
  <c r="B2334" i="34"/>
  <c r="B1936" i="34"/>
  <c r="B1935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046" i="34"/>
  <c r="B2045" i="34"/>
  <c r="B2044" i="34"/>
  <c r="B2043" i="34"/>
  <c r="B2042" i="34"/>
  <c r="B2041" i="34"/>
  <c r="B2040" i="34"/>
  <c r="A1134" i="34" l="1"/>
  <c r="R1134" i="34"/>
  <c r="V1134" i="34"/>
  <c r="AA1134" i="34"/>
  <c r="P1134" i="34"/>
  <c r="X1134" i="34"/>
  <c r="Q1134" i="34"/>
  <c r="A984" i="34"/>
  <c r="AA984" i="34"/>
  <c r="P984" i="34"/>
  <c r="X984" i="34"/>
  <c r="Q984" i="34"/>
  <c r="R984" i="34"/>
  <c r="V984" i="34"/>
  <c r="A890" i="34"/>
  <c r="AA890" i="34"/>
  <c r="P890" i="34"/>
  <c r="X890" i="34"/>
  <c r="Q890" i="34"/>
  <c r="R890" i="34"/>
  <c r="V890" i="34"/>
  <c r="A952" i="34"/>
  <c r="AA952" i="34"/>
  <c r="P952" i="34"/>
  <c r="X952" i="34"/>
  <c r="Q952" i="34"/>
  <c r="R952" i="34"/>
  <c r="V952" i="34"/>
  <c r="A956" i="34"/>
  <c r="AA956" i="34"/>
  <c r="P956" i="34"/>
  <c r="X956" i="34"/>
  <c r="Q956" i="34"/>
  <c r="R956" i="34"/>
  <c r="V956" i="34"/>
  <c r="A885" i="34"/>
  <c r="P885" i="34"/>
  <c r="X885" i="34"/>
  <c r="Q885" i="34"/>
  <c r="R885" i="34"/>
  <c r="V885" i="34"/>
  <c r="AA885" i="34"/>
  <c r="A1161" i="34"/>
  <c r="AA1161" i="34"/>
  <c r="P1161" i="34"/>
  <c r="X1161" i="34"/>
  <c r="Q1161" i="34"/>
  <c r="R1161" i="34"/>
  <c r="V1161" i="34"/>
  <c r="A1166" i="34"/>
  <c r="AA1166" i="34"/>
  <c r="P1166" i="34"/>
  <c r="X1166" i="34"/>
  <c r="Q1166" i="34"/>
  <c r="R1166" i="34"/>
  <c r="V1166" i="34"/>
  <c r="A1170" i="34"/>
  <c r="AA1170" i="34"/>
  <c r="P1170" i="34"/>
  <c r="X1170" i="34"/>
  <c r="Q1170" i="34"/>
  <c r="R1170" i="34"/>
  <c r="V1170" i="34"/>
  <c r="A1200" i="34"/>
  <c r="Q1200" i="34"/>
  <c r="R1200" i="34"/>
  <c r="V1200" i="34"/>
  <c r="AA1200" i="34"/>
  <c r="P1200" i="34"/>
  <c r="X1200" i="34"/>
  <c r="A1204" i="34"/>
  <c r="Q1204" i="34"/>
  <c r="R1204" i="34"/>
  <c r="V1204" i="34"/>
  <c r="AA1204" i="34"/>
  <c r="P1204" i="34"/>
  <c r="X1204" i="34"/>
  <c r="A1228" i="34"/>
  <c r="AA1228" i="34"/>
  <c r="P1228" i="34"/>
  <c r="X1228" i="34"/>
  <c r="Q1228" i="34"/>
  <c r="R1228" i="34"/>
  <c r="V1228" i="34"/>
  <c r="A1232" i="34"/>
  <c r="AA1232" i="34"/>
  <c r="P1232" i="34"/>
  <c r="X1232" i="34"/>
  <c r="Q1232" i="34"/>
  <c r="R1232" i="34"/>
  <c r="V1232" i="34"/>
  <c r="A1248" i="34"/>
  <c r="AA1248" i="34"/>
  <c r="P1248" i="34"/>
  <c r="X1248" i="34"/>
  <c r="Q1248" i="34"/>
  <c r="R1248" i="34"/>
  <c r="V1248" i="34"/>
  <c r="A1260" i="34"/>
  <c r="AA1260" i="34"/>
  <c r="P1260" i="34"/>
  <c r="X1260" i="34"/>
  <c r="Q1260" i="34"/>
  <c r="R1260" i="34"/>
  <c r="V1260" i="34"/>
  <c r="A1346" i="34"/>
  <c r="Q1346" i="34"/>
  <c r="R1346" i="34"/>
  <c r="V1346" i="34"/>
  <c r="AA1346" i="34"/>
  <c r="P1346" i="34"/>
  <c r="X1346" i="34"/>
  <c r="A1350" i="34"/>
  <c r="Q1350" i="34"/>
  <c r="R1350" i="34"/>
  <c r="V1350" i="34"/>
  <c r="AA1350" i="34"/>
  <c r="P1350" i="34"/>
  <c r="X1350" i="34"/>
  <c r="A1354" i="34"/>
  <c r="Q1354" i="34"/>
  <c r="R1354" i="34"/>
  <c r="V1354" i="34"/>
  <c r="AA1354" i="34"/>
  <c r="P1354" i="34"/>
  <c r="X1354" i="34"/>
  <c r="P1375" i="34"/>
  <c r="X1375" i="34"/>
  <c r="Q1375" i="34"/>
  <c r="R1375" i="34"/>
  <c r="V1375" i="34"/>
  <c r="AA1375" i="34"/>
  <c r="P1379" i="34"/>
  <c r="X1379" i="34"/>
  <c r="Q1379" i="34"/>
  <c r="R1379" i="34"/>
  <c r="V1379" i="34"/>
  <c r="AA1379" i="34"/>
  <c r="P1431" i="34"/>
  <c r="X1431" i="34"/>
  <c r="Q1431" i="34"/>
  <c r="R1431" i="34"/>
  <c r="V1431" i="34"/>
  <c r="AA1431" i="34"/>
  <c r="P1435" i="34"/>
  <c r="X1435" i="34"/>
  <c r="Q1435" i="34"/>
  <c r="R1435" i="34"/>
  <c r="V1435" i="34"/>
  <c r="AA1435" i="34"/>
  <c r="P1439" i="34"/>
  <c r="X1439" i="34"/>
  <c r="Q1439" i="34"/>
  <c r="R1439" i="34"/>
  <c r="V1439" i="34"/>
  <c r="AA1439" i="34"/>
  <c r="P1443" i="34"/>
  <c r="X1443" i="34"/>
  <c r="Q1443" i="34"/>
  <c r="R1443" i="34"/>
  <c r="V1443" i="34"/>
  <c r="AA1443" i="34"/>
  <c r="A1135" i="34"/>
  <c r="Q1135" i="34"/>
  <c r="R1135" i="34"/>
  <c r="V1135" i="34"/>
  <c r="AA1135" i="34"/>
  <c r="P1135" i="34"/>
  <c r="X1135" i="34"/>
  <c r="A887" i="34"/>
  <c r="R887" i="34"/>
  <c r="V887" i="34"/>
  <c r="AA887" i="34"/>
  <c r="P887" i="34"/>
  <c r="X887" i="34"/>
  <c r="Q887" i="34"/>
  <c r="A891" i="34"/>
  <c r="R891" i="34"/>
  <c r="V891" i="34"/>
  <c r="AA891" i="34"/>
  <c r="P891" i="34"/>
  <c r="X891" i="34"/>
  <c r="Q891" i="34"/>
  <c r="A953" i="34"/>
  <c r="R953" i="34"/>
  <c r="V953" i="34"/>
  <c r="AA953" i="34"/>
  <c r="P953" i="34"/>
  <c r="X953" i="34"/>
  <c r="Q953" i="34"/>
  <c r="A957" i="34"/>
  <c r="R957" i="34"/>
  <c r="V957" i="34"/>
  <c r="AA957" i="34"/>
  <c r="P957" i="34"/>
  <c r="X957" i="34"/>
  <c r="Q957" i="34"/>
  <c r="A886" i="34"/>
  <c r="AA886" i="34"/>
  <c r="P886" i="34"/>
  <c r="X886" i="34"/>
  <c r="Q886" i="34"/>
  <c r="R886" i="34"/>
  <c r="V886" i="34"/>
  <c r="A1163" i="34"/>
  <c r="R1163" i="34"/>
  <c r="V1163" i="34"/>
  <c r="AA1163" i="34"/>
  <c r="P1163" i="34"/>
  <c r="X1163" i="34"/>
  <c r="Q1163" i="34"/>
  <c r="A1167" i="34"/>
  <c r="R1167" i="34"/>
  <c r="V1167" i="34"/>
  <c r="AA1167" i="34"/>
  <c r="P1167" i="34"/>
  <c r="X1167" i="34"/>
  <c r="Q1167" i="34"/>
  <c r="A1171" i="34"/>
  <c r="R1171" i="34"/>
  <c r="V1171" i="34"/>
  <c r="AA1171" i="34"/>
  <c r="P1171" i="34"/>
  <c r="X1171" i="34"/>
  <c r="Q1171" i="34"/>
  <c r="A1201" i="34"/>
  <c r="P1201" i="34"/>
  <c r="X1201" i="34"/>
  <c r="Q1201" i="34"/>
  <c r="R1201" i="34"/>
  <c r="V1201" i="34"/>
  <c r="AA1201" i="34"/>
  <c r="A1205" i="34"/>
  <c r="P1205" i="34"/>
  <c r="X1205" i="34"/>
  <c r="Q1205" i="34"/>
  <c r="R1205" i="34"/>
  <c r="V1205" i="34"/>
  <c r="AA1205" i="34"/>
  <c r="A1229" i="34"/>
  <c r="R1229" i="34"/>
  <c r="V1229" i="34"/>
  <c r="AA1229" i="34"/>
  <c r="P1229" i="34"/>
  <c r="X1229" i="34"/>
  <c r="Q1229" i="34"/>
  <c r="A1233" i="34"/>
  <c r="R1233" i="34"/>
  <c r="V1233" i="34"/>
  <c r="AA1233" i="34"/>
  <c r="P1233" i="34"/>
  <c r="X1233" i="34"/>
  <c r="Q1233" i="34"/>
  <c r="A1249" i="34"/>
  <c r="R1249" i="34"/>
  <c r="V1249" i="34"/>
  <c r="AA1249" i="34"/>
  <c r="P1249" i="34"/>
  <c r="X1249" i="34"/>
  <c r="Q1249" i="34"/>
  <c r="A1261" i="34"/>
  <c r="R1261" i="34"/>
  <c r="V1261" i="34"/>
  <c r="AA1261" i="34"/>
  <c r="P1261" i="34"/>
  <c r="X1261" i="34"/>
  <c r="Q1261" i="34"/>
  <c r="A1347" i="34"/>
  <c r="P1347" i="34"/>
  <c r="X1347" i="34"/>
  <c r="Q1347" i="34"/>
  <c r="R1347" i="34"/>
  <c r="V1347" i="34"/>
  <c r="AA1347" i="34"/>
  <c r="A1351" i="34"/>
  <c r="P1351" i="34"/>
  <c r="X1351" i="34"/>
  <c r="Q1351" i="34"/>
  <c r="R1351" i="34"/>
  <c r="V1351" i="34"/>
  <c r="AA1351" i="34"/>
  <c r="AA1372" i="34"/>
  <c r="P1372" i="34"/>
  <c r="X1372" i="34"/>
  <c r="Q1372" i="34"/>
  <c r="R1372" i="34"/>
  <c r="V1372" i="34"/>
  <c r="AA1376" i="34"/>
  <c r="P1376" i="34"/>
  <c r="X1376" i="34"/>
  <c r="Q1376" i="34"/>
  <c r="R1376" i="34"/>
  <c r="V1376" i="34"/>
  <c r="AA1396" i="34"/>
  <c r="P1396" i="34"/>
  <c r="X1396" i="34"/>
  <c r="Q1396" i="34"/>
  <c r="R1396" i="34"/>
  <c r="V1396" i="34"/>
  <c r="AA1432" i="34"/>
  <c r="P1432" i="34"/>
  <c r="X1432" i="34"/>
  <c r="Q1432" i="34"/>
  <c r="R1432" i="34"/>
  <c r="V1432" i="34"/>
  <c r="AA1436" i="34"/>
  <c r="P1436" i="34"/>
  <c r="X1436" i="34"/>
  <c r="Q1436" i="34"/>
  <c r="R1436" i="34"/>
  <c r="V1436" i="34"/>
  <c r="AA1440" i="34"/>
  <c r="P1440" i="34"/>
  <c r="X1440" i="34"/>
  <c r="Q1440" i="34"/>
  <c r="R1440" i="34"/>
  <c r="V1440" i="34"/>
  <c r="A1130" i="34"/>
  <c r="R1130" i="34"/>
  <c r="V1130" i="34"/>
  <c r="AA1130" i="34"/>
  <c r="P1130" i="34"/>
  <c r="X1130" i="34"/>
  <c r="Q1130" i="34"/>
  <c r="A888" i="34"/>
  <c r="Q888" i="34"/>
  <c r="R888" i="34"/>
  <c r="V888" i="34"/>
  <c r="AA888" i="34"/>
  <c r="P888" i="34"/>
  <c r="X888" i="34"/>
  <c r="A950" i="34"/>
  <c r="Q950" i="34"/>
  <c r="R950" i="34"/>
  <c r="V950" i="34"/>
  <c r="AA950" i="34"/>
  <c r="P950" i="34"/>
  <c r="X950" i="34"/>
  <c r="A954" i="34"/>
  <c r="Q954" i="34"/>
  <c r="R954" i="34"/>
  <c r="V954" i="34"/>
  <c r="AA954" i="34"/>
  <c r="P954" i="34"/>
  <c r="X954" i="34"/>
  <c r="A877" i="34"/>
  <c r="R877" i="34"/>
  <c r="V877" i="34"/>
  <c r="AA877" i="34"/>
  <c r="P877" i="34"/>
  <c r="X877" i="34"/>
  <c r="Q877" i="34"/>
  <c r="A1159" i="34"/>
  <c r="Q1159" i="34"/>
  <c r="R1159" i="34"/>
  <c r="V1159" i="34"/>
  <c r="AA1159" i="34"/>
  <c r="P1159" i="34"/>
  <c r="X1159" i="34"/>
  <c r="A1164" i="34"/>
  <c r="Q1164" i="34"/>
  <c r="R1164" i="34"/>
  <c r="V1164" i="34"/>
  <c r="AA1164" i="34"/>
  <c r="P1164" i="34"/>
  <c r="X1164" i="34"/>
  <c r="A1168" i="34"/>
  <c r="Q1168" i="34"/>
  <c r="R1168" i="34"/>
  <c r="V1168" i="34"/>
  <c r="AA1168" i="34"/>
  <c r="P1168" i="34"/>
  <c r="X1168" i="34"/>
  <c r="A1196" i="34"/>
  <c r="AA1196" i="34"/>
  <c r="P1196" i="34"/>
  <c r="X1196" i="34"/>
  <c r="Q1196" i="34"/>
  <c r="R1196" i="34"/>
  <c r="V1196" i="34"/>
  <c r="A1202" i="34"/>
  <c r="AA1202" i="34"/>
  <c r="P1202" i="34"/>
  <c r="X1202" i="34"/>
  <c r="Q1202" i="34"/>
  <c r="R1202" i="34"/>
  <c r="V1202" i="34"/>
  <c r="A1226" i="34"/>
  <c r="Q1226" i="34"/>
  <c r="X1226" i="34"/>
  <c r="P1226" i="34"/>
  <c r="R1226" i="34"/>
  <c r="V1226" i="34"/>
  <c r="AA1226" i="34"/>
  <c r="A1230" i="34"/>
  <c r="Q1230" i="34"/>
  <c r="R1230" i="34"/>
  <c r="V1230" i="34"/>
  <c r="AA1230" i="34"/>
  <c r="P1230" i="34"/>
  <c r="X1230" i="34"/>
  <c r="A1246" i="34"/>
  <c r="Q1246" i="34"/>
  <c r="R1246" i="34"/>
  <c r="V1246" i="34"/>
  <c r="AA1246" i="34"/>
  <c r="P1246" i="34"/>
  <c r="X1246" i="34"/>
  <c r="A1250" i="34"/>
  <c r="Q1250" i="34"/>
  <c r="R1250" i="34"/>
  <c r="V1250" i="34"/>
  <c r="AA1250" i="34"/>
  <c r="P1250" i="34"/>
  <c r="X1250" i="34"/>
  <c r="A1265" i="34"/>
  <c r="R1265" i="34"/>
  <c r="V1265" i="34"/>
  <c r="AA1265" i="34"/>
  <c r="P1265" i="34"/>
  <c r="X1265" i="34"/>
  <c r="Q1265" i="34"/>
  <c r="A1348" i="34"/>
  <c r="AA1348" i="34"/>
  <c r="P1348" i="34"/>
  <c r="X1348" i="34"/>
  <c r="Q1348" i="34"/>
  <c r="R1348" i="34"/>
  <c r="V1348" i="34"/>
  <c r="A1352" i="34"/>
  <c r="AA1352" i="34"/>
  <c r="P1352" i="34"/>
  <c r="X1352" i="34"/>
  <c r="Q1352" i="34"/>
  <c r="R1352" i="34"/>
  <c r="V1352" i="34"/>
  <c r="R1373" i="34"/>
  <c r="V1373" i="34"/>
  <c r="AA1373" i="34"/>
  <c r="P1373" i="34"/>
  <c r="X1373" i="34"/>
  <c r="Q1373" i="34"/>
  <c r="R1377" i="34"/>
  <c r="V1377" i="34"/>
  <c r="AA1377" i="34"/>
  <c r="P1377" i="34"/>
  <c r="X1377" i="34"/>
  <c r="Q1377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A1131" i="34"/>
  <c r="Q1131" i="34"/>
  <c r="R1131" i="34"/>
  <c r="V1131" i="34"/>
  <c r="AA1131" i="34"/>
  <c r="P1131" i="34"/>
  <c r="X1131" i="34"/>
  <c r="A889" i="34"/>
  <c r="P889" i="34"/>
  <c r="X889" i="34"/>
  <c r="Q889" i="34"/>
  <c r="R889" i="34"/>
  <c r="V889" i="34"/>
  <c r="AA889" i="34"/>
  <c r="A951" i="34"/>
  <c r="P951" i="34"/>
  <c r="X951" i="34"/>
  <c r="Q951" i="34"/>
  <c r="R951" i="34"/>
  <c r="V951" i="34"/>
  <c r="AA951" i="34"/>
  <c r="A955" i="34"/>
  <c r="P955" i="34"/>
  <c r="X955" i="34"/>
  <c r="Q955" i="34"/>
  <c r="R955" i="34"/>
  <c r="V955" i="34"/>
  <c r="AA955" i="34"/>
  <c r="A878" i="34"/>
  <c r="Q878" i="34"/>
  <c r="R878" i="34"/>
  <c r="V878" i="34"/>
  <c r="AA878" i="34"/>
  <c r="P878" i="34"/>
  <c r="X878" i="34"/>
  <c r="A1160" i="34"/>
  <c r="P1160" i="34"/>
  <c r="X1160" i="34"/>
  <c r="Q1160" i="34"/>
  <c r="R1160" i="34"/>
  <c r="V1160" i="34"/>
  <c r="AA1160" i="34"/>
  <c r="A1165" i="34"/>
  <c r="P1165" i="34"/>
  <c r="X1165" i="34"/>
  <c r="Q1165" i="34"/>
  <c r="R1165" i="34"/>
  <c r="V1165" i="34"/>
  <c r="AA1165" i="34"/>
  <c r="A1169" i="34"/>
  <c r="P1169" i="34"/>
  <c r="X1169" i="34"/>
  <c r="Q1169" i="34"/>
  <c r="R1169" i="34"/>
  <c r="V1169" i="34"/>
  <c r="AA1169" i="34"/>
  <c r="A1199" i="34"/>
  <c r="R1199" i="34"/>
  <c r="V1199" i="34"/>
  <c r="AA1199" i="34"/>
  <c r="P1199" i="34"/>
  <c r="X1199" i="34"/>
  <c r="Q1199" i="34"/>
  <c r="A1203" i="34"/>
  <c r="R1203" i="34"/>
  <c r="V1203" i="34"/>
  <c r="AA1203" i="34"/>
  <c r="P1203" i="34"/>
  <c r="X1203" i="34"/>
  <c r="Q1203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247" i="34"/>
  <c r="P1247" i="34"/>
  <c r="X1247" i="34"/>
  <c r="Q1247" i="34"/>
  <c r="R1247" i="34"/>
  <c r="V1247" i="34"/>
  <c r="AA1247" i="34"/>
  <c r="A1259" i="34"/>
  <c r="P1259" i="34"/>
  <c r="X1259" i="34"/>
  <c r="Q1259" i="34"/>
  <c r="R1259" i="34"/>
  <c r="V1259" i="34"/>
  <c r="AA1259" i="34"/>
  <c r="A1300" i="34"/>
  <c r="AA1300" i="34"/>
  <c r="P1300" i="34"/>
  <c r="X1300" i="34"/>
  <c r="Q1300" i="34"/>
  <c r="R1300" i="34"/>
  <c r="V1300" i="34"/>
  <c r="A1349" i="34"/>
  <c r="R1349" i="34"/>
  <c r="V1349" i="34"/>
  <c r="AA1349" i="34"/>
  <c r="P1349" i="34"/>
  <c r="X1349" i="34"/>
  <c r="Q1349" i="34"/>
  <c r="A1353" i="34"/>
  <c r="R1353" i="34"/>
  <c r="V1353" i="34"/>
  <c r="AA1353" i="34"/>
  <c r="P1353" i="34"/>
  <c r="X1353" i="34"/>
  <c r="Q1353" i="34"/>
  <c r="Q1374" i="34"/>
  <c r="R1374" i="34"/>
  <c r="V1374" i="34"/>
  <c r="AA1374" i="34"/>
  <c r="P1374" i="34"/>
  <c r="X1374" i="34"/>
  <c r="Q1378" i="34"/>
  <c r="R1378" i="34"/>
  <c r="V1378" i="34"/>
  <c r="AA1378" i="34"/>
  <c r="P1378" i="34"/>
  <c r="X1378" i="34"/>
  <c r="Q1430" i="34"/>
  <c r="R1430" i="34"/>
  <c r="V1430" i="34"/>
  <c r="AA1430" i="34"/>
  <c r="P1430" i="34"/>
  <c r="X1430" i="34"/>
  <c r="Q1434" i="34"/>
  <c r="R1434" i="34"/>
  <c r="V1434" i="34"/>
  <c r="AA1434" i="34"/>
  <c r="P1434" i="34"/>
  <c r="X1434" i="34"/>
  <c r="Q1438" i="34"/>
  <c r="R1438" i="34"/>
  <c r="V1438" i="34"/>
  <c r="AA1438" i="34"/>
  <c r="P1438" i="34"/>
  <c r="X1438" i="34"/>
  <c r="Q1442" i="34"/>
  <c r="R1442" i="34"/>
  <c r="V1442" i="34"/>
  <c r="AA1442" i="34"/>
  <c r="P1442" i="34"/>
  <c r="X1442" i="34"/>
  <c r="X2046" i="34"/>
  <c r="V2046" i="34"/>
  <c r="A2046" i="34"/>
  <c r="X2114" i="34"/>
  <c r="V2114" i="34"/>
  <c r="A2114" i="34"/>
  <c r="X2126" i="34"/>
  <c r="V2126" i="34"/>
  <c r="A2126" i="34"/>
  <c r="V2040" i="34"/>
  <c r="X2040" i="34"/>
  <c r="A2040" i="34"/>
  <c r="X2115" i="34"/>
  <c r="V2115" i="34"/>
  <c r="A2115" i="34"/>
  <c r="X2123" i="34"/>
  <c r="V2123" i="34"/>
  <c r="A2123" i="34"/>
  <c r="X2131" i="34"/>
  <c r="V2131" i="34"/>
  <c r="A2131" i="34"/>
  <c r="X2139" i="34"/>
  <c r="V2139" i="34"/>
  <c r="A2139" i="34"/>
  <c r="X2227" i="34"/>
  <c r="V2227" i="34"/>
  <c r="A2227" i="34"/>
  <c r="X2231" i="34"/>
  <c r="V2231" i="34"/>
  <c r="A2231" i="34"/>
  <c r="X2235" i="34"/>
  <c r="V2235" i="34"/>
  <c r="A2235" i="34"/>
  <c r="X2239" i="34"/>
  <c r="V2239" i="34"/>
  <c r="A2239" i="34"/>
  <c r="X2243" i="34"/>
  <c r="V2243" i="34"/>
  <c r="A2243" i="34"/>
  <c r="X2247" i="34"/>
  <c r="V2247" i="34"/>
  <c r="A2247" i="34"/>
  <c r="X2251" i="34"/>
  <c r="V2251" i="34"/>
  <c r="A2251" i="34"/>
  <c r="X2255" i="34"/>
  <c r="V2255" i="34"/>
  <c r="A2255" i="34"/>
  <c r="X2334" i="34"/>
  <c r="V2334" i="34"/>
  <c r="A2334" i="34"/>
  <c r="X2338" i="34"/>
  <c r="V2338" i="34"/>
  <c r="A2338" i="34"/>
  <c r="V2391" i="34"/>
  <c r="X2391" i="34"/>
  <c r="A2391" i="34"/>
  <c r="V2395" i="34"/>
  <c r="X2395" i="34"/>
  <c r="A2395" i="34"/>
  <c r="X1940" i="34"/>
  <c r="V1940" i="34"/>
  <c r="A1940" i="34"/>
  <c r="X1944" i="34"/>
  <c r="V1944" i="34"/>
  <c r="A1944" i="34"/>
  <c r="X1952" i="34"/>
  <c r="V1952" i="34"/>
  <c r="A1952" i="34"/>
  <c r="X1956" i="34"/>
  <c r="V1956" i="34"/>
  <c r="A1956" i="34"/>
  <c r="X1960" i="34"/>
  <c r="V1960" i="34"/>
  <c r="A1960" i="34"/>
  <c r="X1964" i="34"/>
  <c r="V1964" i="34"/>
  <c r="A1964" i="34"/>
  <c r="X2019" i="34"/>
  <c r="V2019" i="34"/>
  <c r="A2019" i="34"/>
  <c r="X2023" i="34"/>
  <c r="V2023" i="34"/>
  <c r="A2023" i="34"/>
  <c r="X2027" i="34"/>
  <c r="V2027" i="34"/>
  <c r="A2027" i="34"/>
  <c r="V2089" i="34"/>
  <c r="X2089" i="34"/>
  <c r="A2089" i="34"/>
  <c r="V2093" i="34"/>
  <c r="X2093" i="34"/>
  <c r="A2093" i="34"/>
  <c r="V2097" i="34"/>
  <c r="X2097" i="34"/>
  <c r="A2097" i="34"/>
  <c r="V2101" i="34"/>
  <c r="X2101" i="34"/>
  <c r="A2101" i="34"/>
  <c r="V2105" i="34"/>
  <c r="X2105" i="34"/>
  <c r="A2105" i="34"/>
  <c r="V2109" i="34"/>
  <c r="X2109" i="34"/>
  <c r="A2109" i="34"/>
  <c r="X1843" i="34"/>
  <c r="V1843" i="34"/>
  <c r="A1843" i="34"/>
  <c r="X1872" i="34"/>
  <c r="V1872" i="34"/>
  <c r="A1872" i="34"/>
  <c r="X1876" i="34"/>
  <c r="V1876" i="34"/>
  <c r="A1876" i="34"/>
  <c r="X1880" i="34"/>
  <c r="V1880" i="34"/>
  <c r="A1880" i="34"/>
  <c r="X1903" i="34"/>
  <c r="V1903" i="34"/>
  <c r="A1903" i="34"/>
  <c r="X1907" i="34"/>
  <c r="V1907" i="34"/>
  <c r="A1907" i="34"/>
  <c r="X1748" i="34"/>
  <c r="V1748" i="34"/>
  <c r="A1748" i="34"/>
  <c r="X1795" i="34"/>
  <c r="V1795" i="34"/>
  <c r="A1795" i="34"/>
  <c r="X1799" i="34"/>
  <c r="V1799" i="34"/>
  <c r="A1799" i="34"/>
  <c r="X1803" i="34"/>
  <c r="V1803" i="34"/>
  <c r="A1803" i="34"/>
  <c r="V1849" i="34"/>
  <c r="X1849" i="34"/>
  <c r="A1849" i="34"/>
  <c r="V1853" i="34"/>
  <c r="X1853" i="34"/>
  <c r="A1853" i="34"/>
  <c r="V1857" i="34"/>
  <c r="X1857" i="34"/>
  <c r="A1857" i="34"/>
  <c r="V1882" i="34"/>
  <c r="X1882" i="34"/>
  <c r="A1882" i="34"/>
  <c r="V1886" i="34"/>
  <c r="X1886" i="34"/>
  <c r="A1886" i="34"/>
  <c r="V1890" i="34"/>
  <c r="X1890" i="34"/>
  <c r="A1890" i="34"/>
  <c r="X1911" i="34"/>
  <c r="V1911" i="34"/>
  <c r="A1911" i="34"/>
  <c r="X1915" i="34"/>
  <c r="V1915" i="34"/>
  <c r="A1915" i="34"/>
  <c r="X1948" i="34"/>
  <c r="V1948" i="34"/>
  <c r="A1948" i="34"/>
  <c r="S2083" i="34"/>
  <c r="T2083" i="34"/>
  <c r="X2083" i="34"/>
  <c r="U2083" i="34"/>
  <c r="V2083" i="34"/>
  <c r="A2083" i="34"/>
  <c r="V2324" i="34"/>
  <c r="S2324" i="34"/>
  <c r="T2324" i="34"/>
  <c r="X2324" i="34"/>
  <c r="U2324" i="34"/>
  <c r="A2324" i="34"/>
  <c r="X2330" i="34"/>
  <c r="V2330" i="34"/>
  <c r="A2330" i="34"/>
  <c r="V2356" i="34"/>
  <c r="X2356" i="34"/>
  <c r="A2356" i="34"/>
  <c r="V2360" i="34"/>
  <c r="S2360" i="34"/>
  <c r="T2360" i="34"/>
  <c r="X2360" i="34"/>
  <c r="U2360" i="34"/>
  <c r="A2360" i="34"/>
  <c r="V2364" i="34"/>
  <c r="X2364" i="34"/>
  <c r="A2364" i="34"/>
  <c r="V2373" i="34"/>
  <c r="X2373" i="34"/>
  <c r="A2373" i="34"/>
  <c r="V2380" i="34"/>
  <c r="X2380" i="34"/>
  <c r="A2380" i="34"/>
  <c r="V2384" i="34"/>
  <c r="X2384" i="34"/>
  <c r="A2384" i="34"/>
  <c r="V2388" i="34"/>
  <c r="X2388" i="34"/>
  <c r="A2388" i="34"/>
  <c r="X1971" i="34"/>
  <c r="V1971" i="34"/>
  <c r="A1971" i="34"/>
  <c r="X1975" i="34"/>
  <c r="V1975" i="34"/>
  <c r="A1975" i="34"/>
  <c r="X1979" i="34"/>
  <c r="V1979" i="34"/>
  <c r="A1979" i="34"/>
  <c r="X1983" i="34"/>
  <c r="V1983" i="34"/>
  <c r="A1983" i="34"/>
  <c r="V2028" i="34"/>
  <c r="X2028" i="34"/>
  <c r="A2028" i="34"/>
  <c r="V2032" i="34"/>
  <c r="X2032" i="34"/>
  <c r="A2032" i="34"/>
  <c r="V2036" i="34"/>
  <c r="X2036" i="34"/>
  <c r="A2036" i="34"/>
  <c r="X1699" i="34"/>
  <c r="V1699" i="34"/>
  <c r="A1699" i="34"/>
  <c r="V2376" i="34"/>
  <c r="X2376" i="34"/>
  <c r="A2376" i="34"/>
  <c r="V1705" i="34"/>
  <c r="X1705" i="34"/>
  <c r="A1705" i="34"/>
  <c r="V1713" i="34"/>
  <c r="X1713" i="34"/>
  <c r="A1713" i="34"/>
  <c r="S1736" i="34"/>
  <c r="T1736" i="34"/>
  <c r="X1736" i="34"/>
  <c r="U1736" i="34"/>
  <c r="V1736" i="34"/>
  <c r="A1736" i="34"/>
  <c r="S1808" i="34"/>
  <c r="T1808" i="34"/>
  <c r="X1808" i="34"/>
  <c r="U1808" i="34"/>
  <c r="V1808" i="34"/>
  <c r="A1808" i="34"/>
  <c r="V1813" i="34"/>
  <c r="X1813" i="34"/>
  <c r="A1813" i="34"/>
  <c r="X1925" i="34"/>
  <c r="V1925" i="34"/>
  <c r="A1925" i="34"/>
  <c r="X1932" i="34"/>
  <c r="V1932" i="34"/>
  <c r="A1932" i="34"/>
  <c r="X1760" i="34"/>
  <c r="V1760" i="34"/>
  <c r="A1760" i="34"/>
  <c r="X1764" i="34"/>
  <c r="V1764" i="34"/>
  <c r="A1764" i="34"/>
  <c r="X1768" i="34"/>
  <c r="V1768" i="34"/>
  <c r="A1768" i="34"/>
  <c r="V1817" i="34"/>
  <c r="X1817" i="34"/>
  <c r="A1817" i="34"/>
  <c r="V1821" i="34"/>
  <c r="X1821" i="34"/>
  <c r="A1821" i="34"/>
  <c r="V1825" i="34"/>
  <c r="X1825" i="34"/>
  <c r="A1825" i="34"/>
  <c r="V1898" i="34"/>
  <c r="X1898" i="34"/>
  <c r="A1898" i="34"/>
  <c r="V1918" i="34"/>
  <c r="X1918" i="34"/>
  <c r="A1918" i="34"/>
  <c r="X1719" i="34"/>
  <c r="V1719" i="34"/>
  <c r="A1719" i="34"/>
  <c r="V1737" i="34"/>
  <c r="X1737" i="34"/>
  <c r="A1737" i="34"/>
  <c r="X1723" i="34"/>
  <c r="V1723" i="34"/>
  <c r="A1723" i="34"/>
  <c r="X1727" i="34"/>
  <c r="V1727" i="34"/>
  <c r="A1727" i="34"/>
  <c r="X1731" i="34"/>
  <c r="V1731" i="34"/>
  <c r="A1731" i="34"/>
  <c r="X1735" i="34"/>
  <c r="V1735" i="34"/>
  <c r="A1735" i="34"/>
  <c r="V1742" i="34"/>
  <c r="X1742" i="34"/>
  <c r="A1742" i="34"/>
  <c r="V1746" i="34"/>
  <c r="X1746" i="34"/>
  <c r="A1746" i="34"/>
  <c r="V1773" i="34"/>
  <c r="X1773" i="34"/>
  <c r="A1773" i="34"/>
  <c r="V1777" i="34"/>
  <c r="X1777" i="34"/>
  <c r="A1777" i="34"/>
  <c r="V1750" i="34"/>
  <c r="X1750" i="34"/>
  <c r="A1750" i="34"/>
  <c r="V1754" i="34"/>
  <c r="X1754" i="34"/>
  <c r="A1754" i="34"/>
  <c r="X1831" i="34"/>
  <c r="V1831" i="34"/>
  <c r="A1831" i="34"/>
  <c r="V1781" i="34"/>
  <c r="X1781" i="34"/>
  <c r="A1781" i="34"/>
  <c r="V1785" i="34"/>
  <c r="X1785" i="34"/>
  <c r="A1785" i="34"/>
  <c r="V1789" i="34"/>
  <c r="X1789" i="34"/>
  <c r="A1789" i="34"/>
  <c r="V1833" i="34"/>
  <c r="X1833" i="34"/>
  <c r="A1833" i="34"/>
  <c r="V1837" i="34"/>
  <c r="X1837" i="34"/>
  <c r="A1837" i="34"/>
  <c r="V1841" i="34"/>
  <c r="X1841" i="34"/>
  <c r="A1841" i="34"/>
  <c r="A1372" i="34"/>
  <c r="A1374" i="34"/>
  <c r="A1376" i="34"/>
  <c r="A1378" i="34"/>
  <c r="A1396" i="34"/>
  <c r="A1430" i="34"/>
  <c r="A1432" i="34"/>
  <c r="A1434" i="34"/>
  <c r="A1436" i="34"/>
  <c r="A1438" i="34"/>
  <c r="A1440" i="34"/>
  <c r="A1442" i="34"/>
  <c r="V1459" i="34"/>
  <c r="X1459" i="34"/>
  <c r="A1459" i="34"/>
  <c r="X1461" i="34"/>
  <c r="V1461" i="34"/>
  <c r="A1461" i="34"/>
  <c r="V1463" i="34"/>
  <c r="X1463" i="34"/>
  <c r="A1463" i="34"/>
  <c r="X1465" i="34"/>
  <c r="V1465" i="34"/>
  <c r="A1465" i="34"/>
  <c r="X1532" i="34"/>
  <c r="V1532" i="34"/>
  <c r="A1532" i="34"/>
  <c r="V1534" i="34"/>
  <c r="X1534" i="34"/>
  <c r="A1534" i="34"/>
  <c r="X1536" i="34"/>
  <c r="V1536" i="34"/>
  <c r="A1536" i="34"/>
  <c r="V1538" i="34"/>
  <c r="X1538" i="34"/>
  <c r="A1538" i="34"/>
  <c r="X1567" i="34"/>
  <c r="V1567" i="34"/>
  <c r="A1567" i="34"/>
  <c r="X1591" i="34"/>
  <c r="V1591" i="34"/>
  <c r="A1591" i="34"/>
  <c r="V1593" i="34"/>
  <c r="X1593" i="34"/>
  <c r="A1593" i="34"/>
  <c r="X1595" i="34"/>
  <c r="V1595" i="34"/>
  <c r="A1595" i="34"/>
  <c r="V1597" i="34"/>
  <c r="X1597" i="34"/>
  <c r="A1597" i="34"/>
  <c r="X1620" i="34"/>
  <c r="V1620" i="34"/>
  <c r="A1620" i="34"/>
  <c r="V1622" i="34"/>
  <c r="X1622" i="34"/>
  <c r="A1622" i="34"/>
  <c r="X1624" i="34"/>
  <c r="V1624" i="34"/>
  <c r="A1624" i="34"/>
  <c r="V1626" i="34"/>
  <c r="X1626" i="34"/>
  <c r="A1626" i="34"/>
  <c r="V1645" i="34"/>
  <c r="X1645" i="34"/>
  <c r="A1645" i="34"/>
  <c r="X1647" i="34"/>
  <c r="V1647" i="34"/>
  <c r="A1647" i="34"/>
  <c r="V1649" i="34"/>
  <c r="X1649" i="34"/>
  <c r="A1649" i="34"/>
  <c r="X1651" i="34"/>
  <c r="V1651" i="34"/>
  <c r="A1651" i="34"/>
  <c r="X1679" i="34"/>
  <c r="V1679" i="34"/>
  <c r="A1679" i="34"/>
  <c r="V1681" i="34"/>
  <c r="X1681" i="34"/>
  <c r="A1681" i="34"/>
  <c r="X1683" i="34"/>
  <c r="V1683" i="34"/>
  <c r="A1683" i="34"/>
  <c r="V1685" i="34"/>
  <c r="X1685" i="34"/>
  <c r="A1685" i="34"/>
  <c r="X1687" i="34"/>
  <c r="V1687" i="34"/>
  <c r="A1687" i="34"/>
  <c r="V1689" i="34"/>
  <c r="X1689" i="34"/>
  <c r="A1689" i="34"/>
  <c r="V2121" i="34"/>
  <c r="X2121" i="34"/>
  <c r="A2121" i="34"/>
  <c r="X2118" i="34"/>
  <c r="V2118" i="34"/>
  <c r="A2118" i="34"/>
  <c r="X2130" i="34"/>
  <c r="V2130" i="34"/>
  <c r="A2130" i="34"/>
  <c r="X2138" i="34"/>
  <c r="V2138" i="34"/>
  <c r="A2138" i="34"/>
  <c r="V2044" i="34"/>
  <c r="X2044" i="34"/>
  <c r="A2044" i="34"/>
  <c r="X2119" i="34"/>
  <c r="V2119" i="34"/>
  <c r="A2119" i="34"/>
  <c r="X2127" i="34"/>
  <c r="V2127" i="34"/>
  <c r="A2127" i="34"/>
  <c r="X2135" i="34"/>
  <c r="V2135" i="34"/>
  <c r="A2135" i="34"/>
  <c r="V2041" i="34"/>
  <c r="X2041" i="34"/>
  <c r="A2041" i="34"/>
  <c r="V2045" i="34"/>
  <c r="X2045" i="34"/>
  <c r="A2045" i="34"/>
  <c r="V2116" i="34"/>
  <c r="X2116" i="34"/>
  <c r="A2116" i="34"/>
  <c r="V2120" i="34"/>
  <c r="X2120" i="34"/>
  <c r="A2120" i="34"/>
  <c r="V2124" i="34"/>
  <c r="X2124" i="34"/>
  <c r="A2124" i="34"/>
  <c r="V2128" i="34"/>
  <c r="X2128" i="34"/>
  <c r="A2128" i="34"/>
  <c r="V2132" i="34"/>
  <c r="X2132" i="34"/>
  <c r="A2132" i="34"/>
  <c r="V2136" i="34"/>
  <c r="X2136" i="34"/>
  <c r="A2136" i="34"/>
  <c r="V2140" i="34"/>
  <c r="X2140" i="34"/>
  <c r="A2140" i="34"/>
  <c r="V2228" i="34"/>
  <c r="X2228" i="34"/>
  <c r="A2228" i="34"/>
  <c r="V2232" i="34"/>
  <c r="X2232" i="34"/>
  <c r="A2232" i="34"/>
  <c r="V2236" i="34"/>
  <c r="X2236" i="34"/>
  <c r="A2236" i="34"/>
  <c r="V2240" i="34"/>
  <c r="X2240" i="34"/>
  <c r="A2240" i="34"/>
  <c r="V2244" i="34"/>
  <c r="X2244" i="34"/>
  <c r="A2244" i="34"/>
  <c r="V2248" i="34"/>
  <c r="X2248" i="34"/>
  <c r="A2248" i="34"/>
  <c r="V2252" i="34"/>
  <c r="X2252" i="34"/>
  <c r="A2252" i="34"/>
  <c r="V2256" i="34"/>
  <c r="X2256" i="34"/>
  <c r="A2256" i="34"/>
  <c r="X2335" i="34"/>
  <c r="V2335" i="34"/>
  <c r="A2335" i="34"/>
  <c r="X2339" i="34"/>
  <c r="V2339" i="34"/>
  <c r="A2339" i="34"/>
  <c r="V2392" i="34"/>
  <c r="X2392" i="34"/>
  <c r="A2392" i="34"/>
  <c r="V2396" i="34"/>
  <c r="X2396" i="34"/>
  <c r="A2396" i="34"/>
  <c r="V1941" i="34"/>
  <c r="X1941" i="34"/>
  <c r="A1941" i="34"/>
  <c r="V1945" i="34"/>
  <c r="X1945" i="34"/>
  <c r="A1945" i="34"/>
  <c r="V1953" i="34"/>
  <c r="X1953" i="34"/>
  <c r="A1953" i="34"/>
  <c r="V1957" i="34"/>
  <c r="X1957" i="34"/>
  <c r="A1957" i="34"/>
  <c r="V1961" i="34"/>
  <c r="X1961" i="34"/>
  <c r="A1961" i="34"/>
  <c r="V1965" i="34"/>
  <c r="X1965" i="34"/>
  <c r="A1965" i="34"/>
  <c r="V2020" i="34"/>
  <c r="X2020" i="34"/>
  <c r="A2020" i="34"/>
  <c r="V2024" i="34"/>
  <c r="X2024" i="34"/>
  <c r="A2024" i="34"/>
  <c r="X2086" i="34"/>
  <c r="V2086" i="34"/>
  <c r="A2086" i="34"/>
  <c r="X2090" i="34"/>
  <c r="V2090" i="34"/>
  <c r="A2090" i="34"/>
  <c r="X2094" i="34"/>
  <c r="V2094" i="34"/>
  <c r="A2094" i="34"/>
  <c r="X2098" i="34"/>
  <c r="V2098" i="34"/>
  <c r="A2098" i="34"/>
  <c r="X2102" i="34"/>
  <c r="V2102" i="34"/>
  <c r="A2102" i="34"/>
  <c r="X2106" i="34"/>
  <c r="V2106" i="34"/>
  <c r="A2106" i="34"/>
  <c r="X2110" i="34"/>
  <c r="V2110" i="34"/>
  <c r="A2110" i="34"/>
  <c r="X1844" i="34"/>
  <c r="V1844" i="34"/>
  <c r="A1844" i="34"/>
  <c r="V1873" i="34"/>
  <c r="X1873" i="34"/>
  <c r="A1873" i="34"/>
  <c r="V1877" i="34"/>
  <c r="X1877" i="34"/>
  <c r="A1877" i="34"/>
  <c r="X1900" i="34"/>
  <c r="V1900" i="34"/>
  <c r="A1900" i="34"/>
  <c r="X1904" i="34"/>
  <c r="V1904" i="34"/>
  <c r="A1904" i="34"/>
  <c r="X1919" i="34"/>
  <c r="V1919" i="34"/>
  <c r="A1919" i="34"/>
  <c r="X1792" i="34"/>
  <c r="V1792" i="34"/>
  <c r="A1792" i="34"/>
  <c r="X1796" i="34"/>
  <c r="V1796" i="34"/>
  <c r="A1796" i="34"/>
  <c r="X1800" i="34"/>
  <c r="V1800" i="34"/>
  <c r="A1800" i="34"/>
  <c r="V1846" i="34"/>
  <c r="X1846" i="34"/>
  <c r="A1846" i="34"/>
  <c r="V1850" i="34"/>
  <c r="X1850" i="34"/>
  <c r="A1850" i="34"/>
  <c r="V1854" i="34"/>
  <c r="X1854" i="34"/>
  <c r="A1854" i="34"/>
  <c r="V1858" i="34"/>
  <c r="X1858" i="34"/>
  <c r="A1858" i="34"/>
  <c r="X1883" i="34"/>
  <c r="V1883" i="34"/>
  <c r="A1883" i="34"/>
  <c r="X1887" i="34"/>
  <c r="V1887" i="34"/>
  <c r="A1887" i="34"/>
  <c r="X1908" i="34"/>
  <c r="V1908" i="34"/>
  <c r="A1908" i="34"/>
  <c r="X1912" i="34"/>
  <c r="V1912" i="34"/>
  <c r="A1912" i="34"/>
  <c r="V1921" i="34"/>
  <c r="X1921" i="34"/>
  <c r="A1921" i="34"/>
  <c r="V1949" i="34"/>
  <c r="X1949" i="34"/>
  <c r="A1949" i="34"/>
  <c r="V2084" i="34"/>
  <c r="X2084" i="34"/>
  <c r="A2084" i="34"/>
  <c r="U2325" i="34"/>
  <c r="V2325" i="34"/>
  <c r="S2325" i="34"/>
  <c r="T2325" i="34"/>
  <c r="X2325" i="34"/>
  <c r="A2325" i="34"/>
  <c r="X2331" i="34"/>
  <c r="V2331" i="34"/>
  <c r="A2331" i="34"/>
  <c r="V2357" i="34"/>
  <c r="X2357" i="34"/>
  <c r="A2357" i="34"/>
  <c r="V2361" i="34"/>
  <c r="X2361" i="34"/>
  <c r="A2361" i="34"/>
  <c r="X2370" i="34"/>
  <c r="V2370" i="34"/>
  <c r="A2370" i="34"/>
  <c r="X2374" i="34"/>
  <c r="V2374" i="34"/>
  <c r="A2374" i="34"/>
  <c r="V2381" i="34"/>
  <c r="X2381" i="34"/>
  <c r="A2381" i="34"/>
  <c r="V2385" i="34"/>
  <c r="X2385" i="34"/>
  <c r="A2385" i="34"/>
  <c r="V2389" i="34"/>
  <c r="X2389" i="34"/>
  <c r="A2389" i="34"/>
  <c r="X1972" i="34"/>
  <c r="V1972" i="34"/>
  <c r="A1972" i="34"/>
  <c r="X1976" i="34"/>
  <c r="V1976" i="34"/>
  <c r="A1976" i="34"/>
  <c r="V1980" i="34"/>
  <c r="X1980" i="34"/>
  <c r="A1980" i="34"/>
  <c r="V1984" i="34"/>
  <c r="X1984" i="34"/>
  <c r="A1984" i="34"/>
  <c r="V2029" i="34"/>
  <c r="X2029" i="34"/>
  <c r="A2029" i="34"/>
  <c r="V2033" i="34"/>
  <c r="X2033" i="34"/>
  <c r="A2033" i="34"/>
  <c r="V2037" i="34"/>
  <c r="X2037" i="34"/>
  <c r="A2037" i="34"/>
  <c r="X1700" i="34"/>
  <c r="V1700" i="34"/>
  <c r="A1700" i="34"/>
  <c r="X2378" i="34"/>
  <c r="V2378" i="34"/>
  <c r="A2378" i="34"/>
  <c r="V1706" i="34"/>
  <c r="X1706" i="34"/>
  <c r="A1706" i="34"/>
  <c r="V1714" i="34"/>
  <c r="X1714" i="34"/>
  <c r="A1714" i="34"/>
  <c r="S1804" i="34"/>
  <c r="T1804" i="34"/>
  <c r="X1804" i="34"/>
  <c r="U1804" i="34"/>
  <c r="V1804" i="34"/>
  <c r="A1804" i="34"/>
  <c r="V1810" i="34"/>
  <c r="X1810" i="34"/>
  <c r="A1810" i="34"/>
  <c r="V1814" i="34"/>
  <c r="X1814" i="34"/>
  <c r="A1814" i="34"/>
  <c r="V1926" i="34"/>
  <c r="X1926" i="34"/>
  <c r="A1926" i="34"/>
  <c r="V1757" i="34"/>
  <c r="X1757" i="34"/>
  <c r="A1757" i="34"/>
  <c r="V1761" i="34"/>
  <c r="X1761" i="34"/>
  <c r="A1761" i="34"/>
  <c r="V1765" i="34"/>
  <c r="X1765" i="34"/>
  <c r="A1765" i="34"/>
  <c r="V1769" i="34"/>
  <c r="X1769" i="34"/>
  <c r="A1769" i="34"/>
  <c r="V1818" i="34"/>
  <c r="X1818" i="34"/>
  <c r="A1818" i="34"/>
  <c r="V1822" i="34"/>
  <c r="X1822" i="34"/>
  <c r="A1822" i="34"/>
  <c r="V1861" i="34"/>
  <c r="X1861" i="34"/>
  <c r="A1861" i="34"/>
  <c r="X1899" i="34"/>
  <c r="V1899" i="34"/>
  <c r="A1899" i="34"/>
  <c r="X1703" i="34"/>
  <c r="V1703" i="34"/>
  <c r="A1703" i="34"/>
  <c r="X1720" i="34"/>
  <c r="V1720" i="34"/>
  <c r="A1720" i="34"/>
  <c r="V1738" i="34"/>
  <c r="X1738" i="34"/>
  <c r="A1738" i="34"/>
  <c r="X1724" i="34"/>
  <c r="V1724" i="34"/>
  <c r="A1724" i="34"/>
  <c r="X1728" i="34"/>
  <c r="V1728" i="34"/>
  <c r="A1728" i="34"/>
  <c r="X1732" i="34"/>
  <c r="V1732" i="34"/>
  <c r="A1732" i="34"/>
  <c r="X1739" i="34"/>
  <c r="V1739" i="34"/>
  <c r="A1739" i="34"/>
  <c r="X1743" i="34"/>
  <c r="V1743" i="34"/>
  <c r="A1743" i="34"/>
  <c r="V1770" i="34"/>
  <c r="X1770" i="34"/>
  <c r="A1770" i="34"/>
  <c r="V1774" i="34"/>
  <c r="X1774" i="34"/>
  <c r="A1774" i="34"/>
  <c r="V1778" i="34"/>
  <c r="X1778" i="34"/>
  <c r="A1778" i="34"/>
  <c r="X1751" i="34"/>
  <c r="V1751" i="34"/>
  <c r="A1751" i="34"/>
  <c r="X1755" i="34"/>
  <c r="V1755" i="34"/>
  <c r="A1755" i="34"/>
  <c r="V1710" i="34"/>
  <c r="X1710" i="34"/>
  <c r="A1710" i="34"/>
  <c r="V1782" i="34"/>
  <c r="X1782" i="34"/>
  <c r="A1782" i="34"/>
  <c r="V1786" i="34"/>
  <c r="X1786" i="34"/>
  <c r="A1786" i="34"/>
  <c r="V1790" i="34"/>
  <c r="X1790" i="34"/>
  <c r="A1790" i="34"/>
  <c r="V1834" i="34"/>
  <c r="X1834" i="34"/>
  <c r="A1834" i="34"/>
  <c r="V1838" i="34"/>
  <c r="X1838" i="34"/>
  <c r="A1838" i="34"/>
  <c r="V1842" i="34"/>
  <c r="X1842" i="34"/>
  <c r="A1842" i="34"/>
  <c r="V2117" i="34"/>
  <c r="X2117" i="34"/>
  <c r="A2117" i="34"/>
  <c r="V2125" i="34"/>
  <c r="X2125" i="34"/>
  <c r="A2125" i="34"/>
  <c r="V2129" i="34"/>
  <c r="X2129" i="34"/>
  <c r="A2129" i="34"/>
  <c r="V2133" i="34"/>
  <c r="X2133" i="34"/>
  <c r="A2133" i="34"/>
  <c r="V2137" i="34"/>
  <c r="X2137" i="34"/>
  <c r="A2137" i="34"/>
  <c r="V2141" i="34"/>
  <c r="X2141" i="34"/>
  <c r="A2141" i="34"/>
  <c r="V2229" i="34"/>
  <c r="X2229" i="34"/>
  <c r="A2229" i="34"/>
  <c r="V2233" i="34"/>
  <c r="X2233" i="34"/>
  <c r="A2233" i="34"/>
  <c r="V2237" i="34"/>
  <c r="X2237" i="34"/>
  <c r="A2237" i="34"/>
  <c r="V2241" i="34"/>
  <c r="X2241" i="34"/>
  <c r="A2241" i="34"/>
  <c r="V2245" i="34"/>
  <c r="X2245" i="34"/>
  <c r="A2245" i="34"/>
  <c r="V2249" i="34"/>
  <c r="X2249" i="34"/>
  <c r="A2249" i="34"/>
  <c r="V2253" i="34"/>
  <c r="X2253" i="34"/>
  <c r="A2253" i="34"/>
  <c r="V1935" i="34"/>
  <c r="X1935" i="34"/>
  <c r="A1935" i="34"/>
  <c r="V2336" i="34"/>
  <c r="X2336" i="34"/>
  <c r="A2336" i="34"/>
  <c r="V2340" i="34"/>
  <c r="X2340" i="34"/>
  <c r="A2340" i="34"/>
  <c r="X2393" i="34"/>
  <c r="V2393" i="34"/>
  <c r="A2393" i="34"/>
  <c r="V2397" i="34"/>
  <c r="X2397" i="34"/>
  <c r="A2397" i="34"/>
  <c r="V1942" i="34"/>
  <c r="X1942" i="34"/>
  <c r="A1942" i="34"/>
  <c r="V1950" i="34"/>
  <c r="X1950" i="34"/>
  <c r="A1950" i="34"/>
  <c r="V1954" i="34"/>
  <c r="X1954" i="34"/>
  <c r="A1954" i="34"/>
  <c r="V1958" i="34"/>
  <c r="X1958" i="34"/>
  <c r="A1958" i="34"/>
  <c r="V1962" i="34"/>
  <c r="X1962" i="34"/>
  <c r="A1962" i="34"/>
  <c r="V1966" i="34"/>
  <c r="X1966" i="34"/>
  <c r="A1966" i="34"/>
  <c r="V2021" i="34"/>
  <c r="X2021" i="34"/>
  <c r="A2021" i="34"/>
  <c r="V2025" i="34"/>
  <c r="X2025" i="34"/>
  <c r="A2025" i="34"/>
  <c r="X2087" i="34"/>
  <c r="V2087" i="34"/>
  <c r="A2087" i="34"/>
  <c r="X2091" i="34"/>
  <c r="V2091" i="34"/>
  <c r="A2091" i="34"/>
  <c r="X2095" i="34"/>
  <c r="V2095" i="34"/>
  <c r="A2095" i="34"/>
  <c r="X2099" i="34"/>
  <c r="V2099" i="34"/>
  <c r="A2099" i="34"/>
  <c r="X2103" i="34"/>
  <c r="V2103" i="34"/>
  <c r="A2103" i="34"/>
  <c r="X2107" i="34"/>
  <c r="V2107" i="34"/>
  <c r="A2107" i="34"/>
  <c r="X2111" i="34"/>
  <c r="V2111" i="34"/>
  <c r="A2111" i="34"/>
  <c r="V1845" i="34"/>
  <c r="X1845" i="34"/>
  <c r="A1845" i="34"/>
  <c r="V1874" i="34"/>
  <c r="X1874" i="34"/>
  <c r="A1874" i="34"/>
  <c r="V1878" i="34"/>
  <c r="X1878" i="34"/>
  <c r="A1878" i="34"/>
  <c r="V1901" i="34"/>
  <c r="X1901" i="34"/>
  <c r="A1901" i="34"/>
  <c r="V1905" i="34"/>
  <c r="X1905" i="34"/>
  <c r="A1905" i="34"/>
  <c r="X1920" i="34"/>
  <c r="V1920" i="34"/>
  <c r="A1920" i="34"/>
  <c r="V1793" i="34"/>
  <c r="X1793" i="34"/>
  <c r="A1793" i="34"/>
  <c r="V1797" i="34"/>
  <c r="X1797" i="34"/>
  <c r="A1797" i="34"/>
  <c r="V1801" i="34"/>
  <c r="X1801" i="34"/>
  <c r="A1801" i="34"/>
  <c r="X1847" i="34"/>
  <c r="V1847" i="34"/>
  <c r="A1847" i="34"/>
  <c r="X1851" i="34"/>
  <c r="V1851" i="34"/>
  <c r="A1851" i="34"/>
  <c r="X1855" i="34"/>
  <c r="V1855" i="34"/>
  <c r="A1855" i="34"/>
  <c r="X1859" i="34"/>
  <c r="V1859" i="34"/>
  <c r="A1859" i="34"/>
  <c r="X1884" i="34"/>
  <c r="V1884" i="34"/>
  <c r="A1884" i="34"/>
  <c r="X1888" i="34"/>
  <c r="V1888" i="34"/>
  <c r="A1888" i="34"/>
  <c r="V1909" i="34"/>
  <c r="X1909" i="34"/>
  <c r="A1909" i="34"/>
  <c r="V1913" i="34"/>
  <c r="X1913" i="34"/>
  <c r="A1913" i="34"/>
  <c r="V1922" i="34"/>
  <c r="X1922" i="34"/>
  <c r="A1922" i="34"/>
  <c r="T1968" i="34"/>
  <c r="X1968" i="34"/>
  <c r="V1968" i="34"/>
  <c r="S1968" i="34"/>
  <c r="U1968" i="34"/>
  <c r="A1968" i="34"/>
  <c r="V2085" i="34"/>
  <c r="X2085" i="34"/>
  <c r="A2085" i="34"/>
  <c r="T2326" i="34"/>
  <c r="X2326" i="34"/>
  <c r="U2326" i="34"/>
  <c r="V2326" i="34"/>
  <c r="S2326" i="34"/>
  <c r="A2326" i="34"/>
  <c r="V2332" i="34"/>
  <c r="X2332" i="34"/>
  <c r="A2332" i="34"/>
  <c r="X2358" i="34"/>
  <c r="V2358" i="34"/>
  <c r="A2358" i="34"/>
  <c r="X2362" i="34"/>
  <c r="V2362" i="34"/>
  <c r="A2362" i="34"/>
  <c r="X2371" i="34"/>
  <c r="V2371" i="34"/>
  <c r="A2371" i="34"/>
  <c r="X2375" i="34"/>
  <c r="V2375" i="34"/>
  <c r="A2375" i="34"/>
  <c r="X2382" i="34"/>
  <c r="V2382" i="34"/>
  <c r="A2382" i="34"/>
  <c r="X2386" i="34"/>
  <c r="V2386" i="34"/>
  <c r="A2386" i="34"/>
  <c r="X2390" i="34"/>
  <c r="V2390" i="34"/>
  <c r="A2390" i="34"/>
  <c r="X1973" i="34"/>
  <c r="V1973" i="34"/>
  <c r="A1973" i="34"/>
  <c r="X1977" i="34"/>
  <c r="V1977" i="34"/>
  <c r="A1977" i="34"/>
  <c r="V1981" i="34"/>
  <c r="X1981" i="34"/>
  <c r="A1981" i="34"/>
  <c r="V1985" i="34"/>
  <c r="X1985" i="34"/>
  <c r="A1985" i="34"/>
  <c r="X2030" i="34"/>
  <c r="V2030" i="34"/>
  <c r="A2030" i="34"/>
  <c r="X2034" i="34"/>
  <c r="V2034" i="34"/>
  <c r="A2034" i="34"/>
  <c r="X2038" i="34"/>
  <c r="V2038" i="34"/>
  <c r="A2038" i="34"/>
  <c r="V1927" i="34"/>
  <c r="X1927" i="34"/>
  <c r="A1927" i="34"/>
  <c r="V2787" i="34"/>
  <c r="X2787" i="34"/>
  <c r="A2787" i="34"/>
  <c r="X1707" i="34"/>
  <c r="V1707" i="34"/>
  <c r="A1707" i="34"/>
  <c r="X1715" i="34"/>
  <c r="V1715" i="34"/>
  <c r="A1715" i="34"/>
  <c r="V1805" i="34"/>
  <c r="S1805" i="34"/>
  <c r="T1805" i="34"/>
  <c r="X1805" i="34"/>
  <c r="U1805" i="34"/>
  <c r="A1805" i="34"/>
  <c r="X1811" i="34"/>
  <c r="V1811" i="34"/>
  <c r="A1811" i="34"/>
  <c r="T1923" i="34"/>
  <c r="U1923" i="34"/>
  <c r="V1923" i="34"/>
  <c r="S1923" i="34"/>
  <c r="X1923" i="34"/>
  <c r="A1923" i="34"/>
  <c r="V1930" i="34"/>
  <c r="X1930" i="34"/>
  <c r="A1930" i="34"/>
  <c r="V1758" i="34"/>
  <c r="X1758" i="34"/>
  <c r="A1758" i="34"/>
  <c r="V1762" i="34"/>
  <c r="X1762" i="34"/>
  <c r="A1762" i="34"/>
  <c r="V1766" i="34"/>
  <c r="X1766" i="34"/>
  <c r="A1766" i="34"/>
  <c r="X1815" i="34"/>
  <c r="V1815" i="34"/>
  <c r="A1815" i="34"/>
  <c r="X1819" i="34"/>
  <c r="V1819" i="34"/>
  <c r="A1819" i="34"/>
  <c r="X1823" i="34"/>
  <c r="V1823" i="34"/>
  <c r="A1823" i="34"/>
  <c r="V1869" i="34"/>
  <c r="X1869" i="34"/>
  <c r="A1869" i="34"/>
  <c r="X1916" i="34"/>
  <c r="V1916" i="34"/>
  <c r="A1916" i="34"/>
  <c r="X1704" i="34"/>
  <c r="V1704" i="34"/>
  <c r="A1704" i="34"/>
  <c r="X1708" i="34"/>
  <c r="V1708" i="34"/>
  <c r="A1708" i="34"/>
  <c r="V1721" i="34"/>
  <c r="X1721" i="34"/>
  <c r="A1721" i="34"/>
  <c r="V1725" i="34"/>
  <c r="X1725" i="34"/>
  <c r="A1725" i="34"/>
  <c r="V1729" i="34"/>
  <c r="X1729" i="34"/>
  <c r="A1729" i="34"/>
  <c r="V1733" i="34"/>
  <c r="X1733" i="34"/>
  <c r="A1733" i="34"/>
  <c r="X1740" i="34"/>
  <c r="V1740" i="34"/>
  <c r="A1740" i="34"/>
  <c r="X1744" i="34"/>
  <c r="V1744" i="34"/>
  <c r="A1744" i="34"/>
  <c r="X1771" i="34"/>
  <c r="V1771" i="34"/>
  <c r="A1771" i="34"/>
  <c r="X1775" i="34"/>
  <c r="V1775" i="34"/>
  <c r="A1775" i="34"/>
  <c r="X1779" i="34"/>
  <c r="V1779" i="34"/>
  <c r="A1779" i="34"/>
  <c r="X1752" i="34"/>
  <c r="V1752" i="34"/>
  <c r="A1752" i="34"/>
  <c r="X1756" i="34"/>
  <c r="V1756" i="34"/>
  <c r="A1756" i="34"/>
  <c r="X1747" i="34"/>
  <c r="V1747" i="34"/>
  <c r="A1747" i="34"/>
  <c r="X1783" i="34"/>
  <c r="V1783" i="34"/>
  <c r="A1783" i="34"/>
  <c r="X1787" i="34"/>
  <c r="V1787" i="34"/>
  <c r="A1787" i="34"/>
  <c r="X1791" i="34"/>
  <c r="V1791" i="34"/>
  <c r="A1791" i="34"/>
  <c r="X1835" i="34"/>
  <c r="V1835" i="34"/>
  <c r="A1835" i="34"/>
  <c r="X1839" i="34"/>
  <c r="V1839" i="34"/>
  <c r="A1839" i="34"/>
  <c r="A1373" i="34"/>
  <c r="A1375" i="34"/>
  <c r="A1377" i="34"/>
  <c r="A1379" i="34"/>
  <c r="A1429" i="34"/>
  <c r="A1431" i="34"/>
  <c r="A1433" i="34"/>
  <c r="A1435" i="34"/>
  <c r="A1437" i="34"/>
  <c r="A1439" i="34"/>
  <c r="A1441" i="34"/>
  <c r="A1443" i="34"/>
  <c r="V1460" i="34"/>
  <c r="X1460" i="34"/>
  <c r="A1460" i="34"/>
  <c r="X1462" i="34"/>
  <c r="V1462" i="34"/>
  <c r="A1462" i="34"/>
  <c r="V1464" i="34"/>
  <c r="X1464" i="34"/>
  <c r="A1464" i="34"/>
  <c r="X1497" i="34"/>
  <c r="V1497" i="34"/>
  <c r="A1497" i="34"/>
  <c r="X1533" i="34"/>
  <c r="V1533" i="34"/>
  <c r="A1533" i="34"/>
  <c r="X1535" i="34"/>
  <c r="V1535" i="34"/>
  <c r="A1535" i="34"/>
  <c r="V1537" i="34"/>
  <c r="X1537" i="34"/>
  <c r="A1537" i="34"/>
  <c r="X1539" i="34"/>
  <c r="V1539" i="34"/>
  <c r="A1539" i="34"/>
  <c r="V1590" i="34"/>
  <c r="X1590" i="34"/>
  <c r="A1590" i="34"/>
  <c r="X1592" i="34"/>
  <c r="V1592" i="34"/>
  <c r="A1592" i="34"/>
  <c r="V1594" i="34"/>
  <c r="X1594" i="34"/>
  <c r="A1594" i="34"/>
  <c r="X1596" i="34"/>
  <c r="V1596" i="34"/>
  <c r="A1596" i="34"/>
  <c r="V1598" i="34"/>
  <c r="X1598" i="34"/>
  <c r="A1598" i="34"/>
  <c r="V1621" i="34"/>
  <c r="X1621" i="34"/>
  <c r="A1621" i="34"/>
  <c r="X1623" i="34"/>
  <c r="V1623" i="34"/>
  <c r="A1623" i="34"/>
  <c r="V1625" i="34"/>
  <c r="X1625" i="34"/>
  <c r="A1625" i="34"/>
  <c r="X1627" i="34"/>
  <c r="V1627" i="34"/>
  <c r="A1627" i="34"/>
  <c r="V1646" i="34"/>
  <c r="X1646" i="34"/>
  <c r="A1646" i="34"/>
  <c r="X1648" i="34"/>
  <c r="V1648" i="34"/>
  <c r="A1648" i="34"/>
  <c r="V1650" i="34"/>
  <c r="X1650" i="34"/>
  <c r="A1650" i="34"/>
  <c r="X1652" i="34"/>
  <c r="V1652" i="34"/>
  <c r="A1652" i="34"/>
  <c r="X1680" i="34"/>
  <c r="V1680" i="34"/>
  <c r="A1680" i="34"/>
  <c r="V1682" i="34"/>
  <c r="X1682" i="34"/>
  <c r="A1682" i="34"/>
  <c r="X1684" i="34"/>
  <c r="V1684" i="34"/>
  <c r="A1684" i="34"/>
  <c r="V1686" i="34"/>
  <c r="X1686" i="34"/>
  <c r="A1686" i="34"/>
  <c r="X1688" i="34"/>
  <c r="V1688" i="34"/>
  <c r="A1688" i="34"/>
  <c r="X2042" i="34"/>
  <c r="V2042" i="34"/>
  <c r="A2042" i="34"/>
  <c r="X2043" i="34"/>
  <c r="V2043" i="34"/>
  <c r="A2043" i="34"/>
  <c r="X2122" i="34"/>
  <c r="V2122" i="34"/>
  <c r="A2122" i="34"/>
  <c r="X2134" i="34"/>
  <c r="V2134" i="34"/>
  <c r="A2134" i="34"/>
  <c r="X2226" i="34"/>
  <c r="V2226" i="34"/>
  <c r="A2226" i="34"/>
  <c r="X2230" i="34"/>
  <c r="V2230" i="34"/>
  <c r="A2230" i="34"/>
  <c r="X2234" i="34"/>
  <c r="V2234" i="34"/>
  <c r="A2234" i="34"/>
  <c r="X2238" i="34"/>
  <c r="V2238" i="34"/>
  <c r="A2238" i="34"/>
  <c r="X2242" i="34"/>
  <c r="V2242" i="34"/>
  <c r="A2242" i="34"/>
  <c r="X2246" i="34"/>
  <c r="V2246" i="34"/>
  <c r="A2246" i="34"/>
  <c r="X2250" i="34"/>
  <c r="V2250" i="34"/>
  <c r="A2250" i="34"/>
  <c r="X2254" i="34"/>
  <c r="V2254" i="34"/>
  <c r="A2254" i="34"/>
  <c r="X1936" i="34"/>
  <c r="V1936" i="34"/>
  <c r="A1936" i="34"/>
  <c r="V2337" i="34"/>
  <c r="X2337" i="34"/>
  <c r="A2337" i="34"/>
  <c r="V2341" i="34"/>
  <c r="X2341" i="34"/>
  <c r="A2341" i="34"/>
  <c r="X2394" i="34"/>
  <c r="V2394" i="34"/>
  <c r="A2394" i="34"/>
  <c r="V1939" i="34"/>
  <c r="X1939" i="34"/>
  <c r="A1939" i="34"/>
  <c r="V1943" i="34"/>
  <c r="X1943" i="34"/>
  <c r="A1943" i="34"/>
  <c r="V1951" i="34"/>
  <c r="X1951" i="34"/>
  <c r="A1951" i="34"/>
  <c r="V1955" i="34"/>
  <c r="X1955" i="34"/>
  <c r="A1955" i="34"/>
  <c r="V1959" i="34"/>
  <c r="X1959" i="34"/>
  <c r="A1959" i="34"/>
  <c r="V1963" i="34"/>
  <c r="X1963" i="34"/>
  <c r="A1963" i="34"/>
  <c r="V1967" i="34"/>
  <c r="X1967" i="34"/>
  <c r="A1967" i="34"/>
  <c r="X2022" i="34"/>
  <c r="V2022" i="34"/>
  <c r="A2022" i="34"/>
  <c r="X2026" i="34"/>
  <c r="V2026" i="34"/>
  <c r="A2026" i="34"/>
  <c r="V2088" i="34"/>
  <c r="X2088" i="34"/>
  <c r="A2088" i="34"/>
  <c r="V2092" i="34"/>
  <c r="X2092" i="34"/>
  <c r="A2092" i="34"/>
  <c r="V2096" i="34"/>
  <c r="X2096" i="34"/>
  <c r="A2096" i="34"/>
  <c r="V2100" i="34"/>
  <c r="X2100" i="34"/>
  <c r="A2100" i="34"/>
  <c r="V2104" i="34"/>
  <c r="X2104" i="34"/>
  <c r="A2104" i="34"/>
  <c r="V2108" i="34"/>
  <c r="X2108" i="34"/>
  <c r="A2108" i="34"/>
  <c r="V2112" i="34"/>
  <c r="X2112" i="34"/>
  <c r="A2112" i="34"/>
  <c r="X1871" i="34"/>
  <c r="V1871" i="34"/>
  <c r="A1871" i="34"/>
  <c r="X1875" i="34"/>
  <c r="V1875" i="34"/>
  <c r="A1875" i="34"/>
  <c r="X1879" i="34"/>
  <c r="V1879" i="34"/>
  <c r="A1879" i="34"/>
  <c r="V1902" i="34"/>
  <c r="X1902" i="34"/>
  <c r="A1902" i="34"/>
  <c r="V1906" i="34"/>
  <c r="X1906" i="34"/>
  <c r="A1906" i="34"/>
  <c r="X1711" i="34"/>
  <c r="V1711" i="34"/>
  <c r="A1711" i="34"/>
  <c r="V1794" i="34"/>
  <c r="X1794" i="34"/>
  <c r="A1794" i="34"/>
  <c r="V1798" i="34"/>
  <c r="X1798" i="34"/>
  <c r="A1798" i="34"/>
  <c r="V1802" i="34"/>
  <c r="X1802" i="34"/>
  <c r="A1802" i="34"/>
  <c r="X1848" i="34"/>
  <c r="V1848" i="34"/>
  <c r="A1848" i="34"/>
  <c r="X1852" i="34"/>
  <c r="V1852" i="34"/>
  <c r="A1852" i="34"/>
  <c r="X1856" i="34"/>
  <c r="V1856" i="34"/>
  <c r="A1856" i="34"/>
  <c r="V1881" i="34"/>
  <c r="X1881" i="34"/>
  <c r="A1881" i="34"/>
  <c r="V1885" i="34"/>
  <c r="X1885" i="34"/>
  <c r="A1885" i="34"/>
  <c r="V1889" i="34"/>
  <c r="X1889" i="34"/>
  <c r="A1889" i="34"/>
  <c r="V1910" i="34"/>
  <c r="X1910" i="34"/>
  <c r="A1910" i="34"/>
  <c r="V1914" i="34"/>
  <c r="X1914" i="34"/>
  <c r="A1914" i="34"/>
  <c r="V1934" i="34"/>
  <c r="X1934" i="34"/>
  <c r="A1934" i="34"/>
  <c r="S1969" i="34"/>
  <c r="U1969" i="34"/>
  <c r="X1969" i="34"/>
  <c r="T1969" i="34"/>
  <c r="V1969" i="34"/>
  <c r="A1969" i="34"/>
  <c r="U2113" i="34"/>
  <c r="V2113" i="34"/>
  <c r="S2113" i="34"/>
  <c r="T2113" i="34"/>
  <c r="X2113" i="34"/>
  <c r="A2113" i="34"/>
  <c r="V2328" i="34"/>
  <c r="S2328" i="34"/>
  <c r="T2328" i="34"/>
  <c r="X2328" i="34"/>
  <c r="U2328" i="34"/>
  <c r="A2328" i="34"/>
  <c r="V2333" i="34"/>
  <c r="X2333" i="34"/>
  <c r="A2333" i="34"/>
  <c r="X2359" i="34"/>
  <c r="V2359" i="34"/>
  <c r="A2359" i="34"/>
  <c r="X2363" i="34"/>
  <c r="V2363" i="34"/>
  <c r="A2363" i="34"/>
  <c r="V2372" i="34"/>
  <c r="X2372" i="34"/>
  <c r="A2372" i="34"/>
  <c r="X2379" i="34"/>
  <c r="V2379" i="34"/>
  <c r="A2379" i="34"/>
  <c r="X2383" i="34"/>
  <c r="V2383" i="34"/>
  <c r="A2383" i="34"/>
  <c r="X2387" i="34"/>
  <c r="V2387" i="34"/>
  <c r="A2387" i="34"/>
  <c r="V1970" i="34"/>
  <c r="X1970" i="34"/>
  <c r="A1970" i="34"/>
  <c r="V1974" i="34"/>
  <c r="X1974" i="34"/>
  <c r="A1974" i="34"/>
  <c r="X1978" i="34"/>
  <c r="V1978" i="34"/>
  <c r="A1978" i="34"/>
  <c r="X1982" i="34"/>
  <c r="V1982" i="34"/>
  <c r="A1982" i="34"/>
  <c r="X1986" i="34"/>
  <c r="V1986" i="34"/>
  <c r="A1986" i="34"/>
  <c r="X2031" i="34"/>
  <c r="V2031" i="34"/>
  <c r="A2031" i="34"/>
  <c r="X2035" i="34"/>
  <c r="V2035" i="34"/>
  <c r="A2035" i="34"/>
  <c r="X2039" i="34"/>
  <c r="V2039" i="34"/>
  <c r="A2039" i="34"/>
  <c r="X1929" i="34"/>
  <c r="V1929" i="34"/>
  <c r="A1929" i="34"/>
  <c r="X2789" i="34"/>
  <c r="V2789" i="34"/>
  <c r="A2789" i="34"/>
  <c r="S1712" i="34"/>
  <c r="T1712" i="34"/>
  <c r="X1712" i="34"/>
  <c r="U1712" i="34"/>
  <c r="V1712" i="34"/>
  <c r="A1712" i="34"/>
  <c r="X1716" i="34"/>
  <c r="V1716" i="34"/>
  <c r="A1716" i="34"/>
  <c r="U1806" i="34"/>
  <c r="V1806" i="34"/>
  <c r="S1806" i="34"/>
  <c r="T1806" i="34"/>
  <c r="X1806" i="34"/>
  <c r="A1806" i="34"/>
  <c r="X1812" i="34"/>
  <c r="V1812" i="34"/>
  <c r="A1812" i="34"/>
  <c r="T1924" i="34"/>
  <c r="X1924" i="34"/>
  <c r="U1924" i="34"/>
  <c r="V1924" i="34"/>
  <c r="S1924" i="34"/>
  <c r="A1924" i="34"/>
  <c r="V1931" i="34"/>
  <c r="X1931" i="34"/>
  <c r="A1931" i="34"/>
  <c r="X1759" i="34"/>
  <c r="V1759" i="34"/>
  <c r="A1759" i="34"/>
  <c r="X1763" i="34"/>
  <c r="V1763" i="34"/>
  <c r="A1763" i="34"/>
  <c r="X1767" i="34"/>
  <c r="V1767" i="34"/>
  <c r="A1767" i="34"/>
  <c r="X1816" i="34"/>
  <c r="V1816" i="34"/>
  <c r="A1816" i="34"/>
  <c r="X1820" i="34"/>
  <c r="V1820" i="34"/>
  <c r="A1820" i="34"/>
  <c r="X1824" i="34"/>
  <c r="V1824" i="34"/>
  <c r="A1824" i="34"/>
  <c r="V1897" i="34"/>
  <c r="X1897" i="34"/>
  <c r="A1897" i="34"/>
  <c r="V1917" i="34"/>
  <c r="X1917" i="34"/>
  <c r="A1917" i="34"/>
  <c r="V1718" i="34"/>
  <c r="X1718" i="34"/>
  <c r="A1718" i="34"/>
  <c r="V1709" i="34"/>
  <c r="X1709" i="34"/>
  <c r="A1709" i="34"/>
  <c r="V1722" i="34"/>
  <c r="X1722" i="34"/>
  <c r="A1722" i="34"/>
  <c r="V1726" i="34"/>
  <c r="X1726" i="34"/>
  <c r="A1726" i="34"/>
  <c r="V1730" i="34"/>
  <c r="X1730" i="34"/>
  <c r="A1730" i="34"/>
  <c r="V1734" i="34"/>
  <c r="X1734" i="34"/>
  <c r="A1734" i="34"/>
  <c r="V1741" i="34"/>
  <c r="X1741" i="34"/>
  <c r="A1741" i="34"/>
  <c r="V1745" i="34"/>
  <c r="X1745" i="34"/>
  <c r="A1745" i="34"/>
  <c r="X1772" i="34"/>
  <c r="V1772" i="34"/>
  <c r="A1772" i="34"/>
  <c r="X1776" i="34"/>
  <c r="V1776" i="34"/>
  <c r="A1776" i="34"/>
  <c r="V1749" i="34"/>
  <c r="X1749" i="34"/>
  <c r="A1749" i="34"/>
  <c r="V1753" i="34"/>
  <c r="X1753" i="34"/>
  <c r="A1753" i="34"/>
  <c r="V1830" i="34"/>
  <c r="X1830" i="34"/>
  <c r="A1830" i="34"/>
  <c r="X1780" i="34"/>
  <c r="V1780" i="34"/>
  <c r="A1780" i="34"/>
  <c r="X1784" i="34"/>
  <c r="V1784" i="34"/>
  <c r="A1784" i="34"/>
  <c r="X1788" i="34"/>
  <c r="V1788" i="34"/>
  <c r="A1788" i="34"/>
  <c r="X1832" i="34"/>
  <c r="V1832" i="34"/>
  <c r="A1832" i="34"/>
  <c r="X1836" i="34"/>
  <c r="V1836" i="34"/>
  <c r="A1836" i="34"/>
  <c r="X1840" i="34"/>
  <c r="V1840" i="34"/>
  <c r="A1840" i="34"/>
  <c r="B907" i="34" l="1"/>
  <c r="B873" i="34"/>
  <c r="B872" i="34"/>
  <c r="B871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04" i="34"/>
  <c r="B997" i="34"/>
  <c r="B998" i="34"/>
  <c r="B999" i="34"/>
  <c r="B1009" i="34"/>
  <c r="B1010" i="34"/>
  <c r="B1011" i="34"/>
  <c r="B1012" i="34"/>
  <c r="B1000" i="34"/>
  <c r="B1001" i="34"/>
  <c r="B1005" i="34"/>
  <c r="B1006" i="34"/>
  <c r="B1013" i="34"/>
  <c r="B1014" i="34"/>
  <c r="B1028" i="34"/>
  <c r="B913" i="34"/>
  <c r="B914" i="34"/>
  <c r="B915" i="34"/>
  <c r="B916" i="34"/>
  <c r="B917" i="34"/>
  <c r="B918" i="34"/>
  <c r="B919" i="34"/>
  <c r="B1051" i="34"/>
  <c r="B1052" i="34"/>
  <c r="B1053" i="34"/>
  <c r="B1054" i="34"/>
  <c r="B1055" i="34"/>
  <c r="B1060" i="34"/>
  <c r="B1061" i="34"/>
  <c r="B1063" i="34"/>
  <c r="B1064" i="34"/>
  <c r="B1065" i="34"/>
  <c r="B1150" i="34"/>
  <c r="B1151" i="34"/>
  <c r="B1152" i="34"/>
  <c r="B1153" i="34"/>
  <c r="B1154" i="34"/>
  <c r="B1155" i="34"/>
  <c r="B894" i="34"/>
  <c r="B895" i="34"/>
  <c r="B896" i="34"/>
  <c r="B897" i="34"/>
  <c r="B898" i="34"/>
  <c r="B902" i="34"/>
  <c r="B903" i="34"/>
  <c r="B904" i="34"/>
  <c r="B934" i="34"/>
  <c r="B935" i="34"/>
  <c r="B936" i="34"/>
  <c r="B937" i="34"/>
  <c r="B938" i="34"/>
  <c r="B939" i="34"/>
  <c r="B940" i="34"/>
  <c r="B941" i="34"/>
  <c r="B1181" i="34"/>
  <c r="B1182" i="34"/>
  <c r="B1184" i="34"/>
  <c r="B1186" i="34"/>
  <c r="B1187" i="34"/>
  <c r="B1215" i="34"/>
  <c r="B1216" i="34"/>
  <c r="B1217" i="34"/>
  <c r="B1240" i="34"/>
  <c r="B1271" i="34"/>
  <c r="B1277" i="34"/>
  <c r="B1278" i="34"/>
  <c r="B1279" i="34"/>
  <c r="B1280" i="34"/>
  <c r="B1281" i="34"/>
  <c r="B1282" i="34"/>
  <c r="B1283" i="34"/>
  <c r="B1284" i="34"/>
  <c r="B1285" i="34"/>
  <c r="B1288" i="34"/>
  <c r="B1289" i="34"/>
  <c r="B1290" i="34"/>
  <c r="B1291" i="34"/>
  <c r="B1292" i="34"/>
  <c r="B1293" i="34"/>
  <c r="B1294" i="34"/>
  <c r="B1295" i="34"/>
  <c r="B1306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84" i="34"/>
  <c r="B1385" i="34"/>
  <c r="B1386" i="34"/>
  <c r="B1387" i="34"/>
  <c r="B1388" i="34"/>
  <c r="B1389" i="34"/>
  <c r="B1390" i="34"/>
  <c r="B1469" i="34"/>
  <c r="B1470" i="34"/>
  <c r="B1471" i="34"/>
  <c r="B1472" i="34"/>
  <c r="B1473" i="34"/>
  <c r="B1474" i="34"/>
  <c r="B1475" i="34"/>
  <c r="B1476" i="34"/>
  <c r="B1477" i="34"/>
  <c r="B1479" i="34"/>
  <c r="B1480" i="34"/>
  <c r="B1481" i="34"/>
  <c r="B1482" i="34"/>
  <c r="B1483" i="34"/>
  <c r="B1484" i="34"/>
  <c r="B1485" i="34"/>
  <c r="B1486" i="34"/>
  <c r="B1487" i="34"/>
  <c r="B1488" i="34"/>
  <c r="B1489" i="34"/>
  <c r="B1507" i="34"/>
  <c r="B1508" i="34"/>
  <c r="B1509" i="34"/>
  <c r="B1510" i="34"/>
  <c r="B1511" i="34"/>
  <c r="B1512" i="34"/>
  <c r="B1513" i="34"/>
  <c r="B1514" i="34"/>
  <c r="B1544" i="34"/>
  <c r="B1545" i="34"/>
  <c r="B1546" i="34"/>
  <c r="B1547" i="34"/>
  <c r="B1548" i="34"/>
  <c r="B1549" i="34"/>
  <c r="B1550" i="34"/>
  <c r="B1551" i="34"/>
  <c r="B1559" i="34"/>
  <c r="B1560" i="34"/>
  <c r="B1561" i="34"/>
  <c r="B1562" i="34"/>
  <c r="B1563" i="34"/>
  <c r="B1564" i="34"/>
  <c r="B1565" i="34"/>
  <c r="B1608" i="34"/>
  <c r="B1609" i="34"/>
  <c r="B1610" i="34"/>
  <c r="B1003" i="34"/>
  <c r="B1157" i="34"/>
  <c r="B1156" i="34"/>
  <c r="B1110" i="34"/>
  <c r="B1109" i="34"/>
  <c r="B1104" i="34"/>
  <c r="B1103" i="34"/>
  <c r="B1084" i="34"/>
  <c r="B1083" i="34"/>
  <c r="B1067" i="34"/>
  <c r="B1066" i="34"/>
  <c r="B1611" i="34"/>
  <c r="B931" i="34"/>
  <c r="B930" i="34"/>
  <c r="B900" i="34"/>
  <c r="B899" i="34"/>
  <c r="B988" i="34"/>
  <c r="B987" i="34"/>
  <c r="B986" i="34"/>
  <c r="B985" i="34"/>
  <c r="B983" i="34"/>
  <c r="B982" i="34"/>
  <c r="B981" i="34"/>
  <c r="B980" i="34"/>
  <c r="B949" i="34"/>
  <c r="B948" i="34"/>
  <c r="B947" i="34"/>
  <c r="B946" i="34"/>
  <c r="B945" i="34"/>
  <c r="B944" i="34"/>
  <c r="B943" i="34"/>
  <c r="B942" i="34"/>
  <c r="B1093" i="34"/>
  <c r="B1092" i="34"/>
  <c r="B1086" i="34"/>
  <c r="B1085" i="34"/>
  <c r="B1062" i="34"/>
  <c r="B1158" i="34"/>
  <c r="B1258" i="34"/>
  <c r="B1257" i="34"/>
  <c r="B1256" i="34"/>
  <c r="B1245" i="34"/>
  <c r="B1244" i="34"/>
  <c r="B1243" i="34"/>
  <c r="B1242" i="34"/>
  <c r="B1241" i="34"/>
  <c r="B1225" i="34"/>
  <c r="B1224" i="34"/>
  <c r="B1223" i="34"/>
  <c r="B1222" i="34"/>
  <c r="B1221" i="34"/>
  <c r="B1220" i="34"/>
  <c r="B1218" i="34"/>
  <c r="B1195" i="34"/>
  <c r="B1194" i="34"/>
  <c r="B1193" i="34"/>
  <c r="B1192" i="34"/>
  <c r="B1191" i="34"/>
  <c r="B1190" i="34"/>
  <c r="B1189" i="34"/>
  <c r="B1188" i="34"/>
  <c r="B870" i="34"/>
  <c r="B869" i="34"/>
  <c r="B932" i="34"/>
  <c r="B1420" i="34"/>
  <c r="B1419" i="34"/>
  <c r="B1418" i="34"/>
  <c r="B1417" i="34"/>
  <c r="B1416" i="34"/>
  <c r="B1415" i="34"/>
  <c r="B1414" i="34"/>
  <c r="B1395" i="34"/>
  <c r="B1371" i="34"/>
  <c r="B1370" i="34"/>
  <c r="B1369" i="34"/>
  <c r="B1368" i="34"/>
  <c r="B1367" i="34"/>
  <c r="B1366" i="34"/>
  <c r="B1365" i="34"/>
  <c r="B1364" i="34"/>
  <c r="B1345" i="34"/>
  <c r="B1344" i="34"/>
  <c r="B1343" i="34"/>
  <c r="B1342" i="34"/>
  <c r="B1341" i="34"/>
  <c r="B1340" i="34"/>
  <c r="B1339" i="34"/>
  <c r="B1338" i="34"/>
  <c r="B1337" i="34"/>
  <c r="B1299" i="34"/>
  <c r="B1264" i="34"/>
  <c r="B1582" i="34"/>
  <c r="B1581" i="34"/>
  <c r="B1566" i="34"/>
  <c r="B1531" i="34"/>
  <c r="B1530" i="34"/>
  <c r="B1529" i="34"/>
  <c r="B1528" i="34"/>
  <c r="B1527" i="34"/>
  <c r="B1526" i="34"/>
  <c r="B1525" i="34"/>
  <c r="B1524" i="34"/>
  <c r="B1496" i="34"/>
  <c r="B1458" i="34"/>
  <c r="B1457" i="34"/>
  <c r="B1456" i="34"/>
  <c r="B1455" i="34"/>
  <c r="B1454" i="34"/>
  <c r="B1453" i="34"/>
  <c r="B1452" i="34"/>
  <c r="B1428" i="34"/>
  <c r="B1427" i="34"/>
  <c r="B1426" i="34"/>
  <c r="B1425" i="34"/>
  <c r="B1424" i="34"/>
  <c r="B1423" i="34"/>
  <c r="B1422" i="34"/>
  <c r="B1421" i="34"/>
  <c r="B1671" i="34"/>
  <c r="B1670" i="34"/>
  <c r="B1669" i="34"/>
  <c r="B1668" i="34"/>
  <c r="B1644" i="34"/>
  <c r="B1643" i="34"/>
  <c r="B1642" i="34"/>
  <c r="B1641" i="34"/>
  <c r="B1640" i="34"/>
  <c r="B1639" i="34"/>
  <c r="B1638" i="34"/>
  <c r="B1637" i="34"/>
  <c r="B1619" i="34"/>
  <c r="B1618" i="34"/>
  <c r="B1617" i="34"/>
  <c r="B1616" i="34"/>
  <c r="B1615" i="34"/>
  <c r="B1614" i="34"/>
  <c r="B1613" i="34"/>
  <c r="B1612" i="34"/>
  <c r="B1589" i="34"/>
  <c r="B1588" i="34"/>
  <c r="B1587" i="34"/>
  <c r="B1586" i="34"/>
  <c r="B1585" i="34"/>
  <c r="B1584" i="34"/>
  <c r="B1583" i="34"/>
  <c r="B2205" i="34"/>
  <c r="B2150" i="34"/>
  <c r="B2149" i="34"/>
  <c r="B2148" i="34"/>
  <c r="B2147" i="34"/>
  <c r="B2146" i="34"/>
  <c r="B2145" i="34"/>
  <c r="B2144" i="34"/>
  <c r="B2143" i="34"/>
  <c r="B2142" i="34"/>
  <c r="B1133" i="34"/>
  <c r="B1132" i="34"/>
  <c r="B1121" i="34"/>
  <c r="B1120" i="34"/>
  <c r="B1117" i="34"/>
  <c r="B1116" i="34"/>
  <c r="B1026" i="34"/>
  <c r="B1025" i="34"/>
  <c r="B979" i="34"/>
  <c r="B912" i="34"/>
  <c r="B1678" i="34"/>
  <c r="B1677" i="34"/>
  <c r="B1676" i="34"/>
  <c r="B1675" i="34"/>
  <c r="B1674" i="34"/>
  <c r="B1673" i="34"/>
  <c r="B1672" i="34"/>
  <c r="B2322" i="34"/>
  <c r="B2321" i="34"/>
  <c r="B2320" i="34"/>
  <c r="B2319" i="34"/>
  <c r="B2318" i="34"/>
  <c r="B2317" i="34"/>
  <c r="B1938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349" i="34"/>
  <c r="B194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369" i="34"/>
  <c r="B2368" i="34"/>
  <c r="B2367" i="34"/>
  <c r="B2366" i="34"/>
  <c r="B2365" i="34"/>
  <c r="B2323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408" i="34"/>
  <c r="B2407" i="34"/>
  <c r="B2406" i="34"/>
  <c r="B2405" i="34"/>
  <c r="B2404" i="34"/>
  <c r="B2403" i="34"/>
  <c r="B2355" i="34"/>
  <c r="B2354" i="34"/>
  <c r="B2353" i="34"/>
  <c r="B2352" i="34"/>
  <c r="B2351" i="34"/>
  <c r="B2350" i="34"/>
  <c r="B1702" i="34"/>
  <c r="B1717" i="34"/>
  <c r="B1933" i="34"/>
  <c r="B1701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A912" i="34" l="1"/>
  <c r="AA912" i="34"/>
  <c r="P912" i="34"/>
  <c r="X912" i="34"/>
  <c r="Q912" i="34"/>
  <c r="R912" i="34"/>
  <c r="V912" i="34"/>
  <c r="A1116" i="34"/>
  <c r="P1116" i="34"/>
  <c r="X1116" i="34"/>
  <c r="Q1116" i="34"/>
  <c r="R1116" i="34"/>
  <c r="V1116" i="34"/>
  <c r="AA1116" i="34"/>
  <c r="A1132" i="34"/>
  <c r="P1132" i="34"/>
  <c r="X1132" i="34"/>
  <c r="Q1132" i="34"/>
  <c r="R1132" i="34"/>
  <c r="V1132" i="34"/>
  <c r="AA1132" i="34"/>
  <c r="Q1422" i="34"/>
  <c r="R1422" i="34"/>
  <c r="V1422" i="34"/>
  <c r="AA1422" i="34"/>
  <c r="P1422" i="34"/>
  <c r="X1422" i="34"/>
  <c r="Q1426" i="34"/>
  <c r="R1426" i="34"/>
  <c r="V1426" i="34"/>
  <c r="AA1426" i="34"/>
  <c r="P1426" i="34"/>
  <c r="X1426" i="34"/>
  <c r="A1337" i="34"/>
  <c r="R1337" i="34"/>
  <c r="V1337" i="34"/>
  <c r="AA1337" i="34"/>
  <c r="P1337" i="34"/>
  <c r="X1337" i="34"/>
  <c r="Q1337" i="34"/>
  <c r="A1341" i="34"/>
  <c r="R1341" i="34"/>
  <c r="V1341" i="34"/>
  <c r="AA1341" i="34"/>
  <c r="P1341" i="34"/>
  <c r="X1341" i="34"/>
  <c r="Q1341" i="34"/>
  <c r="A1345" i="34"/>
  <c r="R1345" i="34"/>
  <c r="V1345" i="34"/>
  <c r="AA1345" i="34"/>
  <c r="P1345" i="34"/>
  <c r="X1345" i="34"/>
  <c r="Q1345" i="34"/>
  <c r="P1367" i="34"/>
  <c r="X1367" i="34"/>
  <c r="Q1367" i="34"/>
  <c r="R1367" i="34"/>
  <c r="V1367" i="34"/>
  <c r="AA1367" i="34"/>
  <c r="P1371" i="34"/>
  <c r="X1371" i="34"/>
  <c r="Q1371" i="34"/>
  <c r="R1371" i="34"/>
  <c r="V1371" i="34"/>
  <c r="AA1371" i="34"/>
  <c r="AA1416" i="34"/>
  <c r="P1416" i="34"/>
  <c r="X1416" i="34"/>
  <c r="Q1416" i="34"/>
  <c r="R1416" i="34"/>
  <c r="V1416" i="34"/>
  <c r="AA1420" i="34"/>
  <c r="P1420" i="34"/>
  <c r="X1420" i="34"/>
  <c r="Q1420" i="34"/>
  <c r="R1420" i="34"/>
  <c r="V1420" i="34"/>
  <c r="A1188" i="34"/>
  <c r="AA1188" i="34"/>
  <c r="P1188" i="34"/>
  <c r="X1188" i="34"/>
  <c r="Q1188" i="34"/>
  <c r="R1188" i="34"/>
  <c r="V1188" i="34"/>
  <c r="A1192" i="34"/>
  <c r="AA1192" i="34"/>
  <c r="P1192" i="34"/>
  <c r="X1192" i="34"/>
  <c r="Q1192" i="34"/>
  <c r="R1192" i="34"/>
  <c r="V1192" i="34"/>
  <c r="A1218" i="34"/>
  <c r="AA1218" i="34"/>
  <c r="P1218" i="34"/>
  <c r="X1218" i="34"/>
  <c r="Q1218" i="34"/>
  <c r="R1218" i="34"/>
  <c r="V1218" i="34"/>
  <c r="A1223" i="34"/>
  <c r="AA1223" i="34"/>
  <c r="Q1223" i="34"/>
  <c r="R1223" i="34"/>
  <c r="V1223" i="34"/>
  <c r="P1223" i="34"/>
  <c r="X1223" i="34"/>
  <c r="A1241" i="34"/>
  <c r="R1241" i="34"/>
  <c r="V1241" i="34"/>
  <c r="AA1241" i="34"/>
  <c r="P1241" i="34"/>
  <c r="X1241" i="34"/>
  <c r="Q1241" i="34"/>
  <c r="A1245" i="34"/>
  <c r="R1245" i="34"/>
  <c r="V1245" i="34"/>
  <c r="AA1245" i="34"/>
  <c r="P1245" i="34"/>
  <c r="X1245" i="34"/>
  <c r="Q1245" i="34"/>
  <c r="A1158" i="34"/>
  <c r="R1158" i="34"/>
  <c r="V1158" i="34"/>
  <c r="AA1158" i="34"/>
  <c r="P1158" i="34"/>
  <c r="X1158" i="34"/>
  <c r="Q1158" i="34"/>
  <c r="A1092" i="34"/>
  <c r="P1092" i="34"/>
  <c r="X1092" i="34"/>
  <c r="Q1092" i="34"/>
  <c r="R1092" i="34"/>
  <c r="V1092" i="34"/>
  <c r="AA1092" i="34"/>
  <c r="A944" i="34"/>
  <c r="AA944" i="34"/>
  <c r="P944" i="34"/>
  <c r="X944" i="34"/>
  <c r="Q944" i="34"/>
  <c r="R944" i="34"/>
  <c r="V944" i="34"/>
  <c r="A948" i="34"/>
  <c r="AA948" i="34"/>
  <c r="P948" i="34"/>
  <c r="X948" i="34"/>
  <c r="Q948" i="34"/>
  <c r="R948" i="34"/>
  <c r="V948" i="34"/>
  <c r="A982" i="34"/>
  <c r="Q982" i="34"/>
  <c r="R982" i="34"/>
  <c r="V982" i="34"/>
  <c r="AA982" i="34"/>
  <c r="P982" i="34"/>
  <c r="X982" i="34"/>
  <c r="A987" i="34"/>
  <c r="P987" i="34"/>
  <c r="X987" i="34"/>
  <c r="Q987" i="34"/>
  <c r="R987" i="34"/>
  <c r="V987" i="34"/>
  <c r="AA987" i="34"/>
  <c r="A930" i="34"/>
  <c r="Q930" i="34"/>
  <c r="R930" i="34"/>
  <c r="V930" i="34"/>
  <c r="AA930" i="34"/>
  <c r="P930" i="34"/>
  <c r="X930" i="34"/>
  <c r="A1067" i="34"/>
  <c r="AA1067" i="34"/>
  <c r="P1067" i="34"/>
  <c r="X1067" i="34"/>
  <c r="Q1067" i="34"/>
  <c r="R1067" i="34"/>
  <c r="V1067" i="34"/>
  <c r="A1104" i="34"/>
  <c r="P1104" i="34"/>
  <c r="X1104" i="34"/>
  <c r="Q1104" i="34"/>
  <c r="R1104" i="34"/>
  <c r="V1104" i="34"/>
  <c r="AA1104" i="34"/>
  <c r="A1157" i="34"/>
  <c r="AA1157" i="34"/>
  <c r="P1157" i="34"/>
  <c r="X1157" i="34"/>
  <c r="Q1157" i="34"/>
  <c r="R1157" i="34"/>
  <c r="V1157" i="34"/>
  <c r="Q1390" i="34"/>
  <c r="R1390" i="34"/>
  <c r="V1390" i="34"/>
  <c r="AA1390" i="34"/>
  <c r="P1390" i="34"/>
  <c r="X1390" i="34"/>
  <c r="Q1386" i="34"/>
  <c r="R1386" i="34"/>
  <c r="V1386" i="34"/>
  <c r="AA1386" i="34"/>
  <c r="P1386" i="34"/>
  <c r="X1386" i="34"/>
  <c r="A1320" i="34"/>
  <c r="AA1320" i="34"/>
  <c r="P1320" i="34"/>
  <c r="X1320" i="34"/>
  <c r="Q1320" i="34"/>
  <c r="R1320" i="34"/>
  <c r="V1320" i="34"/>
  <c r="A1316" i="34"/>
  <c r="AA1316" i="34"/>
  <c r="P1316" i="34"/>
  <c r="X1316" i="34"/>
  <c r="Q1316" i="34"/>
  <c r="R1316" i="34"/>
  <c r="V1316" i="34"/>
  <c r="A1312" i="34"/>
  <c r="AA1312" i="34"/>
  <c r="P1312" i="34"/>
  <c r="X1312" i="34"/>
  <c r="Q1312" i="34"/>
  <c r="R1312" i="34"/>
  <c r="V1312" i="34"/>
  <c r="A1308" i="34"/>
  <c r="AA1308" i="34"/>
  <c r="P1308" i="34"/>
  <c r="X1308" i="34"/>
  <c r="Q1308" i="34"/>
  <c r="R1308" i="34"/>
  <c r="V1308" i="34"/>
  <c r="A1294" i="34"/>
  <c r="Q1294" i="34"/>
  <c r="R1294" i="34"/>
  <c r="V1294" i="34"/>
  <c r="AA1294" i="34"/>
  <c r="P1294" i="34"/>
  <c r="X1294" i="34"/>
  <c r="A1290" i="34"/>
  <c r="Q1290" i="34"/>
  <c r="R1290" i="34"/>
  <c r="V1290" i="34"/>
  <c r="AA1290" i="34"/>
  <c r="P1290" i="34"/>
  <c r="X1290" i="34"/>
  <c r="A1284" i="34"/>
  <c r="AA1284" i="34"/>
  <c r="P1284" i="34"/>
  <c r="X1284" i="34"/>
  <c r="Q1284" i="34"/>
  <c r="R1284" i="34"/>
  <c r="V1284" i="34"/>
  <c r="A1280" i="34"/>
  <c r="AA1280" i="34"/>
  <c r="P1280" i="34"/>
  <c r="X1280" i="34"/>
  <c r="Q1280" i="34"/>
  <c r="R1280" i="34"/>
  <c r="V1280" i="34"/>
  <c r="A1271" i="34"/>
  <c r="P1271" i="34"/>
  <c r="X1271" i="34"/>
  <c r="Q1271" i="34"/>
  <c r="R1271" i="34"/>
  <c r="V1271" i="34"/>
  <c r="AA1271" i="34"/>
  <c r="A1215" i="34"/>
  <c r="R1215" i="34"/>
  <c r="V1215" i="34"/>
  <c r="AA1215" i="34"/>
  <c r="P1215" i="34"/>
  <c r="X1215" i="34"/>
  <c r="Q1215" i="34"/>
  <c r="A1182" i="34"/>
  <c r="AA1182" i="34"/>
  <c r="P1182" i="34"/>
  <c r="X1182" i="34"/>
  <c r="Q1182" i="34"/>
  <c r="R1182" i="34"/>
  <c r="V1182" i="34"/>
  <c r="A939" i="34"/>
  <c r="P939" i="34"/>
  <c r="X939" i="34"/>
  <c r="Q939" i="34"/>
  <c r="R939" i="34"/>
  <c r="V939" i="34"/>
  <c r="AA939" i="34"/>
  <c r="A935" i="34"/>
  <c r="P935" i="34"/>
  <c r="X935" i="34"/>
  <c r="Q935" i="34"/>
  <c r="R935" i="34"/>
  <c r="V935" i="34"/>
  <c r="AA935" i="34"/>
  <c r="A902" i="34"/>
  <c r="P902" i="34"/>
  <c r="X902" i="34"/>
  <c r="Q902" i="34"/>
  <c r="R902" i="34"/>
  <c r="V902" i="34"/>
  <c r="AA902" i="34"/>
  <c r="A895" i="34"/>
  <c r="R895" i="34"/>
  <c r="V895" i="34"/>
  <c r="AA895" i="34"/>
  <c r="P895" i="34"/>
  <c r="X895" i="34"/>
  <c r="Q895" i="34"/>
  <c r="A1153" i="34"/>
  <c r="AA1153" i="34"/>
  <c r="P1153" i="34"/>
  <c r="X1153" i="34"/>
  <c r="Q1153" i="34"/>
  <c r="R1153" i="34"/>
  <c r="V1153" i="34"/>
  <c r="A1065" i="34"/>
  <c r="Q1065" i="34"/>
  <c r="R1065" i="34"/>
  <c r="V1065" i="34"/>
  <c r="AA1065" i="34"/>
  <c r="P1065" i="34"/>
  <c r="X1065" i="34"/>
  <c r="A1060" i="34"/>
  <c r="R1060" i="34"/>
  <c r="V1060" i="34"/>
  <c r="AA1060" i="34"/>
  <c r="P1060" i="34"/>
  <c r="X1060" i="34"/>
  <c r="Q1060" i="34"/>
  <c r="A1052" i="34"/>
  <c r="R1052" i="34"/>
  <c r="V1052" i="34"/>
  <c r="AA1052" i="34"/>
  <c r="P1052" i="34"/>
  <c r="X1052" i="34"/>
  <c r="Q1052" i="34"/>
  <c r="A917" i="34"/>
  <c r="R917" i="34"/>
  <c r="V917" i="34"/>
  <c r="AA917" i="34"/>
  <c r="P917" i="34"/>
  <c r="X917" i="34"/>
  <c r="Q917" i="34"/>
  <c r="A913" i="34"/>
  <c r="R913" i="34"/>
  <c r="V913" i="34"/>
  <c r="AA913" i="34"/>
  <c r="P913" i="34"/>
  <c r="X913" i="34"/>
  <c r="Q913" i="34"/>
  <c r="A1006" i="34"/>
  <c r="P1006" i="34"/>
  <c r="X1006" i="34"/>
  <c r="Q1006" i="34"/>
  <c r="R1006" i="34"/>
  <c r="V1006" i="34"/>
  <c r="AA1006" i="34"/>
  <c r="A1012" i="34"/>
  <c r="R1012" i="34"/>
  <c r="V1012" i="34"/>
  <c r="AA1012" i="34"/>
  <c r="P1012" i="34"/>
  <c r="X1012" i="34"/>
  <c r="Q1012" i="34"/>
  <c r="A999" i="34"/>
  <c r="AA999" i="34"/>
  <c r="P999" i="34"/>
  <c r="X999" i="34"/>
  <c r="Q999" i="34"/>
  <c r="R999" i="34"/>
  <c r="V999" i="34"/>
  <c r="A270" i="34"/>
  <c r="Q270" i="34"/>
  <c r="R270" i="34"/>
  <c r="V270" i="34"/>
  <c r="AA270" i="34"/>
  <c r="P270" i="34"/>
  <c r="X270" i="34"/>
  <c r="A274" i="34"/>
  <c r="Q274" i="34"/>
  <c r="R274" i="34"/>
  <c r="V274" i="34"/>
  <c r="AA274" i="34"/>
  <c r="P274" i="34"/>
  <c r="X274" i="34"/>
  <c r="A280" i="34"/>
  <c r="Q280" i="34"/>
  <c r="R280" i="34"/>
  <c r="V280" i="34"/>
  <c r="AA280" i="34"/>
  <c r="P280" i="34"/>
  <c r="X280" i="34"/>
  <c r="A284" i="34"/>
  <c r="Q284" i="34"/>
  <c r="R284" i="34"/>
  <c r="V284" i="34"/>
  <c r="AA284" i="34"/>
  <c r="P284" i="34"/>
  <c r="X284" i="34"/>
  <c r="A288" i="34"/>
  <c r="Q288" i="34"/>
  <c r="R288" i="34"/>
  <c r="V288" i="34"/>
  <c r="AA288" i="34"/>
  <c r="P288" i="34"/>
  <c r="X288" i="34"/>
  <c r="A292" i="34"/>
  <c r="Q292" i="34"/>
  <c r="R292" i="34"/>
  <c r="V292" i="34"/>
  <c r="AA292" i="34"/>
  <c r="P292" i="34"/>
  <c r="X292" i="34"/>
  <c r="A296" i="34"/>
  <c r="Q296" i="34"/>
  <c r="R296" i="34"/>
  <c r="V296" i="34"/>
  <c r="AA296" i="34"/>
  <c r="P296" i="34"/>
  <c r="X296" i="34"/>
  <c r="A300" i="34"/>
  <c r="Q300" i="34"/>
  <c r="R300" i="34"/>
  <c r="V300" i="34"/>
  <c r="AA300" i="34"/>
  <c r="P300" i="34"/>
  <c r="X300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399" i="34"/>
  <c r="R399" i="34"/>
  <c r="V399" i="34"/>
  <c r="AA399" i="34"/>
  <c r="P399" i="34"/>
  <c r="X399" i="34"/>
  <c r="Q399" i="34"/>
  <c r="A403" i="34"/>
  <c r="R403" i="34"/>
  <c r="V403" i="34"/>
  <c r="AA403" i="34"/>
  <c r="P403" i="34"/>
  <c r="X403" i="34"/>
  <c r="Q403" i="34"/>
  <c r="A407" i="34"/>
  <c r="R407" i="34"/>
  <c r="V407" i="34"/>
  <c r="AA407" i="34"/>
  <c r="P407" i="34"/>
  <c r="X407" i="34"/>
  <c r="Q407" i="34"/>
  <c r="A411" i="34"/>
  <c r="R411" i="34"/>
  <c r="V411" i="34"/>
  <c r="AA411" i="34"/>
  <c r="P411" i="34"/>
  <c r="X411" i="34"/>
  <c r="Q411" i="34"/>
  <c r="A415" i="34"/>
  <c r="R415" i="34"/>
  <c r="V415" i="34"/>
  <c r="AA415" i="34"/>
  <c r="P415" i="34"/>
  <c r="X415" i="34"/>
  <c r="Q415" i="34"/>
  <c r="A420" i="34"/>
  <c r="R420" i="34"/>
  <c r="V420" i="34"/>
  <c r="Q420" i="34"/>
  <c r="P420" i="34"/>
  <c r="AA420" i="34"/>
  <c r="X420" i="34"/>
  <c r="A424" i="34"/>
  <c r="R424" i="34"/>
  <c r="V424" i="34"/>
  <c r="Q424" i="34"/>
  <c r="P424" i="34"/>
  <c r="AA424" i="34"/>
  <c r="X424" i="34"/>
  <c r="A492" i="34"/>
  <c r="R492" i="34"/>
  <c r="V492" i="34"/>
  <c r="AA492" i="34"/>
  <c r="P492" i="34"/>
  <c r="X492" i="34"/>
  <c r="Q492" i="34"/>
  <c r="A805" i="34"/>
  <c r="P805" i="34"/>
  <c r="T805" i="34"/>
  <c r="X805" i="34"/>
  <c r="Q805" i="34"/>
  <c r="U805" i="34"/>
  <c r="R805" i="34"/>
  <c r="V805" i="34"/>
  <c r="S805" i="34"/>
  <c r="AA805" i="34"/>
  <c r="A809" i="34"/>
  <c r="P809" i="34"/>
  <c r="T809" i="34"/>
  <c r="X809" i="34"/>
  <c r="Q809" i="34"/>
  <c r="U809" i="34"/>
  <c r="R809" i="34"/>
  <c r="V809" i="34"/>
  <c r="S809" i="34"/>
  <c r="AA809" i="34"/>
  <c r="A813" i="34"/>
  <c r="P813" i="34"/>
  <c r="T813" i="34"/>
  <c r="X813" i="34"/>
  <c r="Q813" i="34"/>
  <c r="U813" i="34"/>
  <c r="R813" i="34"/>
  <c r="V813" i="34"/>
  <c r="S813" i="34"/>
  <c r="AA813" i="34"/>
  <c r="A817" i="34"/>
  <c r="P817" i="34"/>
  <c r="T817" i="34"/>
  <c r="X817" i="34"/>
  <c r="Q817" i="34"/>
  <c r="U817" i="34"/>
  <c r="R817" i="34"/>
  <c r="V817" i="34"/>
  <c r="S817" i="34"/>
  <c r="AA817" i="34"/>
  <c r="A821" i="34"/>
  <c r="P821" i="34"/>
  <c r="T821" i="34"/>
  <c r="X821" i="34"/>
  <c r="Q821" i="34"/>
  <c r="U821" i="34"/>
  <c r="R821" i="34"/>
  <c r="V821" i="34"/>
  <c r="S821" i="34"/>
  <c r="AA821" i="34"/>
  <c r="A825" i="34"/>
  <c r="P825" i="34"/>
  <c r="T825" i="34"/>
  <c r="X825" i="34"/>
  <c r="Q825" i="34"/>
  <c r="U825" i="34"/>
  <c r="R825" i="34"/>
  <c r="V825" i="34"/>
  <c r="S825" i="34"/>
  <c r="AA825" i="34"/>
  <c r="A829" i="34"/>
  <c r="P829" i="34"/>
  <c r="T829" i="34"/>
  <c r="X829" i="34"/>
  <c r="Q829" i="34"/>
  <c r="U829" i="34"/>
  <c r="R829" i="34"/>
  <c r="V829" i="34"/>
  <c r="S829" i="34"/>
  <c r="AA829" i="34"/>
  <c r="A833" i="34"/>
  <c r="P833" i="34"/>
  <c r="T833" i="34"/>
  <c r="X833" i="34"/>
  <c r="Q833" i="34"/>
  <c r="U833" i="34"/>
  <c r="R833" i="34"/>
  <c r="V833" i="34"/>
  <c r="S833" i="34"/>
  <c r="AA833" i="34"/>
  <c r="A837" i="34"/>
  <c r="P837" i="34"/>
  <c r="T837" i="34"/>
  <c r="X837" i="34"/>
  <c r="Q837" i="34"/>
  <c r="U837" i="34"/>
  <c r="R837" i="34"/>
  <c r="V837" i="34"/>
  <c r="S837" i="34"/>
  <c r="AA837" i="34"/>
  <c r="A841" i="34"/>
  <c r="P841" i="34"/>
  <c r="T841" i="34"/>
  <c r="X841" i="34"/>
  <c r="Q841" i="34"/>
  <c r="U841" i="34"/>
  <c r="R841" i="34"/>
  <c r="V841" i="34"/>
  <c r="S841" i="34"/>
  <c r="AA841" i="34"/>
  <c r="A845" i="34"/>
  <c r="P845" i="34"/>
  <c r="T845" i="34"/>
  <c r="X845" i="34"/>
  <c r="Q845" i="34"/>
  <c r="U845" i="34"/>
  <c r="R845" i="34"/>
  <c r="V845" i="34"/>
  <c r="S845" i="34"/>
  <c r="AA845" i="34"/>
  <c r="A849" i="34"/>
  <c r="P849" i="34"/>
  <c r="T849" i="34"/>
  <c r="X849" i="34"/>
  <c r="Q849" i="34"/>
  <c r="U849" i="34"/>
  <c r="R849" i="34"/>
  <c r="V849" i="34"/>
  <c r="S849" i="34"/>
  <c r="AA849" i="34"/>
  <c r="A853" i="34"/>
  <c r="P853" i="34"/>
  <c r="T853" i="34"/>
  <c r="X853" i="34"/>
  <c r="Q853" i="34"/>
  <c r="U853" i="34"/>
  <c r="R853" i="34"/>
  <c r="V853" i="34"/>
  <c r="S853" i="34"/>
  <c r="AA853" i="34"/>
  <c r="A857" i="34"/>
  <c r="P857" i="34"/>
  <c r="T857" i="34"/>
  <c r="X857" i="34"/>
  <c r="Q857" i="34"/>
  <c r="U857" i="34"/>
  <c r="R857" i="34"/>
  <c r="V857" i="34"/>
  <c r="S857" i="34"/>
  <c r="AA857" i="34"/>
  <c r="A861" i="34"/>
  <c r="P861" i="34"/>
  <c r="X861" i="34"/>
  <c r="Q861" i="34"/>
  <c r="R861" i="34"/>
  <c r="V861" i="34"/>
  <c r="AA861" i="34"/>
  <c r="A865" i="34"/>
  <c r="P865" i="34"/>
  <c r="X865" i="34"/>
  <c r="Q865" i="34"/>
  <c r="R865" i="34"/>
  <c r="V865" i="34"/>
  <c r="AA865" i="34"/>
  <c r="A871" i="34"/>
  <c r="R871" i="34"/>
  <c r="V871" i="34"/>
  <c r="AA871" i="34"/>
  <c r="P871" i="34"/>
  <c r="X871" i="34"/>
  <c r="Q871" i="34"/>
  <c r="A979" i="34"/>
  <c r="P979" i="34"/>
  <c r="X979" i="34"/>
  <c r="Q979" i="34"/>
  <c r="R979" i="34"/>
  <c r="V979" i="34"/>
  <c r="AA979" i="34"/>
  <c r="A1117" i="34"/>
  <c r="AA1117" i="34"/>
  <c r="P1117" i="34"/>
  <c r="X1117" i="34"/>
  <c r="Q1117" i="34"/>
  <c r="R1117" i="34"/>
  <c r="V1117" i="34"/>
  <c r="A1133" i="34"/>
  <c r="AA1133" i="34"/>
  <c r="P1133" i="34"/>
  <c r="X1133" i="34"/>
  <c r="Q1133" i="34"/>
  <c r="R1133" i="34"/>
  <c r="V1133" i="34"/>
  <c r="P1423" i="34"/>
  <c r="X1423" i="34"/>
  <c r="Q1423" i="34"/>
  <c r="R1423" i="34"/>
  <c r="V1423" i="34"/>
  <c r="AA1423" i="34"/>
  <c r="P1427" i="34"/>
  <c r="X1427" i="34"/>
  <c r="Q1427" i="34"/>
  <c r="R1427" i="34"/>
  <c r="V1427" i="34"/>
  <c r="AA1427" i="34"/>
  <c r="A1338" i="34"/>
  <c r="Q1338" i="34"/>
  <c r="R1338" i="34"/>
  <c r="V1338" i="34"/>
  <c r="AA1338" i="34"/>
  <c r="P1338" i="34"/>
  <c r="X1338" i="34"/>
  <c r="A1342" i="34"/>
  <c r="Q1342" i="34"/>
  <c r="R1342" i="34"/>
  <c r="V1342" i="34"/>
  <c r="AA1342" i="34"/>
  <c r="P1342" i="34"/>
  <c r="X1342" i="34"/>
  <c r="AA1364" i="34"/>
  <c r="P1364" i="34"/>
  <c r="X1364" i="34"/>
  <c r="Q1364" i="34"/>
  <c r="R1364" i="34"/>
  <c r="V1364" i="34"/>
  <c r="AA1368" i="34"/>
  <c r="P1368" i="34"/>
  <c r="X1368" i="34"/>
  <c r="Q1368" i="34"/>
  <c r="R1368" i="34"/>
  <c r="V1368" i="34"/>
  <c r="P1395" i="34"/>
  <c r="X1395" i="34"/>
  <c r="Q1395" i="34"/>
  <c r="R1395" i="34"/>
  <c r="V1395" i="34"/>
  <c r="AA1395" i="34"/>
  <c r="R1417" i="34"/>
  <c r="V1417" i="34"/>
  <c r="AA1417" i="34"/>
  <c r="P1417" i="34"/>
  <c r="X1417" i="34"/>
  <c r="Q1417" i="34"/>
  <c r="A932" i="34"/>
  <c r="AA932" i="34"/>
  <c r="P932" i="34"/>
  <c r="X932" i="34"/>
  <c r="Q932" i="34"/>
  <c r="R932" i="34"/>
  <c r="V932" i="34"/>
  <c r="A1189" i="34"/>
  <c r="R1189" i="34"/>
  <c r="V1189" i="34"/>
  <c r="AA1189" i="34"/>
  <c r="P1189" i="34"/>
  <c r="X1189" i="34"/>
  <c r="Q1189" i="34"/>
  <c r="A1193" i="34"/>
  <c r="R1193" i="34"/>
  <c r="V1193" i="34"/>
  <c r="AA1193" i="34"/>
  <c r="P1193" i="34"/>
  <c r="X1193" i="34"/>
  <c r="Q1193" i="34"/>
  <c r="A1220" i="34"/>
  <c r="R1220" i="34"/>
  <c r="V1220" i="34"/>
  <c r="AA1220" i="34"/>
  <c r="P1220" i="34"/>
  <c r="X1220" i="34"/>
  <c r="Q1220" i="34"/>
  <c r="A1224" i="34"/>
  <c r="R1224" i="34"/>
  <c r="V1224" i="34"/>
  <c r="P1224" i="34"/>
  <c r="X1224" i="34"/>
  <c r="Q1224" i="34"/>
  <c r="AA1224" i="34"/>
  <c r="A1242" i="34"/>
  <c r="Q1242" i="34"/>
  <c r="R1242" i="34"/>
  <c r="V1242" i="34"/>
  <c r="AA1242" i="34"/>
  <c r="P1242" i="34"/>
  <c r="X1242" i="34"/>
  <c r="A1256" i="34"/>
  <c r="AA1256" i="34"/>
  <c r="P1256" i="34"/>
  <c r="X1256" i="34"/>
  <c r="Q1256" i="34"/>
  <c r="R1256" i="34"/>
  <c r="V1256" i="34"/>
  <c r="A1062" i="34"/>
  <c r="P1062" i="34"/>
  <c r="X1062" i="34"/>
  <c r="Q1062" i="34"/>
  <c r="R1062" i="34"/>
  <c r="V1062" i="34"/>
  <c r="AA1062" i="34"/>
  <c r="A1093" i="34"/>
  <c r="AA1093" i="34"/>
  <c r="P1093" i="34"/>
  <c r="X1093" i="34"/>
  <c r="Q1093" i="34"/>
  <c r="R1093" i="34"/>
  <c r="V1093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83" i="34"/>
  <c r="P983" i="34"/>
  <c r="X983" i="34"/>
  <c r="Q983" i="34"/>
  <c r="R983" i="34"/>
  <c r="V983" i="34"/>
  <c r="AA983" i="34"/>
  <c r="A988" i="34"/>
  <c r="AA988" i="34"/>
  <c r="P988" i="34"/>
  <c r="X988" i="34"/>
  <c r="Q988" i="34"/>
  <c r="R988" i="34"/>
  <c r="V988" i="34"/>
  <c r="A931" i="34"/>
  <c r="P931" i="34"/>
  <c r="X931" i="34"/>
  <c r="Q931" i="34"/>
  <c r="R931" i="34"/>
  <c r="V931" i="34"/>
  <c r="AA931" i="34"/>
  <c r="A1083" i="34"/>
  <c r="Q1083" i="34"/>
  <c r="R1083" i="34"/>
  <c r="V1083" i="34"/>
  <c r="AA1083" i="34"/>
  <c r="P1083" i="34"/>
  <c r="X1083" i="34"/>
  <c r="A1109" i="34"/>
  <c r="AA1109" i="34"/>
  <c r="P1109" i="34"/>
  <c r="X1109" i="34"/>
  <c r="Q1109" i="34"/>
  <c r="R1109" i="34"/>
  <c r="V1109" i="34"/>
  <c r="A1003" i="34"/>
  <c r="AA1003" i="34"/>
  <c r="P1003" i="34"/>
  <c r="X1003" i="34"/>
  <c r="Q1003" i="34"/>
  <c r="R1003" i="34"/>
  <c r="V1003" i="34"/>
  <c r="R1389" i="34"/>
  <c r="V1389" i="34"/>
  <c r="AA1389" i="34"/>
  <c r="P1389" i="34"/>
  <c r="X1389" i="34"/>
  <c r="Q1389" i="34"/>
  <c r="R1385" i="34"/>
  <c r="V1385" i="34"/>
  <c r="AA1385" i="34"/>
  <c r="P1385" i="34"/>
  <c r="X1385" i="34"/>
  <c r="Q1385" i="34"/>
  <c r="A1319" i="34"/>
  <c r="P1319" i="34"/>
  <c r="X1319" i="34"/>
  <c r="Q1319" i="34"/>
  <c r="R1319" i="34"/>
  <c r="V1319" i="34"/>
  <c r="AA1319" i="34"/>
  <c r="A1315" i="34"/>
  <c r="P1315" i="34"/>
  <c r="X1315" i="34"/>
  <c r="Q1315" i="34"/>
  <c r="R1315" i="34"/>
  <c r="V1315" i="34"/>
  <c r="AA1315" i="34"/>
  <c r="A1311" i="34"/>
  <c r="P1311" i="34"/>
  <c r="X1311" i="34"/>
  <c r="Q1311" i="34"/>
  <c r="R1311" i="34"/>
  <c r="V1311" i="34"/>
  <c r="AA1311" i="34"/>
  <c r="A1307" i="34"/>
  <c r="P1307" i="34"/>
  <c r="X1307" i="34"/>
  <c r="Q1307" i="34"/>
  <c r="R1307" i="34"/>
  <c r="V1307" i="34"/>
  <c r="AA1307" i="34"/>
  <c r="A1293" i="34"/>
  <c r="R1293" i="34"/>
  <c r="V1293" i="34"/>
  <c r="AA1293" i="34"/>
  <c r="P1293" i="34"/>
  <c r="X1293" i="34"/>
  <c r="Q1293" i="34"/>
  <c r="A1289" i="34"/>
  <c r="R1289" i="34"/>
  <c r="V1289" i="34"/>
  <c r="AA1289" i="34"/>
  <c r="P1289" i="34"/>
  <c r="X1289" i="34"/>
  <c r="Q1289" i="34"/>
  <c r="A1283" i="34"/>
  <c r="P1283" i="34"/>
  <c r="X1283" i="34"/>
  <c r="Q1283" i="34"/>
  <c r="R1283" i="34"/>
  <c r="V1283" i="34"/>
  <c r="AA1283" i="34"/>
  <c r="A1279" i="34"/>
  <c r="P1279" i="34"/>
  <c r="X1279" i="34"/>
  <c r="Q1279" i="34"/>
  <c r="R1279" i="34"/>
  <c r="V1279" i="34"/>
  <c r="AA1279" i="34"/>
  <c r="A1240" i="34"/>
  <c r="AA1240" i="34"/>
  <c r="P1240" i="34"/>
  <c r="X1240" i="34"/>
  <c r="Q1240" i="34"/>
  <c r="R1240" i="34"/>
  <c r="V1240" i="34"/>
  <c r="A1187" i="34"/>
  <c r="P1187" i="34"/>
  <c r="X1187" i="34"/>
  <c r="Q1187" i="34"/>
  <c r="R1187" i="34"/>
  <c r="V1187" i="34"/>
  <c r="AA1187" i="34"/>
  <c r="A1181" i="34"/>
  <c r="P1181" i="34"/>
  <c r="X1181" i="34"/>
  <c r="Q1181" i="34"/>
  <c r="R1181" i="34"/>
  <c r="V1181" i="34"/>
  <c r="AA1181" i="34"/>
  <c r="A938" i="34"/>
  <c r="Q938" i="34"/>
  <c r="R938" i="34"/>
  <c r="V938" i="34"/>
  <c r="AA938" i="34"/>
  <c r="P938" i="34"/>
  <c r="X938" i="34"/>
  <c r="A934" i="34"/>
  <c r="Q934" i="34"/>
  <c r="R934" i="34"/>
  <c r="V934" i="34"/>
  <c r="AA934" i="34"/>
  <c r="P934" i="34"/>
  <c r="X934" i="34"/>
  <c r="A898" i="34"/>
  <c r="AA898" i="34"/>
  <c r="P898" i="34"/>
  <c r="X898" i="34"/>
  <c r="Q898" i="34"/>
  <c r="R898" i="34"/>
  <c r="V898" i="34"/>
  <c r="A894" i="34"/>
  <c r="AA894" i="34"/>
  <c r="P894" i="34"/>
  <c r="X894" i="34"/>
  <c r="Q894" i="34"/>
  <c r="R894" i="34"/>
  <c r="V894" i="34"/>
  <c r="A1152" i="34"/>
  <c r="P1152" i="34"/>
  <c r="X1152" i="34"/>
  <c r="Q1152" i="34"/>
  <c r="R1152" i="34"/>
  <c r="V1152" i="34"/>
  <c r="AA1152" i="34"/>
  <c r="A1064" i="34"/>
  <c r="R1064" i="34"/>
  <c r="V1064" i="34"/>
  <c r="AA1064" i="34"/>
  <c r="P1064" i="34"/>
  <c r="X1064" i="34"/>
  <c r="Q1064" i="34"/>
  <c r="A1055" i="34"/>
  <c r="AA1055" i="34"/>
  <c r="P1055" i="34"/>
  <c r="X1055" i="34"/>
  <c r="Q1055" i="34"/>
  <c r="R1055" i="34"/>
  <c r="V1055" i="34"/>
  <c r="A1051" i="34"/>
  <c r="AA1051" i="34"/>
  <c r="P1051" i="34"/>
  <c r="X1051" i="34"/>
  <c r="Q1051" i="34"/>
  <c r="R1051" i="34"/>
  <c r="V1051" i="34"/>
  <c r="A916" i="34"/>
  <c r="AA916" i="34"/>
  <c r="P916" i="34"/>
  <c r="X916" i="34"/>
  <c r="Q916" i="34"/>
  <c r="R916" i="34"/>
  <c r="V916" i="34"/>
  <c r="A1028" i="34"/>
  <c r="R1028" i="34"/>
  <c r="V1028" i="34"/>
  <c r="AA1028" i="34"/>
  <c r="P1028" i="34"/>
  <c r="X1028" i="34"/>
  <c r="Q1028" i="34"/>
  <c r="A1005" i="34"/>
  <c r="Q1005" i="34"/>
  <c r="R1005" i="34"/>
  <c r="V1005" i="34"/>
  <c r="AA1005" i="34"/>
  <c r="P1005" i="34"/>
  <c r="X1005" i="34"/>
  <c r="A1011" i="34"/>
  <c r="AA1011" i="34"/>
  <c r="P1011" i="34"/>
  <c r="X1011" i="34"/>
  <c r="Q1011" i="34"/>
  <c r="R1011" i="34"/>
  <c r="V1011" i="34"/>
  <c r="A998" i="34"/>
  <c r="P998" i="34"/>
  <c r="X998" i="34"/>
  <c r="Q998" i="34"/>
  <c r="R998" i="34"/>
  <c r="V998" i="34"/>
  <c r="AA998" i="34"/>
  <c r="A271" i="34"/>
  <c r="P271" i="34"/>
  <c r="X271" i="34"/>
  <c r="Q271" i="34"/>
  <c r="R271" i="34"/>
  <c r="V271" i="34"/>
  <c r="AA271" i="34"/>
  <c r="A275" i="34"/>
  <c r="P275" i="34"/>
  <c r="X275" i="34"/>
  <c r="Q275" i="34"/>
  <c r="R275" i="34"/>
  <c r="V275" i="34"/>
  <c r="AA275" i="34"/>
  <c r="A277" i="34"/>
  <c r="P277" i="34"/>
  <c r="X277" i="34"/>
  <c r="Q277" i="34"/>
  <c r="R277" i="34"/>
  <c r="V277" i="34"/>
  <c r="AA277" i="34"/>
  <c r="A281" i="34"/>
  <c r="P281" i="34"/>
  <c r="X281" i="34"/>
  <c r="Q281" i="34"/>
  <c r="R281" i="34"/>
  <c r="V281" i="34"/>
  <c r="AA281" i="34"/>
  <c r="A285" i="34"/>
  <c r="P285" i="34"/>
  <c r="X285" i="34"/>
  <c r="Q285" i="34"/>
  <c r="R285" i="34"/>
  <c r="V285" i="34"/>
  <c r="AA285" i="34"/>
  <c r="A289" i="34"/>
  <c r="P289" i="34"/>
  <c r="X289" i="34"/>
  <c r="Q289" i="34"/>
  <c r="R289" i="34"/>
  <c r="V289" i="34"/>
  <c r="AA289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1" i="34"/>
  <c r="P301" i="34"/>
  <c r="X301" i="34"/>
  <c r="Q301" i="34"/>
  <c r="R301" i="34"/>
  <c r="V301" i="34"/>
  <c r="AA301" i="34"/>
  <c r="A392" i="34"/>
  <c r="Q392" i="34"/>
  <c r="R392" i="34"/>
  <c r="V392" i="34"/>
  <c r="AA392" i="34"/>
  <c r="P392" i="34"/>
  <c r="X392" i="34"/>
  <c r="A396" i="34"/>
  <c r="Q396" i="34"/>
  <c r="R396" i="34"/>
  <c r="V396" i="34"/>
  <c r="AA396" i="34"/>
  <c r="P396" i="34"/>
  <c r="X396" i="34"/>
  <c r="A400" i="34"/>
  <c r="Q400" i="34"/>
  <c r="R400" i="34"/>
  <c r="V400" i="34"/>
  <c r="AA400" i="34"/>
  <c r="P400" i="34"/>
  <c r="X400" i="34"/>
  <c r="A404" i="34"/>
  <c r="Q404" i="34"/>
  <c r="R404" i="34"/>
  <c r="V404" i="34"/>
  <c r="AA404" i="34"/>
  <c r="P404" i="34"/>
  <c r="X404" i="34"/>
  <c r="A408" i="34"/>
  <c r="Q408" i="34"/>
  <c r="R408" i="34"/>
  <c r="V408" i="34"/>
  <c r="AA408" i="34"/>
  <c r="P408" i="34"/>
  <c r="X408" i="34"/>
  <c r="A412" i="34"/>
  <c r="Q412" i="34"/>
  <c r="R412" i="34"/>
  <c r="V412" i="34"/>
  <c r="AA412" i="34"/>
  <c r="P412" i="34"/>
  <c r="X412" i="34"/>
  <c r="A416" i="34"/>
  <c r="Q416" i="34"/>
  <c r="R416" i="34"/>
  <c r="V416" i="34"/>
  <c r="AA416" i="34"/>
  <c r="P416" i="34"/>
  <c r="X416" i="34"/>
  <c r="A417" i="34"/>
  <c r="Q417" i="34"/>
  <c r="P417" i="34"/>
  <c r="X417" i="34"/>
  <c r="R417" i="34"/>
  <c r="V417" i="34"/>
  <c r="AA417" i="34"/>
  <c r="A421" i="34"/>
  <c r="Q421" i="34"/>
  <c r="P421" i="34"/>
  <c r="X421" i="34"/>
  <c r="R421" i="34"/>
  <c r="V421" i="34"/>
  <c r="AA421" i="34"/>
  <c r="A425" i="34"/>
  <c r="Q425" i="34"/>
  <c r="P425" i="34"/>
  <c r="X425" i="34"/>
  <c r="R425" i="34"/>
  <c r="V425" i="34"/>
  <c r="AA425" i="34"/>
  <c r="A428" i="34"/>
  <c r="P428" i="34"/>
  <c r="X428" i="34"/>
  <c r="Q428" i="34"/>
  <c r="R428" i="34"/>
  <c r="V428" i="34"/>
  <c r="AA428" i="34"/>
  <c r="A500" i="34"/>
  <c r="R500" i="34"/>
  <c r="V500" i="34"/>
  <c r="AA500" i="34"/>
  <c r="P500" i="34"/>
  <c r="X500" i="34"/>
  <c r="Q500" i="34"/>
  <c r="A806" i="34"/>
  <c r="S806" i="34"/>
  <c r="AA806" i="34"/>
  <c r="P806" i="34"/>
  <c r="T806" i="34"/>
  <c r="X806" i="34"/>
  <c r="Q806" i="34"/>
  <c r="U806" i="34"/>
  <c r="R806" i="34"/>
  <c r="V806" i="34"/>
  <c r="A810" i="34"/>
  <c r="S810" i="34"/>
  <c r="AA810" i="34"/>
  <c r="P810" i="34"/>
  <c r="T810" i="34"/>
  <c r="X810" i="34"/>
  <c r="Q810" i="34"/>
  <c r="U810" i="34"/>
  <c r="R810" i="34"/>
  <c r="V810" i="34"/>
  <c r="A814" i="34"/>
  <c r="S814" i="34"/>
  <c r="AA814" i="34"/>
  <c r="P814" i="34"/>
  <c r="T814" i="34"/>
  <c r="X814" i="34"/>
  <c r="Q814" i="34"/>
  <c r="U814" i="34"/>
  <c r="R814" i="34"/>
  <c r="V814" i="34"/>
  <c r="A818" i="34"/>
  <c r="S818" i="34"/>
  <c r="AA818" i="34"/>
  <c r="P818" i="34"/>
  <c r="T818" i="34"/>
  <c r="X818" i="34"/>
  <c r="Q818" i="34"/>
  <c r="U818" i="34"/>
  <c r="R818" i="34"/>
  <c r="V818" i="34"/>
  <c r="A822" i="34"/>
  <c r="S822" i="34"/>
  <c r="AA822" i="34"/>
  <c r="P822" i="34"/>
  <c r="T822" i="34"/>
  <c r="X822" i="34"/>
  <c r="Q822" i="34"/>
  <c r="U822" i="34"/>
  <c r="R822" i="34"/>
  <c r="V822" i="34"/>
  <c r="A826" i="34"/>
  <c r="S826" i="34"/>
  <c r="AA826" i="34"/>
  <c r="P826" i="34"/>
  <c r="T826" i="34"/>
  <c r="X826" i="34"/>
  <c r="Q826" i="34"/>
  <c r="U826" i="34"/>
  <c r="R826" i="34"/>
  <c r="V826" i="34"/>
  <c r="A830" i="34"/>
  <c r="S830" i="34"/>
  <c r="AA830" i="34"/>
  <c r="P830" i="34"/>
  <c r="T830" i="34"/>
  <c r="X830" i="34"/>
  <c r="Q830" i="34"/>
  <c r="U830" i="34"/>
  <c r="R830" i="34"/>
  <c r="V830" i="34"/>
  <c r="A834" i="34"/>
  <c r="S834" i="34"/>
  <c r="AA834" i="34"/>
  <c r="P834" i="34"/>
  <c r="T834" i="34"/>
  <c r="X834" i="34"/>
  <c r="Q834" i="34"/>
  <c r="U834" i="34"/>
  <c r="R834" i="34"/>
  <c r="V834" i="34"/>
  <c r="A838" i="34"/>
  <c r="S838" i="34"/>
  <c r="AA838" i="34"/>
  <c r="P838" i="34"/>
  <c r="T838" i="34"/>
  <c r="X838" i="34"/>
  <c r="Q838" i="34"/>
  <c r="U838" i="34"/>
  <c r="R838" i="34"/>
  <c r="V838" i="34"/>
  <c r="A842" i="34"/>
  <c r="S842" i="34"/>
  <c r="AA842" i="34"/>
  <c r="P842" i="34"/>
  <c r="T842" i="34"/>
  <c r="X842" i="34"/>
  <c r="Q842" i="34"/>
  <c r="U842" i="34"/>
  <c r="R842" i="34"/>
  <c r="V842" i="34"/>
  <c r="A846" i="34"/>
  <c r="S846" i="34"/>
  <c r="AA846" i="34"/>
  <c r="P846" i="34"/>
  <c r="T846" i="34"/>
  <c r="X846" i="34"/>
  <c r="Q846" i="34"/>
  <c r="U846" i="34"/>
  <c r="R846" i="34"/>
  <c r="V846" i="34"/>
  <c r="A850" i="34"/>
  <c r="S850" i="34"/>
  <c r="AA850" i="34"/>
  <c r="P850" i="34"/>
  <c r="T850" i="34"/>
  <c r="X850" i="34"/>
  <c r="Q850" i="34"/>
  <c r="U850" i="34"/>
  <c r="R850" i="34"/>
  <c r="V850" i="34"/>
  <c r="A854" i="34"/>
  <c r="S854" i="34"/>
  <c r="AA854" i="34"/>
  <c r="P854" i="34"/>
  <c r="T854" i="34"/>
  <c r="X854" i="34"/>
  <c r="Q854" i="34"/>
  <c r="U854" i="34"/>
  <c r="R854" i="34"/>
  <c r="V854" i="34"/>
  <c r="A858" i="34"/>
  <c r="S858" i="34"/>
  <c r="AA858" i="34"/>
  <c r="P858" i="34"/>
  <c r="T858" i="34"/>
  <c r="X858" i="34"/>
  <c r="Q858" i="34"/>
  <c r="U858" i="34"/>
  <c r="R858" i="34"/>
  <c r="V858" i="34"/>
  <c r="A862" i="34"/>
  <c r="AA862" i="34"/>
  <c r="P862" i="34"/>
  <c r="X862" i="34"/>
  <c r="Q862" i="34"/>
  <c r="R862" i="34"/>
  <c r="V862" i="34"/>
  <c r="A866" i="34"/>
  <c r="AA866" i="34"/>
  <c r="P866" i="34"/>
  <c r="X866" i="34"/>
  <c r="Q866" i="34"/>
  <c r="R866" i="34"/>
  <c r="V866" i="34"/>
  <c r="A872" i="34"/>
  <c r="Q872" i="34"/>
  <c r="R872" i="34"/>
  <c r="V872" i="34"/>
  <c r="AA872" i="34"/>
  <c r="P872" i="34"/>
  <c r="X872" i="34"/>
  <c r="A1025" i="34"/>
  <c r="Q1025" i="34"/>
  <c r="R1025" i="34"/>
  <c r="V1025" i="34"/>
  <c r="AA1025" i="34"/>
  <c r="P1025" i="34"/>
  <c r="X1025" i="34"/>
  <c r="A1120" i="34"/>
  <c r="P1120" i="34"/>
  <c r="X1120" i="34"/>
  <c r="Q1120" i="34"/>
  <c r="R1120" i="34"/>
  <c r="V1120" i="34"/>
  <c r="AA1120" i="34"/>
  <c r="AA1424" i="34"/>
  <c r="P1424" i="34"/>
  <c r="X1424" i="34"/>
  <c r="Q1424" i="34"/>
  <c r="R1424" i="34"/>
  <c r="V1424" i="34"/>
  <c r="AA1428" i="34"/>
  <c r="P1428" i="34"/>
  <c r="X1428" i="34"/>
  <c r="Q1428" i="34"/>
  <c r="R1428" i="34"/>
  <c r="V1428" i="34"/>
  <c r="A1264" i="34"/>
  <c r="AA1264" i="34"/>
  <c r="P1264" i="34"/>
  <c r="X1264" i="34"/>
  <c r="Q1264" i="34"/>
  <c r="R1264" i="34"/>
  <c r="V1264" i="34"/>
  <c r="A1339" i="34"/>
  <c r="P1339" i="34"/>
  <c r="X1339" i="34"/>
  <c r="Q1339" i="34"/>
  <c r="R1339" i="34"/>
  <c r="V1339" i="34"/>
  <c r="AA1339" i="34"/>
  <c r="A1343" i="34"/>
  <c r="P1343" i="34"/>
  <c r="X1343" i="34"/>
  <c r="Q1343" i="34"/>
  <c r="R1343" i="34"/>
  <c r="V1343" i="34"/>
  <c r="AA1343" i="34"/>
  <c r="R1365" i="34"/>
  <c r="V1365" i="34"/>
  <c r="AA1365" i="34"/>
  <c r="P1365" i="34"/>
  <c r="X1365" i="34"/>
  <c r="Q1365" i="34"/>
  <c r="R1369" i="34"/>
  <c r="V1369" i="34"/>
  <c r="AA1369" i="34"/>
  <c r="P1369" i="34"/>
  <c r="X1369" i="34"/>
  <c r="Q1369" i="34"/>
  <c r="Q1414" i="34"/>
  <c r="R1414" i="34"/>
  <c r="V1414" i="34"/>
  <c r="AA1414" i="34"/>
  <c r="P1414" i="34"/>
  <c r="X1414" i="34"/>
  <c r="Q1418" i="34"/>
  <c r="R1418" i="34"/>
  <c r="V1418" i="34"/>
  <c r="AA1418" i="34"/>
  <c r="P1418" i="34"/>
  <c r="X1418" i="34"/>
  <c r="A869" i="34"/>
  <c r="P869" i="34"/>
  <c r="X869" i="34"/>
  <c r="Q869" i="34"/>
  <c r="R869" i="34"/>
  <c r="V869" i="34"/>
  <c r="AA869" i="34"/>
  <c r="A1190" i="34"/>
  <c r="Q1190" i="34"/>
  <c r="R1190" i="34"/>
  <c r="V1190" i="34"/>
  <c r="AA1190" i="34"/>
  <c r="P1190" i="34"/>
  <c r="X1190" i="34"/>
  <c r="A1194" i="34"/>
  <c r="Q1194" i="34"/>
  <c r="R1194" i="34"/>
  <c r="V1194" i="34"/>
  <c r="AA1194" i="34"/>
  <c r="P1194" i="34"/>
  <c r="X1194" i="34"/>
  <c r="A1221" i="34"/>
  <c r="Q1221" i="34"/>
  <c r="R1221" i="34"/>
  <c r="V1221" i="34"/>
  <c r="AA1221" i="34"/>
  <c r="P1221" i="34"/>
  <c r="X1221" i="34"/>
  <c r="A1243" i="34"/>
  <c r="P1243" i="34"/>
  <c r="X1243" i="34"/>
  <c r="Q1243" i="34"/>
  <c r="R1243" i="34"/>
  <c r="V1243" i="34"/>
  <c r="AA1243" i="34"/>
  <c r="A1257" i="34"/>
  <c r="R1257" i="34"/>
  <c r="V1257" i="34"/>
  <c r="AA1257" i="34"/>
  <c r="P1257" i="34"/>
  <c r="X1257" i="34"/>
  <c r="Q1257" i="34"/>
  <c r="A1085" i="34"/>
  <c r="AA1085" i="34"/>
  <c r="P1085" i="34"/>
  <c r="X1085" i="34"/>
  <c r="Q1085" i="34"/>
  <c r="R1085" i="34"/>
  <c r="V1085" i="34"/>
  <c r="A942" i="34"/>
  <c r="Q942" i="34"/>
  <c r="R942" i="34"/>
  <c r="V942" i="34"/>
  <c r="AA942" i="34"/>
  <c r="P942" i="34"/>
  <c r="X942" i="34"/>
  <c r="A946" i="34"/>
  <c r="Q946" i="34"/>
  <c r="R946" i="34"/>
  <c r="V946" i="34"/>
  <c r="AA946" i="34"/>
  <c r="P946" i="34"/>
  <c r="X946" i="34"/>
  <c r="A980" i="34"/>
  <c r="AA980" i="34"/>
  <c r="P980" i="34"/>
  <c r="X980" i="34"/>
  <c r="Q980" i="34"/>
  <c r="R980" i="34"/>
  <c r="V980" i="34"/>
  <c r="A985" i="34"/>
  <c r="R985" i="34"/>
  <c r="V985" i="34"/>
  <c r="AA985" i="34"/>
  <c r="P985" i="34"/>
  <c r="X985" i="34"/>
  <c r="Q985" i="34"/>
  <c r="A899" i="34"/>
  <c r="R899" i="34"/>
  <c r="V899" i="34"/>
  <c r="AA899" i="34"/>
  <c r="P899" i="34"/>
  <c r="X899" i="34"/>
  <c r="Q899" i="34"/>
  <c r="A1084" i="34"/>
  <c r="P1084" i="34"/>
  <c r="X1084" i="34"/>
  <c r="Q1084" i="34"/>
  <c r="R1084" i="34"/>
  <c r="V1084" i="34"/>
  <c r="AA1084" i="34"/>
  <c r="A1110" i="34"/>
  <c r="R1110" i="34"/>
  <c r="V1110" i="34"/>
  <c r="AA1110" i="34"/>
  <c r="P1110" i="34"/>
  <c r="X1110" i="34"/>
  <c r="Q1110" i="34"/>
  <c r="AA1388" i="34"/>
  <c r="P1388" i="34"/>
  <c r="X1388" i="34"/>
  <c r="Q1388" i="34"/>
  <c r="R1388" i="34"/>
  <c r="V1388" i="34"/>
  <c r="AA1384" i="34"/>
  <c r="P1384" i="34"/>
  <c r="X1384" i="34"/>
  <c r="Q1384" i="34"/>
  <c r="R1384" i="34"/>
  <c r="V1384" i="34"/>
  <c r="A1318" i="34"/>
  <c r="Q1318" i="34"/>
  <c r="R1318" i="34"/>
  <c r="V1318" i="34"/>
  <c r="AA1318" i="34"/>
  <c r="P1318" i="34"/>
  <c r="X1318" i="34"/>
  <c r="A1314" i="34"/>
  <c r="Q1314" i="34"/>
  <c r="R1314" i="34"/>
  <c r="V1314" i="34"/>
  <c r="AA1314" i="34"/>
  <c r="P1314" i="34"/>
  <c r="X1314" i="34"/>
  <c r="A1310" i="34"/>
  <c r="Q1310" i="34"/>
  <c r="R1310" i="34"/>
  <c r="V1310" i="34"/>
  <c r="AA1310" i="34"/>
  <c r="P1310" i="34"/>
  <c r="X1310" i="34"/>
  <c r="A1306" i="34"/>
  <c r="Q1306" i="34"/>
  <c r="R1306" i="34"/>
  <c r="V1306" i="34"/>
  <c r="AA1306" i="34"/>
  <c r="P1306" i="34"/>
  <c r="X1306" i="34"/>
  <c r="A1292" i="34"/>
  <c r="AA1292" i="34"/>
  <c r="P1292" i="34"/>
  <c r="X1292" i="34"/>
  <c r="Q1292" i="34"/>
  <c r="R1292" i="34"/>
  <c r="V1292" i="34"/>
  <c r="A1288" i="34"/>
  <c r="AA1288" i="34"/>
  <c r="P1288" i="34"/>
  <c r="X1288" i="34"/>
  <c r="Q1288" i="34"/>
  <c r="R1288" i="34"/>
  <c r="V1288" i="34"/>
  <c r="A1282" i="34"/>
  <c r="Q1282" i="34"/>
  <c r="R1282" i="34"/>
  <c r="V1282" i="34"/>
  <c r="AA1282" i="34"/>
  <c r="P1282" i="34"/>
  <c r="X1282" i="34"/>
  <c r="A1278" i="34"/>
  <c r="Q1278" i="34"/>
  <c r="R1278" i="34"/>
  <c r="V1278" i="34"/>
  <c r="AA1278" i="34"/>
  <c r="P1278" i="34"/>
  <c r="X1278" i="34"/>
  <c r="A1217" i="34"/>
  <c r="P1217" i="34"/>
  <c r="X1217" i="34"/>
  <c r="Q1217" i="34"/>
  <c r="R1217" i="34"/>
  <c r="V1217" i="34"/>
  <c r="AA1217" i="34"/>
  <c r="A1186" i="34"/>
  <c r="Q1186" i="34"/>
  <c r="R1186" i="34"/>
  <c r="V1186" i="34"/>
  <c r="AA1186" i="34"/>
  <c r="P1186" i="34"/>
  <c r="X1186" i="34"/>
  <c r="A941" i="34"/>
  <c r="R941" i="34"/>
  <c r="V941" i="34"/>
  <c r="AA941" i="34"/>
  <c r="P941" i="34"/>
  <c r="X941" i="34"/>
  <c r="Q941" i="34"/>
  <c r="A937" i="34"/>
  <c r="R937" i="34"/>
  <c r="V937" i="34"/>
  <c r="AA937" i="34"/>
  <c r="P937" i="34"/>
  <c r="X937" i="34"/>
  <c r="Q937" i="34"/>
  <c r="A904" i="34"/>
  <c r="R904" i="34"/>
  <c r="V904" i="34"/>
  <c r="AA904" i="34"/>
  <c r="P904" i="34"/>
  <c r="X904" i="34"/>
  <c r="Q904" i="34"/>
  <c r="A897" i="34"/>
  <c r="P897" i="34"/>
  <c r="X897" i="34"/>
  <c r="Q897" i="34"/>
  <c r="R897" i="34"/>
  <c r="V897" i="34"/>
  <c r="AA897" i="34"/>
  <c r="A1155" i="34"/>
  <c r="Q1155" i="34"/>
  <c r="R1155" i="34"/>
  <c r="V1155" i="34"/>
  <c r="AA1155" i="34"/>
  <c r="P1155" i="34"/>
  <c r="X1155" i="34"/>
  <c r="A1151" i="34"/>
  <c r="Q1151" i="34"/>
  <c r="R1151" i="34"/>
  <c r="V1151" i="34"/>
  <c r="AA1151" i="34"/>
  <c r="P1151" i="34"/>
  <c r="X1151" i="34"/>
  <c r="A1063" i="34"/>
  <c r="AA1063" i="34"/>
  <c r="P1063" i="34"/>
  <c r="X1063" i="34"/>
  <c r="Q1063" i="34"/>
  <c r="R1063" i="34"/>
  <c r="V1063" i="34"/>
  <c r="A1054" i="34"/>
  <c r="P1054" i="34"/>
  <c r="X1054" i="34"/>
  <c r="Q1054" i="34"/>
  <c r="R1054" i="34"/>
  <c r="V1054" i="34"/>
  <c r="AA1054" i="34"/>
  <c r="A919" i="34"/>
  <c r="P919" i="34"/>
  <c r="X919" i="34"/>
  <c r="Q919" i="34"/>
  <c r="R919" i="34"/>
  <c r="V919" i="34"/>
  <c r="AA919" i="34"/>
  <c r="A915" i="34"/>
  <c r="P915" i="34"/>
  <c r="X915" i="34"/>
  <c r="Q915" i="34"/>
  <c r="R915" i="34"/>
  <c r="V915" i="34"/>
  <c r="AA915" i="34"/>
  <c r="A1014" i="34"/>
  <c r="P1014" i="34"/>
  <c r="X1014" i="34"/>
  <c r="Q1014" i="34"/>
  <c r="R1014" i="34"/>
  <c r="V1014" i="34"/>
  <c r="AA1014" i="34"/>
  <c r="A1001" i="34"/>
  <c r="Q1001" i="34"/>
  <c r="R1001" i="34"/>
  <c r="V1001" i="34"/>
  <c r="AA1001" i="34"/>
  <c r="P1001" i="34"/>
  <c r="X1001" i="34"/>
  <c r="A1010" i="34"/>
  <c r="P1010" i="34"/>
  <c r="X1010" i="34"/>
  <c r="Q1010" i="34"/>
  <c r="R1010" i="34"/>
  <c r="V1010" i="34"/>
  <c r="AA1010" i="34"/>
  <c r="A997" i="34"/>
  <c r="Q997" i="34"/>
  <c r="R997" i="34"/>
  <c r="V997" i="34"/>
  <c r="AA997" i="34"/>
  <c r="P997" i="34"/>
  <c r="X997" i="34"/>
  <c r="A272" i="34"/>
  <c r="AA272" i="34"/>
  <c r="P272" i="34"/>
  <c r="X272" i="34"/>
  <c r="Q272" i="34"/>
  <c r="R272" i="34"/>
  <c r="V272" i="34"/>
  <c r="A276" i="34"/>
  <c r="AA276" i="34"/>
  <c r="P276" i="34"/>
  <c r="X276" i="34"/>
  <c r="Q276" i="34"/>
  <c r="R276" i="34"/>
  <c r="V276" i="34"/>
  <c r="A278" i="34"/>
  <c r="AA278" i="34"/>
  <c r="P278" i="34"/>
  <c r="X278" i="34"/>
  <c r="Q278" i="34"/>
  <c r="R278" i="34"/>
  <c r="V278" i="34"/>
  <c r="A282" i="34"/>
  <c r="AA282" i="34"/>
  <c r="P282" i="34"/>
  <c r="X282" i="34"/>
  <c r="Q282" i="34"/>
  <c r="R282" i="34"/>
  <c r="V282" i="34"/>
  <c r="A286" i="34"/>
  <c r="AA286" i="34"/>
  <c r="P286" i="34"/>
  <c r="X286" i="34"/>
  <c r="Q286" i="34"/>
  <c r="R286" i="34"/>
  <c r="V286" i="34"/>
  <c r="A290" i="34"/>
  <c r="AA290" i="34"/>
  <c r="P290" i="34"/>
  <c r="X290" i="34"/>
  <c r="Q290" i="34"/>
  <c r="R290" i="34"/>
  <c r="V290" i="34"/>
  <c r="A294" i="34"/>
  <c r="AA294" i="34"/>
  <c r="P294" i="34"/>
  <c r="X294" i="34"/>
  <c r="Q294" i="34"/>
  <c r="R294" i="34"/>
  <c r="V294" i="34"/>
  <c r="A298" i="34"/>
  <c r="AA298" i="34"/>
  <c r="P298" i="34"/>
  <c r="X298" i="34"/>
  <c r="Q298" i="34"/>
  <c r="R298" i="34"/>
  <c r="V298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8" i="34"/>
  <c r="P418" i="34"/>
  <c r="X418" i="34"/>
  <c r="AA418" i="34"/>
  <c r="Q418" i="34"/>
  <c r="R418" i="34"/>
  <c r="V418" i="34"/>
  <c r="A422" i="34"/>
  <c r="P422" i="34"/>
  <c r="X422" i="34"/>
  <c r="AA422" i="34"/>
  <c r="Q422" i="34"/>
  <c r="R422" i="34"/>
  <c r="V422" i="34"/>
  <c r="A426" i="34"/>
  <c r="AA426" i="34"/>
  <c r="P426" i="34"/>
  <c r="X426" i="34"/>
  <c r="Q426" i="34"/>
  <c r="R426" i="34"/>
  <c r="V426" i="34"/>
  <c r="A490" i="34"/>
  <c r="P490" i="34"/>
  <c r="X490" i="34"/>
  <c r="Q490" i="34"/>
  <c r="R490" i="34"/>
  <c r="V490" i="34"/>
  <c r="AA490" i="34"/>
  <c r="A501" i="34"/>
  <c r="Q501" i="34"/>
  <c r="R501" i="34"/>
  <c r="V501" i="34"/>
  <c r="AA501" i="34"/>
  <c r="P501" i="34"/>
  <c r="X501" i="34"/>
  <c r="A807" i="34"/>
  <c r="R807" i="34"/>
  <c r="V807" i="34"/>
  <c r="S807" i="34"/>
  <c r="AA807" i="34"/>
  <c r="P807" i="34"/>
  <c r="T807" i="34"/>
  <c r="X807" i="34"/>
  <c r="Q807" i="34"/>
  <c r="U807" i="34"/>
  <c r="A811" i="34"/>
  <c r="R811" i="34"/>
  <c r="V811" i="34"/>
  <c r="S811" i="34"/>
  <c r="AA811" i="34"/>
  <c r="P811" i="34"/>
  <c r="T811" i="34"/>
  <c r="X811" i="34"/>
  <c r="Q811" i="34"/>
  <c r="U811" i="34"/>
  <c r="A815" i="34"/>
  <c r="R815" i="34"/>
  <c r="V815" i="34"/>
  <c r="S815" i="34"/>
  <c r="AA815" i="34"/>
  <c r="P815" i="34"/>
  <c r="T815" i="34"/>
  <c r="X815" i="34"/>
  <c r="Q815" i="34"/>
  <c r="U815" i="34"/>
  <c r="A819" i="34"/>
  <c r="R819" i="34"/>
  <c r="V819" i="34"/>
  <c r="S819" i="34"/>
  <c r="AA819" i="34"/>
  <c r="P819" i="34"/>
  <c r="T819" i="34"/>
  <c r="X819" i="34"/>
  <c r="Q819" i="34"/>
  <c r="U819" i="34"/>
  <c r="A823" i="34"/>
  <c r="R823" i="34"/>
  <c r="V823" i="34"/>
  <c r="S823" i="34"/>
  <c r="AA823" i="34"/>
  <c r="P823" i="34"/>
  <c r="T823" i="34"/>
  <c r="X823" i="34"/>
  <c r="Q823" i="34"/>
  <c r="U823" i="34"/>
  <c r="A827" i="34"/>
  <c r="R827" i="34"/>
  <c r="V827" i="34"/>
  <c r="S827" i="34"/>
  <c r="AA827" i="34"/>
  <c r="P827" i="34"/>
  <c r="T827" i="34"/>
  <c r="X827" i="34"/>
  <c r="Q827" i="34"/>
  <c r="U827" i="34"/>
  <c r="A831" i="34"/>
  <c r="R831" i="34"/>
  <c r="V831" i="34"/>
  <c r="S831" i="34"/>
  <c r="AA831" i="34"/>
  <c r="P831" i="34"/>
  <c r="T831" i="34"/>
  <c r="X831" i="34"/>
  <c r="Q831" i="34"/>
  <c r="U831" i="34"/>
  <c r="A835" i="34"/>
  <c r="R835" i="34"/>
  <c r="V835" i="34"/>
  <c r="S835" i="34"/>
  <c r="AA835" i="34"/>
  <c r="P835" i="34"/>
  <c r="T835" i="34"/>
  <c r="X835" i="34"/>
  <c r="Q835" i="34"/>
  <c r="U835" i="34"/>
  <c r="A839" i="34"/>
  <c r="R839" i="34"/>
  <c r="V839" i="34"/>
  <c r="S839" i="34"/>
  <c r="AA839" i="34"/>
  <c r="P839" i="34"/>
  <c r="T839" i="34"/>
  <c r="X839" i="34"/>
  <c r="Q839" i="34"/>
  <c r="U839" i="34"/>
  <c r="A843" i="34"/>
  <c r="R843" i="34"/>
  <c r="V843" i="34"/>
  <c r="S843" i="34"/>
  <c r="AA843" i="34"/>
  <c r="P843" i="34"/>
  <c r="T843" i="34"/>
  <c r="X843" i="34"/>
  <c r="Q843" i="34"/>
  <c r="U843" i="34"/>
  <c r="A847" i="34"/>
  <c r="R847" i="34"/>
  <c r="V847" i="34"/>
  <c r="S847" i="34"/>
  <c r="AA847" i="34"/>
  <c r="P847" i="34"/>
  <c r="T847" i="34"/>
  <c r="X847" i="34"/>
  <c r="Q847" i="34"/>
  <c r="U847" i="34"/>
  <c r="A851" i="34"/>
  <c r="R851" i="34"/>
  <c r="V851" i="34"/>
  <c r="S851" i="34"/>
  <c r="AA851" i="34"/>
  <c r="P851" i="34"/>
  <c r="T851" i="34"/>
  <c r="X851" i="34"/>
  <c r="Q851" i="34"/>
  <c r="U851" i="34"/>
  <c r="A855" i="34"/>
  <c r="R855" i="34"/>
  <c r="V855" i="34"/>
  <c r="S855" i="34"/>
  <c r="AA855" i="34"/>
  <c r="P855" i="34"/>
  <c r="T855" i="34"/>
  <c r="X855" i="34"/>
  <c r="Q855" i="34"/>
  <c r="U855" i="34"/>
  <c r="A859" i="34"/>
  <c r="R859" i="34"/>
  <c r="V859" i="34"/>
  <c r="AA859" i="34"/>
  <c r="P859" i="34"/>
  <c r="X859" i="34"/>
  <c r="Q859" i="34"/>
  <c r="A863" i="34"/>
  <c r="R863" i="34"/>
  <c r="V863" i="34"/>
  <c r="AA863" i="34"/>
  <c r="P863" i="34"/>
  <c r="X863" i="34"/>
  <c r="Q863" i="34"/>
  <c r="A867" i="34"/>
  <c r="R867" i="34"/>
  <c r="V867" i="34"/>
  <c r="AA867" i="34"/>
  <c r="P867" i="34"/>
  <c r="X867" i="34"/>
  <c r="Q867" i="34"/>
  <c r="A873" i="34"/>
  <c r="P873" i="34"/>
  <c r="X873" i="34"/>
  <c r="Q873" i="34"/>
  <c r="R873" i="34"/>
  <c r="V873" i="34"/>
  <c r="AA873" i="34"/>
  <c r="A1026" i="34"/>
  <c r="P1026" i="34"/>
  <c r="X1026" i="34"/>
  <c r="Q1026" i="34"/>
  <c r="R1026" i="34"/>
  <c r="V1026" i="34"/>
  <c r="AA1026" i="34"/>
  <c r="A1121" i="34"/>
  <c r="AA1121" i="34"/>
  <c r="P1121" i="34"/>
  <c r="X1121" i="34"/>
  <c r="Q1121" i="34"/>
  <c r="R1121" i="34"/>
  <c r="V1121" i="34"/>
  <c r="R1421" i="34"/>
  <c r="V1421" i="34"/>
  <c r="AA1421" i="34"/>
  <c r="P1421" i="34"/>
  <c r="X1421" i="34"/>
  <c r="Q1421" i="34"/>
  <c r="R1425" i="34"/>
  <c r="V1425" i="34"/>
  <c r="AA1425" i="34"/>
  <c r="P1425" i="34"/>
  <c r="X1425" i="34"/>
  <c r="Q1425" i="34"/>
  <c r="A1299" i="34"/>
  <c r="P1299" i="34"/>
  <c r="X1299" i="34"/>
  <c r="Q1299" i="34"/>
  <c r="R1299" i="34"/>
  <c r="V1299" i="34"/>
  <c r="AA1299" i="34"/>
  <c r="A1340" i="34"/>
  <c r="AA1340" i="34"/>
  <c r="P1340" i="34"/>
  <c r="X1340" i="34"/>
  <c r="Q1340" i="34"/>
  <c r="R1340" i="34"/>
  <c r="V1340" i="34"/>
  <c r="A1344" i="34"/>
  <c r="AA1344" i="34"/>
  <c r="P1344" i="34"/>
  <c r="X1344" i="34"/>
  <c r="Q1344" i="34"/>
  <c r="R1344" i="34"/>
  <c r="V1344" i="34"/>
  <c r="Q1366" i="34"/>
  <c r="R1366" i="34"/>
  <c r="V1366" i="34"/>
  <c r="AA1366" i="34"/>
  <c r="P1366" i="34"/>
  <c r="X1366" i="34"/>
  <c r="Q1370" i="34"/>
  <c r="R1370" i="34"/>
  <c r="V1370" i="34"/>
  <c r="AA1370" i="34"/>
  <c r="P1370" i="34"/>
  <c r="X1370" i="34"/>
  <c r="P1415" i="34"/>
  <c r="X1415" i="34"/>
  <c r="Q1415" i="34"/>
  <c r="R1415" i="34"/>
  <c r="V1415" i="34"/>
  <c r="AA1415" i="34"/>
  <c r="P1419" i="34"/>
  <c r="X1419" i="34"/>
  <c r="Q1419" i="34"/>
  <c r="R1419" i="34"/>
  <c r="V1419" i="34"/>
  <c r="AA1419" i="34"/>
  <c r="A870" i="34"/>
  <c r="AA870" i="34"/>
  <c r="P870" i="34"/>
  <c r="X870" i="34"/>
  <c r="Q870" i="34"/>
  <c r="R870" i="34"/>
  <c r="V870" i="34"/>
  <c r="A1191" i="34"/>
  <c r="P1191" i="34"/>
  <c r="X1191" i="34"/>
  <c r="Q1191" i="34"/>
  <c r="R1191" i="34"/>
  <c r="V1191" i="34"/>
  <c r="AA1191" i="34"/>
  <c r="A1195" i="34"/>
  <c r="P1195" i="34"/>
  <c r="X1195" i="34"/>
  <c r="Q1195" i="34"/>
  <c r="R1195" i="34"/>
  <c r="V1195" i="34"/>
  <c r="AA1195" i="34"/>
  <c r="A1222" i="34"/>
  <c r="P1222" i="34"/>
  <c r="X1222" i="34"/>
  <c r="R1222" i="34"/>
  <c r="V1222" i="34"/>
  <c r="AA1222" i="34"/>
  <c r="Q1222" i="34"/>
  <c r="A1225" i="34"/>
  <c r="P1225" i="34"/>
  <c r="X1225" i="34"/>
  <c r="R1225" i="34"/>
  <c r="V1225" i="34"/>
  <c r="Q1225" i="34"/>
  <c r="AA1225" i="34"/>
  <c r="A1244" i="34"/>
  <c r="AA1244" i="34"/>
  <c r="P1244" i="34"/>
  <c r="X1244" i="34"/>
  <c r="Q1244" i="34"/>
  <c r="R1244" i="34"/>
  <c r="V1244" i="34"/>
  <c r="A1258" i="34"/>
  <c r="Q1258" i="34"/>
  <c r="R1258" i="34"/>
  <c r="V1258" i="34"/>
  <c r="AA1258" i="34"/>
  <c r="P1258" i="34"/>
  <c r="X1258" i="34"/>
  <c r="A1086" i="34"/>
  <c r="R1086" i="34"/>
  <c r="V1086" i="34"/>
  <c r="AA1086" i="34"/>
  <c r="P1086" i="34"/>
  <c r="X1086" i="34"/>
  <c r="Q1086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81" i="34"/>
  <c r="R981" i="34"/>
  <c r="V981" i="34"/>
  <c r="AA981" i="34"/>
  <c r="P981" i="34"/>
  <c r="X981" i="34"/>
  <c r="Q981" i="34"/>
  <c r="A986" i="34"/>
  <c r="Q986" i="34"/>
  <c r="R986" i="34"/>
  <c r="V986" i="34"/>
  <c r="AA986" i="34"/>
  <c r="P986" i="34"/>
  <c r="X986" i="34"/>
  <c r="A900" i="34"/>
  <c r="Q900" i="34"/>
  <c r="R900" i="34"/>
  <c r="V900" i="34"/>
  <c r="AA900" i="34"/>
  <c r="P900" i="34"/>
  <c r="X900" i="34"/>
  <c r="A1066" i="34"/>
  <c r="P1066" i="34"/>
  <c r="X1066" i="34"/>
  <c r="Q1066" i="34"/>
  <c r="R1066" i="34"/>
  <c r="V1066" i="34"/>
  <c r="AA1066" i="34"/>
  <c r="A1103" i="34"/>
  <c r="Q1103" i="34"/>
  <c r="R1103" i="34"/>
  <c r="V1103" i="34"/>
  <c r="AA1103" i="34"/>
  <c r="P1103" i="34"/>
  <c r="X1103" i="34"/>
  <c r="A1156" i="34"/>
  <c r="P1156" i="34"/>
  <c r="X1156" i="34"/>
  <c r="Q1156" i="34"/>
  <c r="R1156" i="34"/>
  <c r="V1156" i="34"/>
  <c r="AA1156" i="34"/>
  <c r="P1387" i="34"/>
  <c r="X1387" i="34"/>
  <c r="Q1387" i="34"/>
  <c r="R1387" i="34"/>
  <c r="V1387" i="34"/>
  <c r="AA1387" i="34"/>
  <c r="A1321" i="34"/>
  <c r="R1321" i="34"/>
  <c r="V1321" i="34"/>
  <c r="AA1321" i="34"/>
  <c r="P1321" i="34"/>
  <c r="X1321" i="34"/>
  <c r="Q1321" i="34"/>
  <c r="A1317" i="34"/>
  <c r="R1317" i="34"/>
  <c r="V1317" i="34"/>
  <c r="AA1317" i="34"/>
  <c r="P1317" i="34"/>
  <c r="X1317" i="34"/>
  <c r="Q1317" i="34"/>
  <c r="A1313" i="34"/>
  <c r="R1313" i="34"/>
  <c r="V1313" i="34"/>
  <c r="AA1313" i="34"/>
  <c r="P1313" i="34"/>
  <c r="X1313" i="34"/>
  <c r="Q1313" i="34"/>
  <c r="A1309" i="34"/>
  <c r="R1309" i="34"/>
  <c r="V1309" i="34"/>
  <c r="AA1309" i="34"/>
  <c r="P1309" i="34"/>
  <c r="X1309" i="34"/>
  <c r="Q1309" i="34"/>
  <c r="A1295" i="34"/>
  <c r="P1295" i="34"/>
  <c r="X1295" i="34"/>
  <c r="Q1295" i="34"/>
  <c r="R1295" i="34"/>
  <c r="V1295" i="34"/>
  <c r="AA1295" i="34"/>
  <c r="A1291" i="34"/>
  <c r="P1291" i="34"/>
  <c r="X1291" i="34"/>
  <c r="Q1291" i="34"/>
  <c r="R1291" i="34"/>
  <c r="V1291" i="34"/>
  <c r="AA1291" i="34"/>
  <c r="A1285" i="34"/>
  <c r="R1285" i="34"/>
  <c r="V1285" i="34"/>
  <c r="AA1285" i="34"/>
  <c r="P1285" i="34"/>
  <c r="X1285" i="34"/>
  <c r="Q1285" i="34"/>
  <c r="A1281" i="34"/>
  <c r="R1281" i="34"/>
  <c r="V1281" i="34"/>
  <c r="AA1281" i="34"/>
  <c r="P1281" i="34"/>
  <c r="X1281" i="34"/>
  <c r="Q1281" i="34"/>
  <c r="A1277" i="34"/>
  <c r="R1277" i="34"/>
  <c r="V1277" i="34"/>
  <c r="AA1277" i="34"/>
  <c r="P1277" i="34"/>
  <c r="X1277" i="34"/>
  <c r="Q1277" i="34"/>
  <c r="A1216" i="34"/>
  <c r="Q1216" i="34"/>
  <c r="R1216" i="34"/>
  <c r="V1216" i="34"/>
  <c r="AA1216" i="34"/>
  <c r="P1216" i="34"/>
  <c r="X1216" i="34"/>
  <c r="A1184" i="34"/>
  <c r="R1184" i="34"/>
  <c r="V1184" i="34"/>
  <c r="AA1184" i="34"/>
  <c r="P1184" i="34"/>
  <c r="X1184" i="34"/>
  <c r="Q1184" i="34"/>
  <c r="A940" i="34"/>
  <c r="AA940" i="34"/>
  <c r="P940" i="34"/>
  <c r="X940" i="34"/>
  <c r="Q940" i="34"/>
  <c r="R940" i="34"/>
  <c r="V940" i="34"/>
  <c r="A936" i="34"/>
  <c r="AA936" i="34"/>
  <c r="P936" i="34"/>
  <c r="X936" i="34"/>
  <c r="Q936" i="34"/>
  <c r="R936" i="34"/>
  <c r="V936" i="34"/>
  <c r="A903" i="34"/>
  <c r="AA903" i="34"/>
  <c r="P903" i="34"/>
  <c r="X903" i="34"/>
  <c r="Q903" i="34"/>
  <c r="R903" i="34"/>
  <c r="V903" i="34"/>
  <c r="A896" i="34"/>
  <c r="Q896" i="34"/>
  <c r="R896" i="34"/>
  <c r="V896" i="34"/>
  <c r="AA896" i="34"/>
  <c r="P896" i="34"/>
  <c r="X896" i="34"/>
  <c r="A1154" i="34"/>
  <c r="R1154" i="34"/>
  <c r="V1154" i="34"/>
  <c r="AA1154" i="34"/>
  <c r="P1154" i="34"/>
  <c r="X1154" i="34"/>
  <c r="Q1154" i="34"/>
  <c r="A1150" i="34"/>
  <c r="R1150" i="34"/>
  <c r="V1150" i="34"/>
  <c r="AA1150" i="34"/>
  <c r="P1150" i="34"/>
  <c r="X1150" i="34"/>
  <c r="Q1150" i="34"/>
  <c r="A1061" i="34"/>
  <c r="Q1061" i="34"/>
  <c r="R1061" i="34"/>
  <c r="V1061" i="34"/>
  <c r="AA1061" i="34"/>
  <c r="P1061" i="34"/>
  <c r="X1061" i="34"/>
  <c r="A1053" i="34"/>
  <c r="Q1053" i="34"/>
  <c r="R1053" i="34"/>
  <c r="V1053" i="34"/>
  <c r="AA1053" i="34"/>
  <c r="P1053" i="34"/>
  <c r="X1053" i="34"/>
  <c r="A918" i="34"/>
  <c r="Q918" i="34"/>
  <c r="R918" i="34"/>
  <c r="V918" i="34"/>
  <c r="AA918" i="34"/>
  <c r="P918" i="34"/>
  <c r="X918" i="34"/>
  <c r="A914" i="34"/>
  <c r="Q914" i="34"/>
  <c r="R914" i="34"/>
  <c r="V914" i="34"/>
  <c r="AA914" i="34"/>
  <c r="P914" i="34"/>
  <c r="X914" i="34"/>
  <c r="A1013" i="34"/>
  <c r="Q1013" i="34"/>
  <c r="R1013" i="34"/>
  <c r="V1013" i="34"/>
  <c r="AA1013" i="34"/>
  <c r="P1013" i="34"/>
  <c r="X1013" i="34"/>
  <c r="A1000" i="34"/>
  <c r="R1000" i="34"/>
  <c r="V1000" i="34"/>
  <c r="AA1000" i="34"/>
  <c r="P1000" i="34"/>
  <c r="X1000" i="34"/>
  <c r="Q1000" i="34"/>
  <c r="A1009" i="34"/>
  <c r="Q1009" i="34"/>
  <c r="R1009" i="34"/>
  <c r="V1009" i="34"/>
  <c r="AA1009" i="34"/>
  <c r="P1009" i="34"/>
  <c r="X1009" i="34"/>
  <c r="A1004" i="34"/>
  <c r="R1004" i="34"/>
  <c r="V1004" i="34"/>
  <c r="AA1004" i="34"/>
  <c r="P1004" i="34"/>
  <c r="X1004" i="34"/>
  <c r="Q1004" i="34"/>
  <c r="A269" i="34"/>
  <c r="R269" i="34"/>
  <c r="V269" i="34"/>
  <c r="AA269" i="34"/>
  <c r="P269" i="34"/>
  <c r="X269" i="34"/>
  <c r="Q269" i="34"/>
  <c r="A273" i="34"/>
  <c r="R273" i="34"/>
  <c r="V273" i="34"/>
  <c r="AA273" i="34"/>
  <c r="P273" i="34"/>
  <c r="X273" i="34"/>
  <c r="Q273" i="34"/>
  <c r="A279" i="34"/>
  <c r="R279" i="34"/>
  <c r="V279" i="34"/>
  <c r="AA279" i="34"/>
  <c r="P279" i="34"/>
  <c r="X279" i="34"/>
  <c r="Q279" i="34"/>
  <c r="A283" i="34"/>
  <c r="R283" i="34"/>
  <c r="V283" i="34"/>
  <c r="AA283" i="34"/>
  <c r="P283" i="34"/>
  <c r="X283" i="34"/>
  <c r="Q283" i="34"/>
  <c r="A287" i="34"/>
  <c r="R287" i="34"/>
  <c r="V287" i="34"/>
  <c r="AA287" i="34"/>
  <c r="P287" i="34"/>
  <c r="X287" i="34"/>
  <c r="Q287" i="34"/>
  <c r="A291" i="34"/>
  <c r="R291" i="34"/>
  <c r="V291" i="34"/>
  <c r="AA291" i="34"/>
  <c r="P291" i="34"/>
  <c r="X291" i="34"/>
  <c r="Q291" i="34"/>
  <c r="A295" i="34"/>
  <c r="R295" i="34"/>
  <c r="V295" i="34"/>
  <c r="AA295" i="34"/>
  <c r="P295" i="34"/>
  <c r="X295" i="34"/>
  <c r="Q295" i="34"/>
  <c r="A299" i="34"/>
  <c r="R299" i="34"/>
  <c r="V299" i="34"/>
  <c r="AA299" i="34"/>
  <c r="P299" i="34"/>
  <c r="X299" i="34"/>
  <c r="Q299" i="34"/>
  <c r="A390" i="34"/>
  <c r="AA390" i="34"/>
  <c r="P390" i="34"/>
  <c r="X390" i="34"/>
  <c r="Q390" i="34"/>
  <c r="R390" i="34"/>
  <c r="V390" i="34"/>
  <c r="A394" i="34"/>
  <c r="AA394" i="34"/>
  <c r="P394" i="34"/>
  <c r="X394" i="34"/>
  <c r="Q394" i="34"/>
  <c r="R394" i="34"/>
  <c r="V394" i="34"/>
  <c r="A398" i="34"/>
  <c r="AA398" i="34"/>
  <c r="P398" i="34"/>
  <c r="X398" i="34"/>
  <c r="Q398" i="34"/>
  <c r="R398" i="34"/>
  <c r="V398" i="34"/>
  <c r="A402" i="34"/>
  <c r="AA402" i="34"/>
  <c r="P402" i="34"/>
  <c r="X402" i="34"/>
  <c r="Q402" i="34"/>
  <c r="R402" i="34"/>
  <c r="V402" i="34"/>
  <c r="A406" i="34"/>
  <c r="AA406" i="34"/>
  <c r="P406" i="34"/>
  <c r="X406" i="34"/>
  <c r="Q406" i="34"/>
  <c r="R406" i="34"/>
  <c r="V406" i="34"/>
  <c r="A410" i="34"/>
  <c r="AA410" i="34"/>
  <c r="P410" i="34"/>
  <c r="X410" i="34"/>
  <c r="Q410" i="34"/>
  <c r="R410" i="34"/>
  <c r="V410" i="34"/>
  <c r="A414" i="34"/>
  <c r="AA414" i="34"/>
  <c r="P414" i="34"/>
  <c r="X414" i="34"/>
  <c r="Q414" i="34"/>
  <c r="R414" i="34"/>
  <c r="V414" i="34"/>
  <c r="A419" i="34"/>
  <c r="AA419" i="34"/>
  <c r="R419" i="34"/>
  <c r="V419" i="34"/>
  <c r="X419" i="34"/>
  <c r="P419" i="34"/>
  <c r="Q419" i="34"/>
  <c r="A423" i="34"/>
  <c r="AA423" i="34"/>
  <c r="R423" i="34"/>
  <c r="V423" i="34"/>
  <c r="X423" i="34"/>
  <c r="P423" i="34"/>
  <c r="Q423" i="34"/>
  <c r="A427" i="34"/>
  <c r="R427" i="34"/>
  <c r="V427" i="34"/>
  <c r="P427" i="34"/>
  <c r="Q427" i="34"/>
  <c r="AA427" i="34"/>
  <c r="X427" i="34"/>
  <c r="A491" i="34"/>
  <c r="AA491" i="34"/>
  <c r="P491" i="34"/>
  <c r="X491" i="34"/>
  <c r="Q491" i="34"/>
  <c r="R491" i="34"/>
  <c r="V491" i="34"/>
  <c r="A804" i="34"/>
  <c r="Q804" i="34"/>
  <c r="U804" i="34"/>
  <c r="R804" i="34"/>
  <c r="V804" i="34"/>
  <c r="S804" i="34"/>
  <c r="AA804" i="34"/>
  <c r="P804" i="34"/>
  <c r="T804" i="34"/>
  <c r="X804" i="34"/>
  <c r="A808" i="34"/>
  <c r="Q808" i="34"/>
  <c r="U808" i="34"/>
  <c r="R808" i="34"/>
  <c r="V808" i="34"/>
  <c r="S808" i="34"/>
  <c r="AA808" i="34"/>
  <c r="P808" i="34"/>
  <c r="T808" i="34"/>
  <c r="X808" i="34"/>
  <c r="A812" i="34"/>
  <c r="Q812" i="34"/>
  <c r="U812" i="34"/>
  <c r="R812" i="34"/>
  <c r="V812" i="34"/>
  <c r="S812" i="34"/>
  <c r="AA812" i="34"/>
  <c r="P812" i="34"/>
  <c r="T812" i="34"/>
  <c r="X812" i="34"/>
  <c r="A816" i="34"/>
  <c r="Q816" i="34"/>
  <c r="U816" i="34"/>
  <c r="R816" i="34"/>
  <c r="V816" i="34"/>
  <c r="S816" i="34"/>
  <c r="AA816" i="34"/>
  <c r="P816" i="34"/>
  <c r="T816" i="34"/>
  <c r="X816" i="34"/>
  <c r="A820" i="34"/>
  <c r="Q820" i="34"/>
  <c r="U820" i="34"/>
  <c r="R820" i="34"/>
  <c r="V820" i="34"/>
  <c r="S820" i="34"/>
  <c r="AA820" i="34"/>
  <c r="P820" i="34"/>
  <c r="T820" i="34"/>
  <c r="X820" i="34"/>
  <c r="A824" i="34"/>
  <c r="Q824" i="34"/>
  <c r="U824" i="34"/>
  <c r="R824" i="34"/>
  <c r="V824" i="34"/>
  <c r="S824" i="34"/>
  <c r="AA824" i="34"/>
  <c r="P824" i="34"/>
  <c r="T824" i="34"/>
  <c r="X824" i="34"/>
  <c r="A828" i="34"/>
  <c r="Q828" i="34"/>
  <c r="U828" i="34"/>
  <c r="R828" i="34"/>
  <c r="V828" i="34"/>
  <c r="S828" i="34"/>
  <c r="AA828" i="34"/>
  <c r="P828" i="34"/>
  <c r="T828" i="34"/>
  <c r="X828" i="34"/>
  <c r="A832" i="34"/>
  <c r="Q832" i="34"/>
  <c r="U832" i="34"/>
  <c r="R832" i="34"/>
  <c r="V832" i="34"/>
  <c r="S832" i="34"/>
  <c r="AA832" i="34"/>
  <c r="P832" i="34"/>
  <c r="T832" i="34"/>
  <c r="X832" i="34"/>
  <c r="A836" i="34"/>
  <c r="Q836" i="34"/>
  <c r="U836" i="34"/>
  <c r="R836" i="34"/>
  <c r="V836" i="34"/>
  <c r="S836" i="34"/>
  <c r="AA836" i="34"/>
  <c r="P836" i="34"/>
  <c r="T836" i="34"/>
  <c r="X836" i="34"/>
  <c r="A840" i="34"/>
  <c r="Q840" i="34"/>
  <c r="U840" i="34"/>
  <c r="R840" i="34"/>
  <c r="V840" i="34"/>
  <c r="S840" i="34"/>
  <c r="AA840" i="34"/>
  <c r="P840" i="34"/>
  <c r="T840" i="34"/>
  <c r="X840" i="34"/>
  <c r="A844" i="34"/>
  <c r="Q844" i="34"/>
  <c r="U844" i="34"/>
  <c r="R844" i="34"/>
  <c r="V844" i="34"/>
  <c r="S844" i="34"/>
  <c r="AA844" i="34"/>
  <c r="P844" i="34"/>
  <c r="T844" i="34"/>
  <c r="X844" i="34"/>
  <c r="A848" i="34"/>
  <c r="Q848" i="34"/>
  <c r="U848" i="34"/>
  <c r="R848" i="34"/>
  <c r="V848" i="34"/>
  <c r="S848" i="34"/>
  <c r="AA848" i="34"/>
  <c r="P848" i="34"/>
  <c r="T848" i="34"/>
  <c r="X848" i="34"/>
  <c r="A852" i="34"/>
  <c r="Q852" i="34"/>
  <c r="U852" i="34"/>
  <c r="R852" i="34"/>
  <c r="V852" i="34"/>
  <c r="S852" i="34"/>
  <c r="AA852" i="34"/>
  <c r="P852" i="34"/>
  <c r="T852" i="34"/>
  <c r="X852" i="34"/>
  <c r="A856" i="34"/>
  <c r="Q856" i="34"/>
  <c r="U856" i="34"/>
  <c r="R856" i="34"/>
  <c r="V856" i="34"/>
  <c r="S856" i="34"/>
  <c r="AA856" i="34"/>
  <c r="P856" i="34"/>
  <c r="T856" i="34"/>
  <c r="X856" i="34"/>
  <c r="A860" i="34"/>
  <c r="Q860" i="34"/>
  <c r="R860" i="34"/>
  <c r="V860" i="34"/>
  <c r="AA860" i="34"/>
  <c r="P860" i="34"/>
  <c r="X860" i="34"/>
  <c r="A864" i="34"/>
  <c r="Q864" i="34"/>
  <c r="R864" i="34"/>
  <c r="V864" i="34"/>
  <c r="AA864" i="34"/>
  <c r="P864" i="34"/>
  <c r="X864" i="34"/>
  <c r="A868" i="34"/>
  <c r="Q868" i="34"/>
  <c r="R868" i="34"/>
  <c r="V868" i="34"/>
  <c r="AA868" i="34"/>
  <c r="P868" i="34"/>
  <c r="X868" i="34"/>
  <c r="A907" i="34"/>
  <c r="P907" i="34"/>
  <c r="X907" i="34"/>
  <c r="Q907" i="34"/>
  <c r="R907" i="34"/>
  <c r="V907" i="34"/>
  <c r="AA907" i="34"/>
  <c r="X2766" i="34"/>
  <c r="V2766" i="34"/>
  <c r="A2766" i="34"/>
  <c r="X2770" i="34"/>
  <c r="V2770" i="34"/>
  <c r="A2770" i="34"/>
  <c r="X2774" i="34"/>
  <c r="V2774" i="34"/>
  <c r="A2774" i="34"/>
  <c r="X2778" i="34"/>
  <c r="V2778" i="34"/>
  <c r="A2778" i="34"/>
  <c r="X2782" i="34"/>
  <c r="V2782" i="34"/>
  <c r="A2782" i="34"/>
  <c r="X2786" i="34"/>
  <c r="V2786" i="34"/>
  <c r="A2786" i="34"/>
  <c r="V1702" i="34"/>
  <c r="X1702" i="34"/>
  <c r="A1702" i="34"/>
  <c r="V2353" i="34"/>
  <c r="X2353" i="34"/>
  <c r="A2353" i="34"/>
  <c r="V2404" i="34"/>
  <c r="X2404" i="34"/>
  <c r="A2404" i="34"/>
  <c r="U2408" i="34"/>
  <c r="V2408" i="34"/>
  <c r="S2408" i="34"/>
  <c r="T2408" i="34"/>
  <c r="X2408" i="34"/>
  <c r="A2408" i="34"/>
  <c r="X2753" i="34"/>
  <c r="V2753" i="34"/>
  <c r="A2753" i="34"/>
  <c r="X2757" i="34"/>
  <c r="V2757" i="34"/>
  <c r="A2757" i="34"/>
  <c r="X2761" i="34"/>
  <c r="V2761" i="34"/>
  <c r="A2761" i="34"/>
  <c r="X2323" i="34"/>
  <c r="V2323" i="34"/>
  <c r="A2323" i="34"/>
  <c r="V2368" i="34"/>
  <c r="X2368" i="34"/>
  <c r="A2368" i="34"/>
  <c r="V2300" i="34"/>
  <c r="X2300" i="34"/>
  <c r="A2300" i="34"/>
  <c r="V2304" i="34"/>
  <c r="X2304" i="34"/>
  <c r="A2304" i="34"/>
  <c r="V2308" i="34"/>
  <c r="X2308" i="34"/>
  <c r="A2308" i="34"/>
  <c r="V2312" i="34"/>
  <c r="X2312" i="34"/>
  <c r="A2312" i="34"/>
  <c r="V2316" i="34"/>
  <c r="X2316" i="34"/>
  <c r="A2316" i="34"/>
  <c r="X2207" i="34"/>
  <c r="V2207" i="34"/>
  <c r="A2207" i="34"/>
  <c r="X2211" i="34"/>
  <c r="V2211" i="34"/>
  <c r="A2211" i="34"/>
  <c r="X2215" i="34"/>
  <c r="V2215" i="34"/>
  <c r="A2215" i="34"/>
  <c r="X2219" i="34"/>
  <c r="V2219" i="34"/>
  <c r="A2219" i="34"/>
  <c r="X2223" i="34"/>
  <c r="V2223" i="34"/>
  <c r="A2223" i="34"/>
  <c r="V2317" i="34"/>
  <c r="X2317" i="34"/>
  <c r="A2317" i="34"/>
  <c r="V2321" i="34"/>
  <c r="X2321" i="34"/>
  <c r="A2321" i="34"/>
  <c r="V1674" i="34"/>
  <c r="X1674" i="34"/>
  <c r="A1674" i="34"/>
  <c r="V1678" i="34"/>
  <c r="X1678" i="34"/>
  <c r="A1678" i="34"/>
  <c r="X2143" i="34"/>
  <c r="V2143" i="34"/>
  <c r="A2143" i="34"/>
  <c r="X2147" i="34"/>
  <c r="V2147" i="34"/>
  <c r="A2147" i="34"/>
  <c r="V2205" i="34"/>
  <c r="X2205" i="34"/>
  <c r="A2205" i="34"/>
  <c r="V1586" i="34"/>
  <c r="X1586" i="34"/>
  <c r="A1586" i="34"/>
  <c r="X1612" i="34"/>
  <c r="V1612" i="34"/>
  <c r="A1612" i="34"/>
  <c r="X1616" i="34"/>
  <c r="V1616" i="34"/>
  <c r="A1616" i="34"/>
  <c r="V1637" i="34"/>
  <c r="X1637" i="34"/>
  <c r="A1637" i="34"/>
  <c r="V1641" i="34"/>
  <c r="X1641" i="34"/>
  <c r="A1641" i="34"/>
  <c r="X1668" i="34"/>
  <c r="V1668" i="34"/>
  <c r="A1668" i="34"/>
  <c r="A1421" i="34"/>
  <c r="A1425" i="34"/>
  <c r="V1452" i="34"/>
  <c r="X1452" i="34"/>
  <c r="A1452" i="34"/>
  <c r="V1456" i="34"/>
  <c r="X1456" i="34"/>
  <c r="A1456" i="34"/>
  <c r="V1524" i="34"/>
  <c r="X1524" i="34"/>
  <c r="A1524" i="34"/>
  <c r="V1528" i="34"/>
  <c r="X1528" i="34"/>
  <c r="A1528" i="34"/>
  <c r="V1566" i="34"/>
  <c r="X1566" i="34"/>
  <c r="A1566" i="34"/>
  <c r="A1366" i="34"/>
  <c r="A1370" i="34"/>
  <c r="A1415" i="34"/>
  <c r="A1419" i="34"/>
  <c r="X1611" i="34"/>
  <c r="V1611" i="34"/>
  <c r="A1611" i="34"/>
  <c r="V1565" i="34"/>
  <c r="X1565" i="34"/>
  <c r="A1565" i="34"/>
  <c r="V1561" i="34"/>
  <c r="X1561" i="34"/>
  <c r="A1561" i="34"/>
  <c r="V1550" i="34"/>
  <c r="X1550" i="34"/>
  <c r="A1550" i="34"/>
  <c r="V1546" i="34"/>
  <c r="X1546" i="34"/>
  <c r="A1546" i="34"/>
  <c r="X1513" i="34"/>
  <c r="V1513" i="34"/>
  <c r="A1513" i="34"/>
  <c r="X1509" i="34"/>
  <c r="V1509" i="34"/>
  <c r="A1509" i="34"/>
  <c r="V1488" i="34"/>
  <c r="X1488" i="34"/>
  <c r="A1488" i="34"/>
  <c r="V1484" i="34"/>
  <c r="X1484" i="34"/>
  <c r="A1484" i="34"/>
  <c r="V1480" i="34"/>
  <c r="X1480" i="34"/>
  <c r="A1480" i="34"/>
  <c r="V1475" i="34"/>
  <c r="X1475" i="34"/>
  <c r="A1475" i="34"/>
  <c r="V1471" i="34"/>
  <c r="X1471" i="34"/>
  <c r="A1471" i="34"/>
  <c r="A1389" i="34"/>
  <c r="A1385" i="34"/>
  <c r="V2767" i="34"/>
  <c r="X2767" i="34"/>
  <c r="A2767" i="34"/>
  <c r="V2771" i="34"/>
  <c r="X2771" i="34"/>
  <c r="A2771" i="34"/>
  <c r="V2775" i="34"/>
  <c r="X2775" i="34"/>
  <c r="A2775" i="34"/>
  <c r="V2779" i="34"/>
  <c r="X2779" i="34"/>
  <c r="A2779" i="34"/>
  <c r="V2783" i="34"/>
  <c r="X2783" i="34"/>
  <c r="A2783" i="34"/>
  <c r="V1701" i="34"/>
  <c r="X1701" i="34"/>
  <c r="A1701" i="34"/>
  <c r="X2350" i="34"/>
  <c r="V2350" i="34"/>
  <c r="A2350" i="34"/>
  <c r="X2354" i="34"/>
  <c r="V2354" i="34"/>
  <c r="A2354" i="34"/>
  <c r="X2405" i="34"/>
  <c r="V2405" i="34"/>
  <c r="A2405" i="34"/>
  <c r="X2750" i="34"/>
  <c r="V2750" i="34"/>
  <c r="A2750" i="34"/>
  <c r="X2754" i="34"/>
  <c r="V2754" i="34"/>
  <c r="A2754" i="34"/>
  <c r="X2758" i="34"/>
  <c r="V2758" i="34"/>
  <c r="A2758" i="34"/>
  <c r="X2762" i="34"/>
  <c r="V2762" i="34"/>
  <c r="A2762" i="34"/>
  <c r="V2365" i="34"/>
  <c r="X2365" i="34"/>
  <c r="A2365" i="34"/>
  <c r="V2369" i="34"/>
  <c r="X2369" i="34"/>
  <c r="A2369" i="34"/>
  <c r="V2301" i="34"/>
  <c r="X2301" i="34"/>
  <c r="A2301" i="34"/>
  <c r="V2305" i="34"/>
  <c r="X2305" i="34"/>
  <c r="A2305" i="34"/>
  <c r="V2309" i="34"/>
  <c r="X2309" i="34"/>
  <c r="A2309" i="34"/>
  <c r="V2313" i="34"/>
  <c r="X2313" i="34"/>
  <c r="A2313" i="34"/>
  <c r="V1947" i="34"/>
  <c r="X1947" i="34"/>
  <c r="A1947" i="34"/>
  <c r="V2208" i="34"/>
  <c r="X2208" i="34"/>
  <c r="A2208" i="34"/>
  <c r="V2212" i="34"/>
  <c r="X2212" i="34"/>
  <c r="A2212" i="34"/>
  <c r="V2216" i="34"/>
  <c r="X2216" i="34"/>
  <c r="A2216" i="34"/>
  <c r="V2220" i="34"/>
  <c r="X2220" i="34"/>
  <c r="A2220" i="34"/>
  <c r="V2224" i="34"/>
  <c r="X2224" i="34"/>
  <c r="A2224" i="34"/>
  <c r="X2318" i="34"/>
  <c r="V2318" i="34"/>
  <c r="A2318" i="34"/>
  <c r="X2322" i="34"/>
  <c r="V2322" i="34"/>
  <c r="A2322" i="34"/>
  <c r="X1675" i="34"/>
  <c r="V1675" i="34"/>
  <c r="A1675" i="34"/>
  <c r="V2144" i="34"/>
  <c r="X2144" i="34"/>
  <c r="A2144" i="34"/>
  <c r="V2148" i="34"/>
  <c r="X2148" i="34"/>
  <c r="A2148" i="34"/>
  <c r="X1583" i="34"/>
  <c r="V1583" i="34"/>
  <c r="A1583" i="34"/>
  <c r="X1587" i="34"/>
  <c r="V1587" i="34"/>
  <c r="A1587" i="34"/>
  <c r="V1613" i="34"/>
  <c r="X1613" i="34"/>
  <c r="A1613" i="34"/>
  <c r="V1617" i="34"/>
  <c r="X1617" i="34"/>
  <c r="A1617" i="34"/>
  <c r="V1638" i="34"/>
  <c r="X1638" i="34"/>
  <c r="A1638" i="34"/>
  <c r="V1642" i="34"/>
  <c r="X1642" i="34"/>
  <c r="A1642" i="34"/>
  <c r="V1669" i="34"/>
  <c r="X1669" i="34"/>
  <c r="A1669" i="34"/>
  <c r="A1422" i="34"/>
  <c r="A1426" i="34"/>
  <c r="X1453" i="34"/>
  <c r="V1453" i="34"/>
  <c r="A1453" i="34"/>
  <c r="X1457" i="34"/>
  <c r="V1457" i="34"/>
  <c r="A1457" i="34"/>
  <c r="X1525" i="34"/>
  <c r="V1525" i="34"/>
  <c r="A1525" i="34"/>
  <c r="X1529" i="34"/>
  <c r="V1529" i="34"/>
  <c r="A1529" i="34"/>
  <c r="V1581" i="34"/>
  <c r="X1581" i="34"/>
  <c r="A1581" i="34"/>
  <c r="A1367" i="34"/>
  <c r="A1371" i="34"/>
  <c r="A1416" i="34"/>
  <c r="A1420" i="34"/>
  <c r="V1610" i="34"/>
  <c r="X1610" i="34"/>
  <c r="A1610" i="34"/>
  <c r="X1564" i="34"/>
  <c r="V1564" i="34"/>
  <c r="A1564" i="34"/>
  <c r="X1560" i="34"/>
  <c r="V1560" i="34"/>
  <c r="A1560" i="34"/>
  <c r="V1549" i="34"/>
  <c r="X1549" i="34"/>
  <c r="A1549" i="34"/>
  <c r="V1545" i="34"/>
  <c r="X1545" i="34"/>
  <c r="A1545" i="34"/>
  <c r="V1512" i="34"/>
  <c r="X1512" i="34"/>
  <c r="A1512" i="34"/>
  <c r="V1508" i="34"/>
  <c r="X1508" i="34"/>
  <c r="A1508" i="34"/>
  <c r="V1487" i="34"/>
  <c r="X1487" i="34"/>
  <c r="A1487" i="34"/>
  <c r="V1483" i="34"/>
  <c r="X1483" i="34"/>
  <c r="A1483" i="34"/>
  <c r="V1479" i="34"/>
  <c r="X1479" i="34"/>
  <c r="A1479" i="34"/>
  <c r="X1474" i="34"/>
  <c r="V1474" i="34"/>
  <c r="A1474" i="34"/>
  <c r="X1470" i="34"/>
  <c r="V1470" i="34"/>
  <c r="A1470" i="34"/>
  <c r="A1388" i="34"/>
  <c r="A1384" i="34"/>
  <c r="V2768" i="34"/>
  <c r="X2768" i="34"/>
  <c r="A2768" i="34"/>
  <c r="V2772" i="34"/>
  <c r="X2772" i="34"/>
  <c r="A2772" i="34"/>
  <c r="V2776" i="34"/>
  <c r="X2776" i="34"/>
  <c r="A2776" i="34"/>
  <c r="V2780" i="34"/>
  <c r="X2780" i="34"/>
  <c r="A2780" i="34"/>
  <c r="V2784" i="34"/>
  <c r="X2784" i="34"/>
  <c r="A2784" i="34"/>
  <c r="V1933" i="34"/>
  <c r="X1933" i="34"/>
  <c r="A1933" i="34"/>
  <c r="X2351" i="34"/>
  <c r="V2351" i="34"/>
  <c r="A2351" i="34"/>
  <c r="X2355" i="34"/>
  <c r="V2355" i="34"/>
  <c r="A2355" i="34"/>
  <c r="X2406" i="34"/>
  <c r="V2406" i="34"/>
  <c r="A2406" i="34"/>
  <c r="V2751" i="34"/>
  <c r="X2751" i="34"/>
  <c r="A2751" i="34"/>
  <c r="V2755" i="34"/>
  <c r="X2755" i="34"/>
  <c r="A2755" i="34"/>
  <c r="V2759" i="34"/>
  <c r="X2759" i="34"/>
  <c r="A2759" i="34"/>
  <c r="V2763" i="34"/>
  <c r="X2763" i="34"/>
  <c r="A2763" i="34"/>
  <c r="X2366" i="34"/>
  <c r="V2366" i="34"/>
  <c r="A2366" i="34"/>
  <c r="X2298" i="34"/>
  <c r="V2298" i="34"/>
  <c r="A2298" i="34"/>
  <c r="X2302" i="34"/>
  <c r="V2302" i="34"/>
  <c r="A2302" i="34"/>
  <c r="X2306" i="34"/>
  <c r="V2306" i="34"/>
  <c r="A2306" i="34"/>
  <c r="X2310" i="34"/>
  <c r="V2310" i="34"/>
  <c r="A2310" i="34"/>
  <c r="X2314" i="34"/>
  <c r="V2314" i="34"/>
  <c r="A2314" i="34"/>
  <c r="V2349" i="34"/>
  <c r="X2349" i="34"/>
  <c r="A2349" i="34"/>
  <c r="V2209" i="34"/>
  <c r="X2209" i="34"/>
  <c r="A2209" i="34"/>
  <c r="V2213" i="34"/>
  <c r="X2213" i="34"/>
  <c r="A2213" i="34"/>
  <c r="V2217" i="34"/>
  <c r="X2217" i="34"/>
  <c r="A2217" i="34"/>
  <c r="V2221" i="34"/>
  <c r="X2221" i="34"/>
  <c r="A2221" i="34"/>
  <c r="V2225" i="34"/>
  <c r="X2225" i="34"/>
  <c r="A2225" i="34"/>
  <c r="X2319" i="34"/>
  <c r="V2319" i="34"/>
  <c r="A2319" i="34"/>
  <c r="X1672" i="34"/>
  <c r="V1672" i="34"/>
  <c r="A1672" i="34"/>
  <c r="X1676" i="34"/>
  <c r="V1676" i="34"/>
  <c r="A1676" i="34"/>
  <c r="V2145" i="34"/>
  <c r="X2145" i="34"/>
  <c r="A2145" i="34"/>
  <c r="V2149" i="34"/>
  <c r="X2149" i="34"/>
  <c r="A2149" i="34"/>
  <c r="X1584" i="34"/>
  <c r="V1584" i="34"/>
  <c r="A1584" i="34"/>
  <c r="X1588" i="34"/>
  <c r="V1588" i="34"/>
  <c r="A1588" i="34"/>
  <c r="V1614" i="34"/>
  <c r="X1614" i="34"/>
  <c r="A1614" i="34"/>
  <c r="V1618" i="34"/>
  <c r="X1618" i="34"/>
  <c r="A1618" i="34"/>
  <c r="X1639" i="34"/>
  <c r="V1639" i="34"/>
  <c r="A1639" i="34"/>
  <c r="X1643" i="34"/>
  <c r="V1643" i="34"/>
  <c r="A1643" i="34"/>
  <c r="V1670" i="34"/>
  <c r="X1670" i="34"/>
  <c r="A1670" i="34"/>
  <c r="A1423" i="34"/>
  <c r="A1427" i="34"/>
  <c r="X1454" i="34"/>
  <c r="V1454" i="34"/>
  <c r="A1454" i="34"/>
  <c r="X1458" i="34"/>
  <c r="V1458" i="34"/>
  <c r="A1458" i="34"/>
  <c r="X1526" i="34"/>
  <c r="V1526" i="34"/>
  <c r="A1526" i="34"/>
  <c r="X1530" i="34"/>
  <c r="V1530" i="34"/>
  <c r="A1530" i="34"/>
  <c r="V1582" i="34"/>
  <c r="X1582" i="34"/>
  <c r="A1582" i="34"/>
  <c r="A1364" i="34"/>
  <c r="A1368" i="34"/>
  <c r="A1395" i="34"/>
  <c r="A1417" i="34"/>
  <c r="V1609" i="34"/>
  <c r="X1609" i="34"/>
  <c r="A1609" i="34"/>
  <c r="X1563" i="34"/>
  <c r="V1563" i="34"/>
  <c r="A1563" i="34"/>
  <c r="X1559" i="34"/>
  <c r="V1559" i="34"/>
  <c r="A1559" i="34"/>
  <c r="X1548" i="34"/>
  <c r="V1548" i="34"/>
  <c r="A1548" i="34"/>
  <c r="X1544" i="34"/>
  <c r="V1544" i="34"/>
  <c r="A1544" i="34"/>
  <c r="V1511" i="34"/>
  <c r="X1511" i="34"/>
  <c r="A1511" i="34"/>
  <c r="V1507" i="34"/>
  <c r="X1507" i="34"/>
  <c r="A1507" i="34"/>
  <c r="X1486" i="34"/>
  <c r="V1486" i="34"/>
  <c r="A1486" i="34"/>
  <c r="X1482" i="34"/>
  <c r="V1482" i="34"/>
  <c r="A1482" i="34"/>
  <c r="X1477" i="34"/>
  <c r="V1477" i="34"/>
  <c r="A1477" i="34"/>
  <c r="X1473" i="34"/>
  <c r="V1473" i="34"/>
  <c r="A1473" i="34"/>
  <c r="X1469" i="34"/>
  <c r="V1469" i="34"/>
  <c r="A1469" i="34"/>
  <c r="A1387" i="34"/>
  <c r="X2765" i="34"/>
  <c r="V2765" i="34"/>
  <c r="A2765" i="34"/>
  <c r="X2769" i="34"/>
  <c r="V2769" i="34"/>
  <c r="A2769" i="34"/>
  <c r="X2773" i="34"/>
  <c r="V2773" i="34"/>
  <c r="A2773" i="34"/>
  <c r="X2777" i="34"/>
  <c r="V2777" i="34"/>
  <c r="A2777" i="34"/>
  <c r="X2781" i="34"/>
  <c r="V2781" i="34"/>
  <c r="A2781" i="34"/>
  <c r="X2785" i="34"/>
  <c r="V2785" i="34"/>
  <c r="A2785" i="34"/>
  <c r="V1717" i="34"/>
  <c r="X1717" i="34"/>
  <c r="A1717" i="34"/>
  <c r="V2352" i="34"/>
  <c r="X2352" i="34"/>
  <c r="A2352" i="34"/>
  <c r="V2403" i="34"/>
  <c r="X2403" i="34"/>
  <c r="A2403" i="34"/>
  <c r="V2407" i="34"/>
  <c r="X2407" i="34"/>
  <c r="A2407" i="34"/>
  <c r="V2752" i="34"/>
  <c r="X2752" i="34"/>
  <c r="A2752" i="34"/>
  <c r="V2756" i="34"/>
  <c r="X2756" i="34"/>
  <c r="A2756" i="34"/>
  <c r="V2760" i="34"/>
  <c r="X2760" i="34"/>
  <c r="A2760" i="34"/>
  <c r="V2764" i="34"/>
  <c r="X2764" i="34"/>
  <c r="A2764" i="34"/>
  <c r="X2367" i="34"/>
  <c r="V2367" i="34"/>
  <c r="A2367" i="34"/>
  <c r="X2299" i="34"/>
  <c r="V2299" i="34"/>
  <c r="A2299" i="34"/>
  <c r="X2303" i="34"/>
  <c r="V2303" i="34"/>
  <c r="A2303" i="34"/>
  <c r="X2307" i="34"/>
  <c r="V2307" i="34"/>
  <c r="A2307" i="34"/>
  <c r="X2311" i="34"/>
  <c r="V2311" i="34"/>
  <c r="A2311" i="34"/>
  <c r="X2315" i="34"/>
  <c r="V2315" i="34"/>
  <c r="A2315" i="34"/>
  <c r="X2206" i="34"/>
  <c r="V2206" i="34"/>
  <c r="A2206" i="34"/>
  <c r="X2210" i="34"/>
  <c r="V2210" i="34"/>
  <c r="A2210" i="34"/>
  <c r="X2214" i="34"/>
  <c r="V2214" i="34"/>
  <c r="A2214" i="34"/>
  <c r="X2218" i="34"/>
  <c r="V2218" i="34"/>
  <c r="A2218" i="34"/>
  <c r="X2222" i="34"/>
  <c r="V2222" i="34"/>
  <c r="A2222" i="34"/>
  <c r="V1938" i="34"/>
  <c r="X1938" i="34"/>
  <c r="A1938" i="34"/>
  <c r="V2320" i="34"/>
  <c r="X2320" i="34"/>
  <c r="A2320" i="34"/>
  <c r="V1673" i="34"/>
  <c r="X1673" i="34"/>
  <c r="A1673" i="34"/>
  <c r="V1677" i="34"/>
  <c r="X1677" i="34"/>
  <c r="A1677" i="34"/>
  <c r="X2142" i="34"/>
  <c r="V2142" i="34"/>
  <c r="A2142" i="34"/>
  <c r="X2146" i="34"/>
  <c r="V2146" i="34"/>
  <c r="A2146" i="34"/>
  <c r="X2150" i="34"/>
  <c r="V2150" i="34"/>
  <c r="A2150" i="34"/>
  <c r="V1585" i="34"/>
  <c r="X1585" i="34"/>
  <c r="A1585" i="34"/>
  <c r="V1589" i="34"/>
  <c r="X1589" i="34"/>
  <c r="A1589" i="34"/>
  <c r="X1615" i="34"/>
  <c r="V1615" i="34"/>
  <c r="A1615" i="34"/>
  <c r="X1619" i="34"/>
  <c r="V1619" i="34"/>
  <c r="A1619" i="34"/>
  <c r="X1640" i="34"/>
  <c r="V1640" i="34"/>
  <c r="A1640" i="34"/>
  <c r="X1644" i="34"/>
  <c r="V1644" i="34"/>
  <c r="A1644" i="34"/>
  <c r="X1671" i="34"/>
  <c r="V1671" i="34"/>
  <c r="A1671" i="34"/>
  <c r="A1424" i="34"/>
  <c r="A1428" i="34"/>
  <c r="V1455" i="34"/>
  <c r="X1455" i="34"/>
  <c r="A1455" i="34"/>
  <c r="V1496" i="34"/>
  <c r="X1496" i="34"/>
  <c r="A1496" i="34"/>
  <c r="V1527" i="34"/>
  <c r="X1527" i="34"/>
  <c r="A1527" i="34"/>
  <c r="V1531" i="34"/>
  <c r="X1531" i="34"/>
  <c r="A1531" i="34"/>
  <c r="A1365" i="34"/>
  <c r="A1369" i="34"/>
  <c r="A1414" i="34"/>
  <c r="A1418" i="34"/>
  <c r="X1608" i="34"/>
  <c r="V1608" i="34"/>
  <c r="A1608" i="34"/>
  <c r="V1562" i="34"/>
  <c r="X1562" i="34"/>
  <c r="A1562" i="34"/>
  <c r="X1551" i="34"/>
  <c r="V1551" i="34"/>
  <c r="A1551" i="34"/>
  <c r="X1547" i="34"/>
  <c r="V1547" i="34"/>
  <c r="A1547" i="34"/>
  <c r="X1514" i="34"/>
  <c r="V1514" i="34"/>
  <c r="A1514" i="34"/>
  <c r="X1510" i="34"/>
  <c r="V1510" i="34"/>
  <c r="A1510" i="34"/>
  <c r="X1489" i="34"/>
  <c r="V1489" i="34"/>
  <c r="A1489" i="34"/>
  <c r="X1485" i="34"/>
  <c r="V1485" i="34"/>
  <c r="A1485" i="34"/>
  <c r="X1481" i="34"/>
  <c r="V1481" i="34"/>
  <c r="A1481" i="34"/>
  <c r="V1476" i="34"/>
  <c r="X1476" i="34"/>
  <c r="A1476" i="34"/>
  <c r="V1472" i="34"/>
  <c r="X1472" i="34"/>
  <c r="A1472" i="34"/>
  <c r="A1390" i="34"/>
  <c r="A1386" i="34"/>
  <c r="B995" i="34" l="1"/>
  <c r="B714" i="34"/>
  <c r="B496" i="34"/>
  <c r="B483" i="34"/>
  <c r="A496" i="34" l="1"/>
  <c r="R496" i="34"/>
  <c r="V496" i="34"/>
  <c r="AA496" i="34"/>
  <c r="P496" i="34"/>
  <c r="X496" i="34"/>
  <c r="Q496" i="34"/>
  <c r="A714" i="34"/>
  <c r="P714" i="34"/>
  <c r="T714" i="34"/>
  <c r="X714" i="34"/>
  <c r="Q714" i="34"/>
  <c r="U714" i="34"/>
  <c r="R714" i="34"/>
  <c r="V714" i="34"/>
  <c r="S714" i="34"/>
  <c r="AA714" i="34"/>
  <c r="A483" i="34"/>
  <c r="AA483" i="34"/>
  <c r="P483" i="34"/>
  <c r="X483" i="34"/>
  <c r="Q483" i="34"/>
  <c r="R483" i="34"/>
  <c r="V483" i="34"/>
  <c r="A995" i="34"/>
  <c r="AA995" i="34"/>
  <c r="P995" i="34"/>
  <c r="X995" i="34"/>
  <c r="Q995" i="34"/>
  <c r="R995" i="34"/>
  <c r="V995" i="34"/>
  <c r="B1032" i="34" l="1"/>
  <c r="B1018" i="34"/>
  <c r="B884" i="34"/>
  <c r="B453" i="34"/>
  <c r="B448" i="34"/>
  <c r="B436" i="34"/>
  <c r="A884" i="34" l="1"/>
  <c r="Q884" i="34"/>
  <c r="R884" i="34"/>
  <c r="V884" i="34"/>
  <c r="AA884" i="34"/>
  <c r="P884" i="34"/>
  <c r="X884" i="34"/>
  <c r="A436" i="34"/>
  <c r="AA436" i="34"/>
  <c r="P436" i="34"/>
  <c r="X436" i="34"/>
  <c r="Q436" i="34"/>
  <c r="R436" i="34"/>
  <c r="V436" i="34"/>
  <c r="A1018" i="34"/>
  <c r="P1018" i="34"/>
  <c r="X1018" i="34"/>
  <c r="Q1018" i="34"/>
  <c r="R1018" i="34"/>
  <c r="V1018" i="34"/>
  <c r="AA1018" i="34"/>
  <c r="A448" i="34"/>
  <c r="AA448" i="34"/>
  <c r="P448" i="34"/>
  <c r="X448" i="34"/>
  <c r="Q448" i="34"/>
  <c r="R448" i="34"/>
  <c r="V448" i="34"/>
  <c r="A453" i="34"/>
  <c r="R453" i="34"/>
  <c r="V453" i="34"/>
  <c r="AA453" i="34"/>
  <c r="P453" i="34"/>
  <c r="X453" i="34"/>
  <c r="Q453" i="34"/>
  <c r="A1032" i="34"/>
  <c r="R1032" i="34"/>
  <c r="V1032" i="34"/>
  <c r="AA1032" i="34"/>
  <c r="P1032" i="34"/>
  <c r="X1032" i="34"/>
  <c r="Q1032" i="34"/>
  <c r="B325" i="34"/>
  <c r="B691" i="34"/>
  <c r="B678" i="34"/>
  <c r="A325" i="34" l="1"/>
  <c r="R325" i="34"/>
  <c r="V325" i="34"/>
  <c r="AA325" i="34"/>
  <c r="P325" i="34"/>
  <c r="X325" i="34"/>
  <c r="Q325" i="34"/>
  <c r="A678" i="34"/>
  <c r="P678" i="34"/>
  <c r="T678" i="34"/>
  <c r="X678" i="34"/>
  <c r="Q678" i="34"/>
  <c r="U678" i="34"/>
  <c r="R678" i="34"/>
  <c r="V678" i="34"/>
  <c r="S678" i="34"/>
  <c r="AA678" i="34"/>
  <c r="A691" i="34"/>
  <c r="S691" i="34"/>
  <c r="AA691" i="34"/>
  <c r="P691" i="34"/>
  <c r="T691" i="34"/>
  <c r="X691" i="34"/>
  <c r="Q691" i="34"/>
  <c r="U691" i="34"/>
  <c r="R691" i="34"/>
  <c r="V691" i="34"/>
  <c r="B548" i="34"/>
  <c r="B526" i="34"/>
  <c r="B66" i="34"/>
  <c r="B63" i="34"/>
  <c r="B59" i="34"/>
  <c r="B123" i="34"/>
  <c r="B162" i="34"/>
  <c r="B556" i="34"/>
  <c r="B653" i="34"/>
  <c r="A66" i="34" l="1"/>
  <c r="Q66" i="34"/>
  <c r="R66" i="34"/>
  <c r="V66" i="34"/>
  <c r="AA66" i="34"/>
  <c r="P66" i="34"/>
  <c r="X66" i="34"/>
  <c r="A123" i="34"/>
  <c r="R123" i="34"/>
  <c r="V123" i="34"/>
  <c r="AA123" i="34"/>
  <c r="P123" i="34"/>
  <c r="X123" i="34"/>
  <c r="Q123" i="34"/>
  <c r="A653" i="34"/>
  <c r="Q653" i="34"/>
  <c r="R653" i="34"/>
  <c r="V653" i="34"/>
  <c r="AA653" i="34"/>
  <c r="P653" i="34"/>
  <c r="X653" i="34"/>
  <c r="A59" i="34"/>
  <c r="P59" i="34"/>
  <c r="X59" i="34"/>
  <c r="Q59" i="34"/>
  <c r="R59" i="34"/>
  <c r="V59" i="34"/>
  <c r="AA59" i="34"/>
  <c r="A548" i="34"/>
  <c r="P548" i="34"/>
  <c r="X548" i="34"/>
  <c r="Q548" i="34"/>
  <c r="R548" i="34"/>
  <c r="V548" i="34"/>
  <c r="AA548" i="34"/>
  <c r="A556" i="34"/>
  <c r="P556" i="34"/>
  <c r="X556" i="34"/>
  <c r="Q556" i="34"/>
  <c r="R556" i="34"/>
  <c r="V556" i="34"/>
  <c r="AA556" i="34"/>
  <c r="A63" i="34"/>
  <c r="P63" i="34"/>
  <c r="X63" i="34"/>
  <c r="Q63" i="34"/>
  <c r="R63" i="34"/>
  <c r="V63" i="34"/>
  <c r="AA63" i="34"/>
  <c r="A162" i="34"/>
  <c r="AA162" i="34"/>
  <c r="P162" i="34"/>
  <c r="X162" i="34"/>
  <c r="Q162" i="34"/>
  <c r="R162" i="34"/>
  <c r="V162" i="34"/>
  <c r="A526" i="34"/>
  <c r="P526" i="34"/>
  <c r="X526" i="34"/>
  <c r="Q526" i="34"/>
  <c r="R526" i="34"/>
  <c r="V526" i="34"/>
  <c r="AA526" i="34"/>
  <c r="O5" i="78"/>
  <c r="N5" i="78"/>
  <c r="B114" i="34"/>
  <c r="B109" i="34"/>
  <c r="B106" i="34"/>
  <c r="A106" i="34" l="1"/>
  <c r="Q106" i="34"/>
  <c r="R106" i="34"/>
  <c r="V106" i="34"/>
  <c r="AA106" i="34"/>
  <c r="P106" i="34"/>
  <c r="X106" i="34"/>
  <c r="A114" i="34"/>
  <c r="R114" i="34"/>
  <c r="V114" i="34"/>
  <c r="AA114" i="34"/>
  <c r="P114" i="34"/>
  <c r="X114" i="34"/>
  <c r="Q114" i="34"/>
  <c r="A109" i="34"/>
  <c r="R109" i="34"/>
  <c r="V109" i="34"/>
  <c r="AA109" i="34"/>
  <c r="P109" i="34"/>
  <c r="X109" i="34"/>
  <c r="Q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59" i="34"/>
  <c r="B1058" i="34"/>
  <c r="B1057" i="34"/>
  <c r="B1056" i="34"/>
  <c r="B1048" i="34"/>
  <c r="B1047" i="34"/>
  <c r="B1046" i="34"/>
  <c r="B1045" i="34"/>
  <c r="B1041" i="34"/>
  <c r="B1040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31" i="34"/>
  <c r="B1030" i="34"/>
  <c r="B1029" i="34"/>
  <c r="B1024" i="34"/>
  <c r="B1023" i="34"/>
  <c r="B1017" i="34"/>
  <c r="B1008" i="34"/>
  <c r="B1007" i="34"/>
  <c r="B992" i="34"/>
  <c r="B991" i="34"/>
  <c r="B883" i="34"/>
  <c r="B882" i="34"/>
  <c r="B881" i="34"/>
  <c r="B874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05" i="34"/>
  <c r="B1503" i="34"/>
  <c r="B1501" i="34"/>
  <c r="B1500" i="34"/>
  <c r="B1499" i="34"/>
  <c r="B1498" i="34"/>
  <c r="B1492" i="34"/>
  <c r="B1491" i="34"/>
  <c r="B1490" i="34"/>
  <c r="B1478" i="34"/>
  <c r="B1391" i="34"/>
  <c r="B1383" i="34"/>
  <c r="B1382" i="34"/>
  <c r="B1381" i="34"/>
  <c r="B1380" i="34"/>
  <c r="B1323" i="34"/>
  <c r="B1322" i="34"/>
  <c r="B1324" i="34"/>
  <c r="B1305" i="34"/>
  <c r="B1303" i="34"/>
  <c r="B1302" i="34"/>
  <c r="B1301" i="34"/>
  <c r="B1287" i="34"/>
  <c r="B1286" i="34"/>
  <c r="B1276" i="34"/>
  <c r="B1275" i="34"/>
  <c r="B1274" i="34"/>
  <c r="B1273" i="34"/>
  <c r="B1272" i="34"/>
  <c r="B1268" i="34"/>
  <c r="B1267" i="34"/>
  <c r="B1251" i="34"/>
  <c r="B958" i="34"/>
  <c r="B960" i="34"/>
  <c r="B959" i="34"/>
  <c r="B893" i="34"/>
  <c r="B892" i="34"/>
  <c r="B1136" i="34"/>
  <c r="B1035" i="34"/>
  <c r="B1034" i="34"/>
  <c r="B921" i="34"/>
  <c r="B920" i="34"/>
  <c r="B1027" i="34"/>
  <c r="B1022" i="34"/>
  <c r="B1021" i="34"/>
  <c r="B1016" i="34"/>
  <c r="B1015" i="34"/>
  <c r="B1020" i="34"/>
  <c r="B1019" i="34"/>
  <c r="B990" i="34"/>
  <c r="B989" i="34"/>
  <c r="B1690" i="34"/>
  <c r="B1695" i="34"/>
  <c r="B1694" i="34"/>
  <c r="B1466" i="34"/>
  <c r="B1468" i="34"/>
  <c r="B1467" i="34"/>
  <c r="B1266" i="34"/>
  <c r="B1270" i="34"/>
  <c r="B1269" i="34"/>
  <c r="B910" i="34"/>
  <c r="B909" i="34"/>
  <c r="B908" i="34"/>
  <c r="B1118" i="34"/>
  <c r="B1100" i="34"/>
  <c r="B1099" i="34"/>
  <c r="B1145" i="34"/>
  <c r="B1144" i="34"/>
  <c r="B1129" i="34"/>
  <c r="B1128" i="34"/>
  <c r="B1127" i="34"/>
  <c r="B1126" i="34"/>
  <c r="B1125" i="34"/>
  <c r="B1124" i="34"/>
  <c r="B1123" i="34"/>
  <c r="B1122" i="34"/>
  <c r="B1115" i="34"/>
  <c r="B1114" i="34"/>
  <c r="B1113" i="34"/>
  <c r="B1112" i="34"/>
  <c r="B1111" i="34"/>
  <c r="B1108" i="34"/>
  <c r="B1107" i="34"/>
  <c r="B1106" i="34"/>
  <c r="B1105" i="34"/>
  <c r="B1102" i="34"/>
  <c r="B1101" i="34"/>
  <c r="B1097" i="34"/>
  <c r="B1096" i="34"/>
  <c r="B1095" i="34"/>
  <c r="B1094" i="34"/>
  <c r="B1091" i="34"/>
  <c r="B1090" i="34"/>
  <c r="B1089" i="34"/>
  <c r="B1088" i="34"/>
  <c r="B1087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69" i="34"/>
  <c r="B1068" i="34"/>
  <c r="B1325" i="34"/>
  <c r="B1296" i="34"/>
  <c r="B1693" i="34"/>
  <c r="B1692" i="34"/>
  <c r="B1697" i="34"/>
  <c r="B1696" i="34"/>
  <c r="B1691" i="34"/>
  <c r="B1568" i="34"/>
  <c r="B1553" i="34"/>
  <c r="B1552" i="34"/>
  <c r="B1555" i="34"/>
  <c r="B1554" i="34"/>
  <c r="B1543" i="34"/>
  <c r="B1542" i="34"/>
  <c r="B1541" i="34"/>
  <c r="B1540" i="34"/>
  <c r="A1072" i="34" l="1"/>
  <c r="R1072" i="34"/>
  <c r="V1072" i="34"/>
  <c r="AA1072" i="34"/>
  <c r="P1072" i="34"/>
  <c r="X1072" i="34"/>
  <c r="Q1072" i="34"/>
  <c r="A1088" i="34"/>
  <c r="P1088" i="34"/>
  <c r="X1088" i="34"/>
  <c r="Q1088" i="34"/>
  <c r="R1088" i="34"/>
  <c r="V1088" i="34"/>
  <c r="AA1088" i="34"/>
  <c r="A1113" i="34"/>
  <c r="AA1113" i="34"/>
  <c r="P1113" i="34"/>
  <c r="X1113" i="34"/>
  <c r="Q1113" i="34"/>
  <c r="R1113" i="34"/>
  <c r="V1113" i="34"/>
  <c r="A1068" i="34"/>
  <c r="R1068" i="34"/>
  <c r="V1068" i="34"/>
  <c r="AA1068" i="34"/>
  <c r="P1068" i="34"/>
  <c r="X1068" i="34"/>
  <c r="Q1068" i="34"/>
  <c r="A1073" i="34"/>
  <c r="Q1073" i="34"/>
  <c r="R1073" i="34"/>
  <c r="V1073" i="34"/>
  <c r="AA1073" i="34"/>
  <c r="P1073" i="34"/>
  <c r="X1073" i="34"/>
  <c r="A1081" i="34"/>
  <c r="AA1081" i="34"/>
  <c r="P1081" i="34"/>
  <c r="X1081" i="34"/>
  <c r="Q1081" i="34"/>
  <c r="R1081" i="34"/>
  <c r="V1081" i="34"/>
  <c r="A1095" i="34"/>
  <c r="Q1095" i="34"/>
  <c r="R1095" i="34"/>
  <c r="V1095" i="34"/>
  <c r="AA1095" i="34"/>
  <c r="P1095" i="34"/>
  <c r="X1095" i="34"/>
  <c r="A1108" i="34"/>
  <c r="P1108" i="34"/>
  <c r="X1108" i="34"/>
  <c r="Q1108" i="34"/>
  <c r="R1108" i="34"/>
  <c r="V1108" i="34"/>
  <c r="AA1108" i="34"/>
  <c r="A1124" i="34"/>
  <c r="P1124" i="34"/>
  <c r="X1124" i="34"/>
  <c r="Q1124" i="34"/>
  <c r="R1124" i="34"/>
  <c r="V1124" i="34"/>
  <c r="AA1124" i="34"/>
  <c r="A1269" i="34"/>
  <c r="R1269" i="34"/>
  <c r="V1269" i="34"/>
  <c r="AA1269" i="34"/>
  <c r="P1269" i="34"/>
  <c r="X1269" i="34"/>
  <c r="Q1269" i="34"/>
  <c r="A1020" i="34"/>
  <c r="R1020" i="34"/>
  <c r="V1020" i="34"/>
  <c r="AA1020" i="34"/>
  <c r="P1020" i="34"/>
  <c r="X1020" i="34"/>
  <c r="Q1020" i="34"/>
  <c r="A1034" i="34"/>
  <c r="P1034" i="34"/>
  <c r="X1034" i="34"/>
  <c r="Q1034" i="34"/>
  <c r="R1034" i="34"/>
  <c r="V1034" i="34"/>
  <c r="AA1034" i="34"/>
  <c r="A1069" i="34"/>
  <c r="Q1069" i="34"/>
  <c r="R1069" i="34"/>
  <c r="V1069" i="34"/>
  <c r="AA1069" i="34"/>
  <c r="P1069" i="34"/>
  <c r="X1069" i="34"/>
  <c r="A1074" i="34"/>
  <c r="P1074" i="34"/>
  <c r="X1074" i="34"/>
  <c r="Q1074" i="34"/>
  <c r="R1074" i="34"/>
  <c r="V1074" i="34"/>
  <c r="AA1074" i="34"/>
  <c r="A1078" i="34"/>
  <c r="P1078" i="34"/>
  <c r="X1078" i="34"/>
  <c r="Q1078" i="34"/>
  <c r="R1078" i="34"/>
  <c r="V1078" i="34"/>
  <c r="AA1078" i="34"/>
  <c r="A1082" i="34"/>
  <c r="R1082" i="34"/>
  <c r="V1082" i="34"/>
  <c r="AA1082" i="34"/>
  <c r="P1082" i="34"/>
  <c r="X1082" i="34"/>
  <c r="Q1082" i="34"/>
  <c r="A1090" i="34"/>
  <c r="R1090" i="34"/>
  <c r="V1090" i="34"/>
  <c r="AA1090" i="34"/>
  <c r="P1090" i="34"/>
  <c r="X1090" i="34"/>
  <c r="Q1090" i="34"/>
  <c r="A1096" i="34"/>
  <c r="P1096" i="34"/>
  <c r="X1096" i="34"/>
  <c r="Q1096" i="34"/>
  <c r="R1096" i="34"/>
  <c r="V1096" i="34"/>
  <c r="AA1096" i="34"/>
  <c r="A1105" i="34"/>
  <c r="AA1105" i="34"/>
  <c r="P1105" i="34"/>
  <c r="X1105" i="34"/>
  <c r="Q1105" i="34"/>
  <c r="R1105" i="34"/>
  <c r="V1105" i="34"/>
  <c r="A1111" i="34"/>
  <c r="Q1111" i="34"/>
  <c r="R1111" i="34"/>
  <c r="V1111" i="34"/>
  <c r="AA1111" i="34"/>
  <c r="P1111" i="34"/>
  <c r="X1111" i="34"/>
  <c r="A1115" i="34"/>
  <c r="Q1115" i="34"/>
  <c r="R1115" i="34"/>
  <c r="V1115" i="34"/>
  <c r="AA1115" i="34"/>
  <c r="P1115" i="34"/>
  <c r="X1115" i="34"/>
  <c r="A1125" i="34"/>
  <c r="AA1125" i="34"/>
  <c r="P1125" i="34"/>
  <c r="X1125" i="34"/>
  <c r="Q1125" i="34"/>
  <c r="R1125" i="34"/>
  <c r="V1125" i="34"/>
  <c r="A1129" i="34"/>
  <c r="AA1129" i="34"/>
  <c r="P1129" i="34"/>
  <c r="X1129" i="34"/>
  <c r="Q1129" i="34"/>
  <c r="R1129" i="34"/>
  <c r="V1129" i="34"/>
  <c r="A908" i="34"/>
  <c r="AA908" i="34"/>
  <c r="P908" i="34"/>
  <c r="X908" i="34"/>
  <c r="Q908" i="34"/>
  <c r="R908" i="34"/>
  <c r="V908" i="34"/>
  <c r="A1270" i="34"/>
  <c r="Q1270" i="34"/>
  <c r="R1270" i="34"/>
  <c r="V1270" i="34"/>
  <c r="AA1270" i="34"/>
  <c r="P1270" i="34"/>
  <c r="X1270" i="34"/>
  <c r="A989" i="34"/>
  <c r="R989" i="34"/>
  <c r="V989" i="34"/>
  <c r="P989" i="34"/>
  <c r="X989" i="34"/>
  <c r="Q989" i="34"/>
  <c r="AA989" i="34"/>
  <c r="A1015" i="34"/>
  <c r="AA1015" i="34"/>
  <c r="P1015" i="34"/>
  <c r="X1015" i="34"/>
  <c r="Q1015" i="34"/>
  <c r="R1015" i="34"/>
  <c r="V1015" i="34"/>
  <c r="A1027" i="34"/>
  <c r="AA1027" i="34"/>
  <c r="P1027" i="34"/>
  <c r="X1027" i="34"/>
  <c r="Q1027" i="34"/>
  <c r="R1027" i="34"/>
  <c r="V1027" i="34"/>
  <c r="A1035" i="34"/>
  <c r="AA1035" i="34"/>
  <c r="P1035" i="34"/>
  <c r="X1035" i="34"/>
  <c r="Q1035" i="34"/>
  <c r="R1035" i="34"/>
  <c r="V1035" i="34"/>
  <c r="A959" i="34"/>
  <c r="P959" i="34"/>
  <c r="X959" i="34"/>
  <c r="Q959" i="34"/>
  <c r="R959" i="34"/>
  <c r="V959" i="34"/>
  <c r="AA959" i="34"/>
  <c r="A1267" i="34"/>
  <c r="P1267" i="34"/>
  <c r="X1267" i="34"/>
  <c r="Q1267" i="34"/>
  <c r="R1267" i="34"/>
  <c r="V1267" i="34"/>
  <c r="AA1267" i="34"/>
  <c r="A1274" i="34"/>
  <c r="Q1274" i="34"/>
  <c r="R1274" i="34"/>
  <c r="V1274" i="34"/>
  <c r="AA1274" i="34"/>
  <c r="P1274" i="34"/>
  <c r="X1274" i="34"/>
  <c r="A1287" i="34"/>
  <c r="P1287" i="34"/>
  <c r="X1287" i="34"/>
  <c r="Q1287" i="34"/>
  <c r="R1287" i="34"/>
  <c r="V1287" i="34"/>
  <c r="AA1287" i="34"/>
  <c r="A1305" i="34"/>
  <c r="R1305" i="34"/>
  <c r="V1305" i="34"/>
  <c r="AA1305" i="34"/>
  <c r="P1305" i="34"/>
  <c r="X1305" i="34"/>
  <c r="Q1305" i="34"/>
  <c r="AA1380" i="34"/>
  <c r="P1380" i="34"/>
  <c r="X1380" i="34"/>
  <c r="Q1380" i="34"/>
  <c r="R1380" i="34"/>
  <c r="V1380" i="34"/>
  <c r="P1391" i="34"/>
  <c r="X1391" i="34"/>
  <c r="Q1391" i="34"/>
  <c r="R1391" i="34"/>
  <c r="V1391" i="34"/>
  <c r="AA1391" i="34"/>
  <c r="A690" i="34"/>
  <c r="P690" i="34"/>
  <c r="T690" i="34"/>
  <c r="X690" i="34"/>
  <c r="Q690" i="34"/>
  <c r="U690" i="34"/>
  <c r="R690" i="34"/>
  <c r="V690" i="34"/>
  <c r="S690" i="34"/>
  <c r="AA690" i="34"/>
  <c r="A435" i="34"/>
  <c r="P435" i="34"/>
  <c r="X435" i="34"/>
  <c r="Q435" i="34"/>
  <c r="R435" i="34"/>
  <c r="V435" i="34"/>
  <c r="AA435" i="34"/>
  <c r="A440" i="34"/>
  <c r="AA440" i="34"/>
  <c r="P440" i="34"/>
  <c r="X440" i="34"/>
  <c r="Q440" i="34"/>
  <c r="R440" i="34"/>
  <c r="V440" i="34"/>
  <c r="A444" i="34"/>
  <c r="AA444" i="34"/>
  <c r="P444" i="34"/>
  <c r="X444" i="34"/>
  <c r="Q444" i="34"/>
  <c r="R444" i="34"/>
  <c r="V444" i="34"/>
  <c r="A449" i="34"/>
  <c r="R449" i="34"/>
  <c r="V449" i="34"/>
  <c r="AA449" i="34"/>
  <c r="P449" i="34"/>
  <c r="X449" i="34"/>
  <c r="Q449" i="34"/>
  <c r="A454" i="34"/>
  <c r="Q454" i="34"/>
  <c r="R454" i="34"/>
  <c r="V454" i="34"/>
  <c r="AA454" i="34"/>
  <c r="P454" i="34"/>
  <c r="X454" i="34"/>
  <c r="A458" i="34"/>
  <c r="Q458" i="34"/>
  <c r="R458" i="34"/>
  <c r="V458" i="34"/>
  <c r="AA458" i="34"/>
  <c r="P458" i="34"/>
  <c r="X458" i="34"/>
  <c r="A465" i="34"/>
  <c r="Q465" i="34"/>
  <c r="R465" i="34"/>
  <c r="V465" i="34"/>
  <c r="AA465" i="34"/>
  <c r="P465" i="34"/>
  <c r="X465" i="34"/>
  <c r="A469" i="34"/>
  <c r="Q469" i="34"/>
  <c r="R469" i="34"/>
  <c r="V469" i="34"/>
  <c r="AA469" i="34"/>
  <c r="P469" i="34"/>
  <c r="X469" i="34"/>
  <c r="A495" i="34"/>
  <c r="AA495" i="34"/>
  <c r="P495" i="34"/>
  <c r="X495" i="34"/>
  <c r="Q495" i="34"/>
  <c r="R495" i="34"/>
  <c r="V495" i="34"/>
  <c r="A883" i="34"/>
  <c r="R883" i="34"/>
  <c r="V883" i="34"/>
  <c r="AA883" i="34"/>
  <c r="P883" i="34"/>
  <c r="X883" i="34"/>
  <c r="Q883" i="34"/>
  <c r="A1008" i="34"/>
  <c r="R1008" i="34"/>
  <c r="V1008" i="34"/>
  <c r="AA1008" i="34"/>
  <c r="P1008" i="34"/>
  <c r="X1008" i="34"/>
  <c r="Q1008" i="34"/>
  <c r="A1029" i="34"/>
  <c r="Q1029" i="34"/>
  <c r="R1029" i="34"/>
  <c r="V1029" i="34"/>
  <c r="AA1029" i="34"/>
  <c r="P1029" i="34"/>
  <c r="X1029" i="34"/>
  <c r="A693" i="34"/>
  <c r="Q693" i="34"/>
  <c r="U693" i="34"/>
  <c r="R693" i="34"/>
  <c r="V693" i="34"/>
  <c r="S693" i="34"/>
  <c r="AA693" i="34"/>
  <c r="P693" i="34"/>
  <c r="T693" i="34"/>
  <c r="X693" i="34"/>
  <c r="A310" i="34"/>
  <c r="AA310" i="34"/>
  <c r="P310" i="34"/>
  <c r="X310" i="34"/>
  <c r="Q310" i="34"/>
  <c r="R310" i="34"/>
  <c r="V310" i="34"/>
  <c r="A314" i="34"/>
  <c r="AA314" i="34"/>
  <c r="Q314" i="34"/>
  <c r="X314" i="34"/>
  <c r="P314" i="34"/>
  <c r="R314" i="34"/>
  <c r="V314" i="34"/>
  <c r="A318" i="34"/>
  <c r="AA318" i="34"/>
  <c r="P318" i="34"/>
  <c r="X318" i="34"/>
  <c r="Q318" i="34"/>
  <c r="R318" i="34"/>
  <c r="V318" i="34"/>
  <c r="A322" i="34"/>
  <c r="Q322" i="34"/>
  <c r="R322" i="34"/>
  <c r="V322" i="34"/>
  <c r="AA322" i="34"/>
  <c r="P322" i="34"/>
  <c r="X322" i="34"/>
  <c r="A329" i="34"/>
  <c r="R329" i="34"/>
  <c r="V329" i="34"/>
  <c r="AA329" i="34"/>
  <c r="P329" i="34"/>
  <c r="X329" i="34"/>
  <c r="Q329" i="34"/>
  <c r="A331" i="34"/>
  <c r="R331" i="34"/>
  <c r="V331" i="34"/>
  <c r="AA331" i="34"/>
  <c r="P331" i="34"/>
  <c r="X331" i="34"/>
  <c r="Q331" i="34"/>
  <c r="A335" i="34"/>
  <c r="R335" i="34"/>
  <c r="V335" i="34"/>
  <c r="AA335" i="34"/>
  <c r="P335" i="34"/>
  <c r="X335" i="34"/>
  <c r="Q335" i="34"/>
  <c r="A432" i="34"/>
  <c r="AA432" i="34"/>
  <c r="P432" i="34"/>
  <c r="X432" i="34"/>
  <c r="Q432" i="34"/>
  <c r="R432" i="34"/>
  <c r="V432" i="34"/>
  <c r="A1045" i="34"/>
  <c r="Q1045" i="34"/>
  <c r="R1045" i="34"/>
  <c r="V1045" i="34"/>
  <c r="AA1045" i="34"/>
  <c r="P1045" i="34"/>
  <c r="X1045" i="34"/>
  <c r="A1056" i="34"/>
  <c r="R1056" i="34"/>
  <c r="V1056" i="34"/>
  <c r="AA1056" i="34"/>
  <c r="P1056" i="34"/>
  <c r="X1056" i="34"/>
  <c r="Q1056" i="34"/>
  <c r="A171" i="34"/>
  <c r="P171" i="34"/>
  <c r="X171" i="34"/>
  <c r="Q171" i="34"/>
  <c r="R171" i="34"/>
  <c r="V171" i="34"/>
  <c r="AA171" i="34"/>
  <c r="A182" i="34"/>
  <c r="AA182" i="34"/>
  <c r="P182" i="34"/>
  <c r="X182" i="34"/>
  <c r="Q182" i="34"/>
  <c r="R182" i="34"/>
  <c r="V182" i="34"/>
  <c r="A189" i="34"/>
  <c r="P189" i="34"/>
  <c r="X189" i="34"/>
  <c r="Q189" i="34"/>
  <c r="R189" i="34"/>
  <c r="V189" i="34"/>
  <c r="AA189" i="34"/>
  <c r="A193" i="34"/>
  <c r="P193" i="34"/>
  <c r="X193" i="34"/>
  <c r="Q193" i="34"/>
  <c r="R193" i="34"/>
  <c r="V193" i="34"/>
  <c r="AA193" i="34"/>
  <c r="A197" i="34"/>
  <c r="P197" i="34"/>
  <c r="X197" i="34"/>
  <c r="Q197" i="34"/>
  <c r="R197" i="34"/>
  <c r="V197" i="34"/>
  <c r="AA197" i="34"/>
  <c r="A215" i="34"/>
  <c r="Q215" i="34"/>
  <c r="AA215" i="34"/>
  <c r="X215" i="34"/>
  <c r="P215" i="34"/>
  <c r="R215" i="34"/>
  <c r="V215" i="34"/>
  <c r="A304" i="34"/>
  <c r="Q304" i="34"/>
  <c r="R304" i="34"/>
  <c r="V304" i="34"/>
  <c r="AA304" i="34"/>
  <c r="P304" i="34"/>
  <c r="X304" i="34"/>
  <c r="A308" i="34"/>
  <c r="Q308" i="34"/>
  <c r="R308" i="34"/>
  <c r="V308" i="34"/>
  <c r="AA308" i="34"/>
  <c r="P308" i="34"/>
  <c r="X308" i="34"/>
  <c r="A473" i="34"/>
  <c r="Q473" i="34"/>
  <c r="R473" i="34"/>
  <c r="V473" i="34"/>
  <c r="AA473" i="34"/>
  <c r="P473" i="34"/>
  <c r="X473" i="34"/>
  <c r="A477" i="34"/>
  <c r="Q477" i="34"/>
  <c r="R477" i="34"/>
  <c r="V477" i="34"/>
  <c r="AA477" i="34"/>
  <c r="P477" i="34"/>
  <c r="X477" i="34"/>
  <c r="A507" i="34"/>
  <c r="AA507" i="34"/>
  <c r="P507" i="34"/>
  <c r="X507" i="34"/>
  <c r="Q507" i="34"/>
  <c r="R507" i="34"/>
  <c r="V507" i="34"/>
  <c r="A511" i="34"/>
  <c r="AA511" i="34"/>
  <c r="P511" i="34"/>
  <c r="X511" i="34"/>
  <c r="Q511" i="34"/>
  <c r="R511" i="34"/>
  <c r="V511" i="34"/>
  <c r="A537" i="34"/>
  <c r="AA537" i="34"/>
  <c r="P537" i="34"/>
  <c r="X537" i="34"/>
  <c r="Q537" i="34"/>
  <c r="R537" i="34"/>
  <c r="V537" i="34"/>
  <c r="A541" i="34"/>
  <c r="AA541" i="34"/>
  <c r="P541" i="34"/>
  <c r="X541" i="34"/>
  <c r="Q541" i="34"/>
  <c r="R541" i="34"/>
  <c r="V541" i="34"/>
  <c r="A545" i="34"/>
  <c r="AA545" i="34"/>
  <c r="P545" i="34"/>
  <c r="X545" i="34"/>
  <c r="Q545" i="34"/>
  <c r="R545" i="34"/>
  <c r="V545" i="34"/>
  <c r="A574" i="34"/>
  <c r="R574" i="34"/>
  <c r="V574" i="34"/>
  <c r="AA574" i="34"/>
  <c r="P574" i="34"/>
  <c r="X574" i="34"/>
  <c r="Q574" i="34"/>
  <c r="A575" i="34"/>
  <c r="R575" i="34"/>
  <c r="V575" i="34"/>
  <c r="AA575" i="34"/>
  <c r="P575" i="34"/>
  <c r="X575" i="34"/>
  <c r="Q575" i="34"/>
  <c r="A596" i="34"/>
  <c r="Q596" i="34"/>
  <c r="R596" i="34"/>
  <c r="V596" i="34"/>
  <c r="AA596" i="34"/>
  <c r="P596" i="34"/>
  <c r="X596" i="34"/>
  <c r="A600" i="34"/>
  <c r="Q600" i="34"/>
  <c r="R600" i="34"/>
  <c r="V600" i="34"/>
  <c r="AA600" i="34"/>
  <c r="P600" i="34"/>
  <c r="X600" i="34"/>
  <c r="A615" i="34"/>
  <c r="R615" i="34"/>
  <c r="V615" i="34"/>
  <c r="AA615" i="34"/>
  <c r="P615" i="34"/>
  <c r="X615" i="34"/>
  <c r="Q615" i="34"/>
  <c r="A619" i="34"/>
  <c r="R619" i="34"/>
  <c r="V619" i="34"/>
  <c r="AA619" i="34"/>
  <c r="P619" i="34"/>
  <c r="X619" i="34"/>
  <c r="Q619" i="34"/>
  <c r="A625" i="34"/>
  <c r="P625" i="34"/>
  <c r="X625" i="34"/>
  <c r="Q625" i="34"/>
  <c r="R625" i="34"/>
  <c r="V625" i="34"/>
  <c r="AA625" i="34"/>
  <c r="A629" i="34"/>
  <c r="P629" i="34"/>
  <c r="X629" i="34"/>
  <c r="AA629" i="34"/>
  <c r="Q629" i="34"/>
  <c r="R629" i="34"/>
  <c r="V629" i="34"/>
  <c r="A633" i="34"/>
  <c r="AA633" i="34"/>
  <c r="R633" i="34"/>
  <c r="V633" i="34"/>
  <c r="P633" i="34"/>
  <c r="X633" i="34"/>
  <c r="Q633" i="34"/>
  <c r="A647" i="34"/>
  <c r="AA647" i="34"/>
  <c r="P647" i="34"/>
  <c r="X647" i="34"/>
  <c r="Q647" i="34"/>
  <c r="R647" i="34"/>
  <c r="V647" i="34"/>
  <c r="A651" i="34"/>
  <c r="AA651" i="34"/>
  <c r="P651" i="34"/>
  <c r="X651" i="34"/>
  <c r="Q651" i="34"/>
  <c r="R651" i="34"/>
  <c r="V651" i="34"/>
  <c r="A677" i="34"/>
  <c r="Q677" i="34"/>
  <c r="U677" i="34"/>
  <c r="R677" i="34"/>
  <c r="V677" i="34"/>
  <c r="S677" i="34"/>
  <c r="AA677" i="34"/>
  <c r="P677" i="34"/>
  <c r="T677" i="34"/>
  <c r="X677" i="34"/>
  <c r="A107" i="34"/>
  <c r="P107" i="34"/>
  <c r="X107" i="34"/>
  <c r="Q107" i="34"/>
  <c r="R107" i="34"/>
  <c r="V107" i="34"/>
  <c r="AA107" i="34"/>
  <c r="A115" i="34"/>
  <c r="Q115" i="34"/>
  <c r="R115" i="34"/>
  <c r="V115" i="34"/>
  <c r="AA115" i="34"/>
  <c r="P115" i="34"/>
  <c r="X115" i="34"/>
  <c r="A119" i="34"/>
  <c r="R119" i="34"/>
  <c r="V119" i="34"/>
  <c r="Q119" i="34"/>
  <c r="AA119" i="34"/>
  <c r="X119" i="34"/>
  <c r="P119" i="34"/>
  <c r="A140" i="34"/>
  <c r="Q140" i="34"/>
  <c r="R140" i="34"/>
  <c r="V140" i="34"/>
  <c r="AA140" i="34"/>
  <c r="P140" i="34"/>
  <c r="X140" i="34"/>
  <c r="A144" i="34"/>
  <c r="Q144" i="34"/>
  <c r="R144" i="34"/>
  <c r="V144" i="34"/>
  <c r="AA144" i="34"/>
  <c r="P144" i="34"/>
  <c r="X144" i="34"/>
  <c r="A148" i="34"/>
  <c r="Q148" i="34"/>
  <c r="R148" i="34"/>
  <c r="V148" i="34"/>
  <c r="AA148" i="34"/>
  <c r="P148" i="34"/>
  <c r="X148" i="34"/>
  <c r="A155" i="34"/>
  <c r="R155" i="34"/>
  <c r="V155" i="34"/>
  <c r="AA155" i="34"/>
  <c r="P155" i="34"/>
  <c r="X155" i="34"/>
  <c r="Q155" i="34"/>
  <c r="A159" i="34"/>
  <c r="R159" i="34"/>
  <c r="V159" i="34"/>
  <c r="AA159" i="34"/>
  <c r="P159" i="34"/>
  <c r="X159" i="34"/>
  <c r="Q159" i="34"/>
  <c r="A168" i="34"/>
  <c r="AA168" i="34"/>
  <c r="P168" i="34"/>
  <c r="X168" i="34"/>
  <c r="Q168" i="34"/>
  <c r="R168" i="34"/>
  <c r="V168" i="34"/>
  <c r="A1296" i="34"/>
  <c r="AA1296" i="34"/>
  <c r="P1296" i="34"/>
  <c r="X1296" i="34"/>
  <c r="Q1296" i="34"/>
  <c r="R1296" i="34"/>
  <c r="V1296" i="34"/>
  <c r="A1071" i="34"/>
  <c r="AA1071" i="34"/>
  <c r="P1071" i="34"/>
  <c r="X1071" i="34"/>
  <c r="Q1071" i="34"/>
  <c r="R1071" i="34"/>
  <c r="V1071" i="34"/>
  <c r="A1075" i="34"/>
  <c r="AA1075" i="34"/>
  <c r="P1075" i="34"/>
  <c r="X1075" i="34"/>
  <c r="Q1075" i="34"/>
  <c r="R1075" i="34"/>
  <c r="V1075" i="34"/>
  <c r="A1079" i="34"/>
  <c r="AA1079" i="34"/>
  <c r="P1079" i="34"/>
  <c r="X1079" i="34"/>
  <c r="Q1079" i="34"/>
  <c r="R1079" i="34"/>
  <c r="V1079" i="34"/>
  <c r="A1087" i="34"/>
  <c r="Q1087" i="34"/>
  <c r="R1087" i="34"/>
  <c r="V1087" i="34"/>
  <c r="AA1087" i="34"/>
  <c r="P1087" i="34"/>
  <c r="X1087" i="34"/>
  <c r="A1091" i="34"/>
  <c r="Q1091" i="34"/>
  <c r="R1091" i="34"/>
  <c r="V1091" i="34"/>
  <c r="AA1091" i="34"/>
  <c r="P1091" i="34"/>
  <c r="X1091" i="34"/>
  <c r="A1097" i="34"/>
  <c r="AA1097" i="34"/>
  <c r="P1097" i="34"/>
  <c r="X1097" i="34"/>
  <c r="Q1097" i="34"/>
  <c r="R1097" i="34"/>
  <c r="V1097" i="34"/>
  <c r="A1106" i="34"/>
  <c r="R1106" i="34"/>
  <c r="V1106" i="34"/>
  <c r="AA1106" i="34"/>
  <c r="P1106" i="34"/>
  <c r="X1106" i="34"/>
  <c r="Q1106" i="34"/>
  <c r="A1112" i="34"/>
  <c r="P1112" i="34"/>
  <c r="X1112" i="34"/>
  <c r="Q1112" i="34"/>
  <c r="R1112" i="34"/>
  <c r="V1112" i="34"/>
  <c r="AA1112" i="34"/>
  <c r="A1122" i="34"/>
  <c r="R1122" i="34"/>
  <c r="V1122" i="34"/>
  <c r="AA1122" i="34"/>
  <c r="P1122" i="34"/>
  <c r="X1122" i="34"/>
  <c r="Q1122" i="34"/>
  <c r="A1126" i="34"/>
  <c r="R1126" i="34"/>
  <c r="V1126" i="34"/>
  <c r="AA1126" i="34"/>
  <c r="P1126" i="34"/>
  <c r="X1126" i="34"/>
  <c r="Q1126" i="34"/>
  <c r="A1144" i="34"/>
  <c r="P1144" i="34"/>
  <c r="X1144" i="34"/>
  <c r="Q1144" i="34"/>
  <c r="R1144" i="34"/>
  <c r="V1144" i="34"/>
  <c r="AA1144" i="34"/>
  <c r="A1099" i="34"/>
  <c r="Q1099" i="34"/>
  <c r="R1099" i="34"/>
  <c r="V1099" i="34"/>
  <c r="AA1099" i="34"/>
  <c r="P1099" i="34"/>
  <c r="X1099" i="34"/>
  <c r="A909" i="34"/>
  <c r="R909" i="34"/>
  <c r="V909" i="34"/>
  <c r="AA909" i="34"/>
  <c r="P909" i="34"/>
  <c r="X909" i="34"/>
  <c r="Q909" i="34"/>
  <c r="A1266" i="34"/>
  <c r="Q1266" i="34"/>
  <c r="R1266" i="34"/>
  <c r="V1266" i="34"/>
  <c r="AA1266" i="34"/>
  <c r="P1266" i="34"/>
  <c r="X1266" i="34"/>
  <c r="A990" i="34"/>
  <c r="Q990" i="34"/>
  <c r="AA990" i="34"/>
  <c r="X990" i="34"/>
  <c r="P990" i="34"/>
  <c r="R990" i="34"/>
  <c r="V990" i="34"/>
  <c r="A1016" i="34"/>
  <c r="R1016" i="34"/>
  <c r="V1016" i="34"/>
  <c r="AA1016" i="34"/>
  <c r="P1016" i="34"/>
  <c r="X1016" i="34"/>
  <c r="Q1016" i="34"/>
  <c r="A920" i="34"/>
  <c r="AA920" i="34"/>
  <c r="P920" i="34"/>
  <c r="X920" i="34"/>
  <c r="Q920" i="34"/>
  <c r="R920" i="34"/>
  <c r="V920" i="34"/>
  <c r="A1136" i="34"/>
  <c r="P1136" i="34"/>
  <c r="X1136" i="34"/>
  <c r="Q1136" i="34"/>
  <c r="R1136" i="34"/>
  <c r="V1136" i="34"/>
  <c r="AA1136" i="34"/>
  <c r="A960" i="34"/>
  <c r="AA960" i="34"/>
  <c r="P960" i="34"/>
  <c r="X960" i="34"/>
  <c r="Q960" i="34"/>
  <c r="R960" i="34"/>
  <c r="V960" i="34"/>
  <c r="A1268" i="34"/>
  <c r="AA1268" i="34"/>
  <c r="P1268" i="34"/>
  <c r="X1268" i="34"/>
  <c r="Q1268" i="34"/>
  <c r="R1268" i="34"/>
  <c r="V1268" i="34"/>
  <c r="A1275" i="34"/>
  <c r="P1275" i="34"/>
  <c r="X1275" i="34"/>
  <c r="Q1275" i="34"/>
  <c r="R1275" i="34"/>
  <c r="V1275" i="34"/>
  <c r="AA1275" i="34"/>
  <c r="A1301" i="34"/>
  <c r="R1301" i="34"/>
  <c r="V1301" i="34"/>
  <c r="AA1301" i="34"/>
  <c r="P1301" i="34"/>
  <c r="X1301" i="34"/>
  <c r="Q1301" i="34"/>
  <c r="A1324" i="34"/>
  <c r="AA1324" i="34"/>
  <c r="P1324" i="34"/>
  <c r="X1324" i="34"/>
  <c r="Q1324" i="34"/>
  <c r="R1324" i="34"/>
  <c r="V1324" i="34"/>
  <c r="R1381" i="34"/>
  <c r="V1381" i="34"/>
  <c r="AA1381" i="34"/>
  <c r="P1381" i="34"/>
  <c r="X1381" i="34"/>
  <c r="Q1381" i="34"/>
  <c r="A323" i="34"/>
  <c r="P323" i="34"/>
  <c r="X323" i="34"/>
  <c r="Q323" i="34"/>
  <c r="R323" i="34"/>
  <c r="V323" i="34"/>
  <c r="AA323" i="34"/>
  <c r="A437" i="34"/>
  <c r="R437" i="34"/>
  <c r="V437" i="34"/>
  <c r="AA437" i="34"/>
  <c r="P437" i="34"/>
  <c r="X437" i="34"/>
  <c r="Q437" i="34"/>
  <c r="A441" i="34"/>
  <c r="R441" i="34"/>
  <c r="V441" i="34"/>
  <c r="AA441" i="34"/>
  <c r="P441" i="34"/>
  <c r="X441" i="34"/>
  <c r="Q441" i="34"/>
  <c r="A445" i="34"/>
  <c r="R445" i="34"/>
  <c r="V445" i="34"/>
  <c r="AA445" i="34"/>
  <c r="P445" i="34"/>
  <c r="X445" i="34"/>
  <c r="Q445" i="34"/>
  <c r="A450" i="34"/>
  <c r="Q450" i="34"/>
  <c r="R450" i="34"/>
  <c r="V450" i="34"/>
  <c r="AA450" i="34"/>
  <c r="P450" i="34"/>
  <c r="X450" i="34"/>
  <c r="A455" i="34"/>
  <c r="P455" i="34"/>
  <c r="X455" i="34"/>
  <c r="Q455" i="34"/>
  <c r="R455" i="34"/>
  <c r="V455" i="34"/>
  <c r="AA455" i="34"/>
  <c r="A459" i="34"/>
  <c r="P459" i="34"/>
  <c r="X459" i="34"/>
  <c r="Q459" i="34"/>
  <c r="R459" i="34"/>
  <c r="V459" i="34"/>
  <c r="AA459" i="34"/>
  <c r="A462" i="34"/>
  <c r="P462" i="34"/>
  <c r="X462" i="34"/>
  <c r="Q462" i="34"/>
  <c r="R462" i="34"/>
  <c r="V462" i="34"/>
  <c r="AA462" i="34"/>
  <c r="A466" i="34"/>
  <c r="P466" i="34"/>
  <c r="X466" i="34"/>
  <c r="Q466" i="34"/>
  <c r="R466" i="34"/>
  <c r="V466" i="34"/>
  <c r="AA466" i="34"/>
  <c r="A470" i="34"/>
  <c r="P470" i="34"/>
  <c r="X470" i="34"/>
  <c r="Q470" i="34"/>
  <c r="R470" i="34"/>
  <c r="V470" i="34"/>
  <c r="AA470" i="34"/>
  <c r="A502" i="34"/>
  <c r="P502" i="34"/>
  <c r="X502" i="34"/>
  <c r="Q502" i="34"/>
  <c r="R502" i="34"/>
  <c r="V502" i="34"/>
  <c r="AA502" i="34"/>
  <c r="A991" i="34"/>
  <c r="P991" i="34"/>
  <c r="AA991" i="34"/>
  <c r="X991" i="34"/>
  <c r="Q991" i="34"/>
  <c r="R991" i="34"/>
  <c r="V991" i="34"/>
  <c r="A1017" i="34"/>
  <c r="Q1017" i="34"/>
  <c r="R1017" i="34"/>
  <c r="V1017" i="34"/>
  <c r="AA1017" i="34"/>
  <c r="P1017" i="34"/>
  <c r="X1017" i="34"/>
  <c r="A1030" i="34"/>
  <c r="P1030" i="34"/>
  <c r="X1030" i="34"/>
  <c r="Q1030" i="34"/>
  <c r="R1030" i="34"/>
  <c r="V1030" i="34"/>
  <c r="AA1030" i="34"/>
  <c r="A694" i="34"/>
  <c r="P694" i="34"/>
  <c r="T694" i="34"/>
  <c r="X694" i="34"/>
  <c r="Q694" i="34"/>
  <c r="U694" i="34"/>
  <c r="R694" i="34"/>
  <c r="V694" i="34"/>
  <c r="S694" i="34"/>
  <c r="AA694" i="34"/>
  <c r="A311" i="34"/>
  <c r="R311" i="34"/>
  <c r="V311" i="34"/>
  <c r="AA311" i="34"/>
  <c r="P311" i="34"/>
  <c r="X311" i="34"/>
  <c r="Q311" i="34"/>
  <c r="A315" i="34"/>
  <c r="R315" i="34"/>
  <c r="V315" i="34"/>
  <c r="P315" i="34"/>
  <c r="X315" i="34"/>
  <c r="Q315" i="34"/>
  <c r="AA315" i="34"/>
  <c r="A319" i="34"/>
  <c r="P319" i="34"/>
  <c r="X319" i="34"/>
  <c r="Q319" i="34"/>
  <c r="R319" i="34"/>
  <c r="V319" i="34"/>
  <c r="AA319" i="34"/>
  <c r="A326" i="34"/>
  <c r="Q326" i="34"/>
  <c r="R326" i="34"/>
  <c r="V326" i="34"/>
  <c r="AA326" i="34"/>
  <c r="P326" i="34"/>
  <c r="X326" i="34"/>
  <c r="A330" i="34"/>
  <c r="Q330" i="34"/>
  <c r="R330" i="34"/>
  <c r="V330" i="34"/>
  <c r="AA330" i="34"/>
  <c r="P330" i="34"/>
  <c r="X330" i="34"/>
  <c r="A332" i="34"/>
  <c r="Q332" i="34"/>
  <c r="R332" i="34"/>
  <c r="V332" i="34"/>
  <c r="AA332" i="34"/>
  <c r="P332" i="34"/>
  <c r="X332" i="34"/>
  <c r="A336" i="34"/>
  <c r="Q336" i="34"/>
  <c r="R336" i="34"/>
  <c r="V336" i="34"/>
  <c r="AA336" i="34"/>
  <c r="P336" i="34"/>
  <c r="X336" i="34"/>
  <c r="A429" i="34"/>
  <c r="R429" i="34"/>
  <c r="V429" i="34"/>
  <c r="AA429" i="34"/>
  <c r="P429" i="34"/>
  <c r="X429" i="34"/>
  <c r="Q429" i="34"/>
  <c r="A433" i="34"/>
  <c r="R433" i="34"/>
  <c r="V433" i="34"/>
  <c r="AA433" i="34"/>
  <c r="P433" i="34"/>
  <c r="X433" i="34"/>
  <c r="Q433" i="34"/>
  <c r="A1046" i="34"/>
  <c r="P1046" i="34"/>
  <c r="X1046" i="34"/>
  <c r="Q1046" i="34"/>
  <c r="R1046" i="34"/>
  <c r="V1046" i="34"/>
  <c r="AA1046" i="34"/>
  <c r="A1057" i="34"/>
  <c r="Q1057" i="34"/>
  <c r="R1057" i="34"/>
  <c r="V1057" i="34"/>
  <c r="AA1057" i="34"/>
  <c r="P1057" i="34"/>
  <c r="X1057" i="34"/>
  <c r="A172" i="34"/>
  <c r="AA172" i="34"/>
  <c r="P172" i="34"/>
  <c r="X172" i="34"/>
  <c r="Q172" i="34"/>
  <c r="R172" i="34"/>
  <c r="V172" i="34"/>
  <c r="A183" i="34"/>
  <c r="R183" i="34"/>
  <c r="V183" i="34"/>
  <c r="AA183" i="34"/>
  <c r="P183" i="34"/>
  <c r="X183" i="34"/>
  <c r="Q183" i="34"/>
  <c r="A190" i="34"/>
  <c r="AA190" i="34"/>
  <c r="P190" i="34"/>
  <c r="X190" i="34"/>
  <c r="Q190" i="34"/>
  <c r="R190" i="34"/>
  <c r="V190" i="34"/>
  <c r="A194" i="34"/>
  <c r="AA194" i="34"/>
  <c r="P194" i="34"/>
  <c r="X194" i="34"/>
  <c r="Q194" i="34"/>
  <c r="R194" i="34"/>
  <c r="V194" i="34"/>
  <c r="A212" i="34"/>
  <c r="Q212" i="34"/>
  <c r="P212" i="34"/>
  <c r="X212" i="34"/>
  <c r="R212" i="34"/>
  <c r="V212" i="34"/>
  <c r="AA212" i="34"/>
  <c r="A216" i="34"/>
  <c r="P216" i="34"/>
  <c r="X216" i="34"/>
  <c r="Q216" i="34"/>
  <c r="R216" i="34"/>
  <c r="V216" i="34"/>
  <c r="AA216" i="34"/>
  <c r="A305" i="34"/>
  <c r="P305" i="34"/>
  <c r="X305" i="34"/>
  <c r="Q305" i="34"/>
  <c r="R305" i="34"/>
  <c r="V305" i="34"/>
  <c r="AA305" i="34"/>
  <c r="A309" i="34"/>
  <c r="P309" i="34"/>
  <c r="X309" i="34"/>
  <c r="Q309" i="34"/>
  <c r="R309" i="34"/>
  <c r="V309" i="34"/>
  <c r="AA309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71" i="34"/>
  <c r="Q571" i="34"/>
  <c r="R571" i="34"/>
  <c r="V571" i="34"/>
  <c r="AA571" i="34"/>
  <c r="P571" i="34"/>
  <c r="X571" i="34"/>
  <c r="A576" i="34"/>
  <c r="Q576" i="34"/>
  <c r="R576" i="34"/>
  <c r="V576" i="34"/>
  <c r="AA576" i="34"/>
  <c r="P576" i="34"/>
  <c r="X576" i="34"/>
  <c r="A597" i="34"/>
  <c r="P597" i="34"/>
  <c r="X597" i="34"/>
  <c r="Q597" i="34"/>
  <c r="R597" i="34"/>
  <c r="V597" i="34"/>
  <c r="AA597" i="34"/>
  <c r="A601" i="34"/>
  <c r="P601" i="34"/>
  <c r="X601" i="34"/>
  <c r="Q601" i="34"/>
  <c r="R601" i="34"/>
  <c r="V601" i="34"/>
  <c r="AA601" i="34"/>
  <c r="A616" i="34"/>
  <c r="Q616" i="34"/>
  <c r="R616" i="34"/>
  <c r="V616" i="34"/>
  <c r="AA616" i="34"/>
  <c r="P616" i="34"/>
  <c r="X616" i="34"/>
  <c r="A620" i="34"/>
  <c r="Q620" i="34"/>
  <c r="R620" i="34"/>
  <c r="V620" i="34"/>
  <c r="AA620" i="34"/>
  <c r="P620" i="34"/>
  <c r="X620" i="34"/>
  <c r="A626" i="34"/>
  <c r="AA626" i="34"/>
  <c r="P626" i="34"/>
  <c r="X626" i="34"/>
  <c r="Q626" i="34"/>
  <c r="R626" i="34"/>
  <c r="V626" i="34"/>
  <c r="A630" i="34"/>
  <c r="R630" i="34"/>
  <c r="V630" i="34"/>
  <c r="P630" i="34"/>
  <c r="Q630" i="34"/>
  <c r="AA630" i="34"/>
  <c r="X630" i="34"/>
  <c r="A644" i="34"/>
  <c r="P644" i="34"/>
  <c r="X644" i="34"/>
  <c r="Q644" i="34"/>
  <c r="R644" i="34"/>
  <c r="V644" i="34"/>
  <c r="AA644" i="34"/>
  <c r="A648" i="34"/>
  <c r="R648" i="34"/>
  <c r="V648" i="34"/>
  <c r="AA648" i="34"/>
  <c r="P648" i="34"/>
  <c r="X648" i="34"/>
  <c r="Q648" i="34"/>
  <c r="A652" i="34"/>
  <c r="R652" i="34"/>
  <c r="V652" i="34"/>
  <c r="AA652" i="34"/>
  <c r="P652" i="34"/>
  <c r="X652" i="34"/>
  <c r="Q652" i="34"/>
  <c r="A103" i="34"/>
  <c r="P103" i="34"/>
  <c r="X103" i="34"/>
  <c r="Q103" i="34"/>
  <c r="R103" i="34"/>
  <c r="V103" i="34"/>
  <c r="AA103" i="34"/>
  <c r="A108" i="34"/>
  <c r="AA108" i="34"/>
  <c r="P108" i="34"/>
  <c r="X108" i="34"/>
  <c r="Q108" i="34"/>
  <c r="R108" i="34"/>
  <c r="V108" i="34"/>
  <c r="A116" i="34"/>
  <c r="Q116" i="34"/>
  <c r="R116" i="34"/>
  <c r="V116" i="34"/>
  <c r="P116" i="34"/>
  <c r="AA116" i="34"/>
  <c r="X116" i="34"/>
  <c r="A120" i="34"/>
  <c r="Q120" i="34"/>
  <c r="AA120" i="34"/>
  <c r="X120" i="34"/>
  <c r="P120" i="34"/>
  <c r="R120" i="34"/>
  <c r="V120" i="34"/>
  <c r="A141" i="34"/>
  <c r="P141" i="34"/>
  <c r="X141" i="34"/>
  <c r="Q141" i="34"/>
  <c r="R141" i="34"/>
  <c r="V141" i="34"/>
  <c r="AA141" i="34"/>
  <c r="A145" i="34"/>
  <c r="P145" i="34"/>
  <c r="X145" i="34"/>
  <c r="Q145" i="34"/>
  <c r="R145" i="34"/>
  <c r="V145" i="34"/>
  <c r="AA145" i="34"/>
  <c r="A152" i="34"/>
  <c r="Q152" i="34"/>
  <c r="R152" i="34"/>
  <c r="V152" i="34"/>
  <c r="AA152" i="34"/>
  <c r="P152" i="34"/>
  <c r="X152" i="34"/>
  <c r="A156" i="34"/>
  <c r="Q156" i="34"/>
  <c r="R156" i="34"/>
  <c r="V156" i="34"/>
  <c r="AA156" i="34"/>
  <c r="P156" i="34"/>
  <c r="X156" i="34"/>
  <c r="A165" i="34"/>
  <c r="R165" i="34"/>
  <c r="V165" i="34"/>
  <c r="AA165" i="34"/>
  <c r="P165" i="34"/>
  <c r="X165" i="34"/>
  <c r="Q165" i="34"/>
  <c r="A169" i="34"/>
  <c r="R169" i="34"/>
  <c r="V169" i="34"/>
  <c r="AA169" i="34"/>
  <c r="P169" i="34"/>
  <c r="X169" i="34"/>
  <c r="Q169" i="34"/>
  <c r="A1076" i="34"/>
  <c r="R1076" i="34"/>
  <c r="V1076" i="34"/>
  <c r="AA1076" i="34"/>
  <c r="P1076" i="34"/>
  <c r="X1076" i="34"/>
  <c r="Q1076" i="34"/>
  <c r="A1094" i="34"/>
  <c r="R1094" i="34"/>
  <c r="V1094" i="34"/>
  <c r="AA1094" i="34"/>
  <c r="P1094" i="34"/>
  <c r="X1094" i="34"/>
  <c r="Q1094" i="34"/>
  <c r="A1107" i="34"/>
  <c r="Q1107" i="34"/>
  <c r="R1107" i="34"/>
  <c r="V1107" i="34"/>
  <c r="AA1107" i="34"/>
  <c r="P1107" i="34"/>
  <c r="X1107" i="34"/>
  <c r="A1123" i="34"/>
  <c r="Q1123" i="34"/>
  <c r="R1123" i="34"/>
  <c r="V1123" i="34"/>
  <c r="AA1123" i="34"/>
  <c r="P1123" i="34"/>
  <c r="X1123" i="34"/>
  <c r="A1127" i="34"/>
  <c r="Q1127" i="34"/>
  <c r="R1127" i="34"/>
  <c r="V1127" i="34"/>
  <c r="AA1127" i="34"/>
  <c r="P1127" i="34"/>
  <c r="X1127" i="34"/>
  <c r="A1145" i="34"/>
  <c r="AA1145" i="34"/>
  <c r="P1145" i="34"/>
  <c r="X1145" i="34"/>
  <c r="Q1145" i="34"/>
  <c r="R1145" i="34"/>
  <c r="V1145" i="34"/>
  <c r="A1100" i="34"/>
  <c r="P1100" i="34"/>
  <c r="X1100" i="34"/>
  <c r="Q1100" i="34"/>
  <c r="R1100" i="34"/>
  <c r="V1100" i="34"/>
  <c r="AA1100" i="34"/>
  <c r="A910" i="34"/>
  <c r="Q910" i="34"/>
  <c r="R910" i="34"/>
  <c r="V910" i="34"/>
  <c r="AA910" i="34"/>
  <c r="P910" i="34"/>
  <c r="X910" i="34"/>
  <c r="A1019" i="34"/>
  <c r="AA1019" i="34"/>
  <c r="P1019" i="34"/>
  <c r="X1019" i="34"/>
  <c r="Q1019" i="34"/>
  <c r="R1019" i="34"/>
  <c r="V1019" i="34"/>
  <c r="A1021" i="34"/>
  <c r="Q1021" i="34"/>
  <c r="R1021" i="34"/>
  <c r="V1021" i="34"/>
  <c r="AA1021" i="34"/>
  <c r="P1021" i="34"/>
  <c r="X1021" i="34"/>
  <c r="A921" i="34"/>
  <c r="R921" i="34"/>
  <c r="V921" i="34"/>
  <c r="AA921" i="34"/>
  <c r="P921" i="34"/>
  <c r="X921" i="34"/>
  <c r="Q921" i="34"/>
  <c r="A892" i="34"/>
  <c r="Q892" i="34"/>
  <c r="R892" i="34"/>
  <c r="V892" i="34"/>
  <c r="AA892" i="34"/>
  <c r="P892" i="34"/>
  <c r="X892" i="34"/>
  <c r="A958" i="34"/>
  <c r="Q958" i="34"/>
  <c r="R958" i="34"/>
  <c r="V958" i="34"/>
  <c r="AA958" i="34"/>
  <c r="P958" i="34"/>
  <c r="X958" i="34"/>
  <c r="A1272" i="34"/>
  <c r="AA1272" i="34"/>
  <c r="P1272" i="34"/>
  <c r="X1272" i="34"/>
  <c r="Q1272" i="34"/>
  <c r="R1272" i="34"/>
  <c r="V1272" i="34"/>
  <c r="A1276" i="34"/>
  <c r="AA1276" i="34"/>
  <c r="P1276" i="34"/>
  <c r="X1276" i="34"/>
  <c r="Q1276" i="34"/>
  <c r="R1276" i="34"/>
  <c r="V1276" i="34"/>
  <c r="A1302" i="34"/>
  <c r="Q1302" i="34"/>
  <c r="R1302" i="34"/>
  <c r="V1302" i="34"/>
  <c r="AA1302" i="34"/>
  <c r="P1302" i="34"/>
  <c r="X1302" i="34"/>
  <c r="A1322" i="34"/>
  <c r="Q1322" i="34"/>
  <c r="R1322" i="34"/>
  <c r="V1322" i="34"/>
  <c r="AA1322" i="34"/>
  <c r="P1322" i="34"/>
  <c r="X1322" i="34"/>
  <c r="Q1382" i="34"/>
  <c r="R1382" i="34"/>
  <c r="V1382" i="34"/>
  <c r="AA1382" i="34"/>
  <c r="P1382" i="34"/>
  <c r="X1382" i="34"/>
  <c r="A324" i="34"/>
  <c r="AA324" i="34"/>
  <c r="P324" i="34"/>
  <c r="X324" i="34"/>
  <c r="Q324" i="34"/>
  <c r="R324" i="34"/>
  <c r="V324" i="34"/>
  <c r="A438" i="34"/>
  <c r="Q438" i="34"/>
  <c r="R438" i="34"/>
  <c r="V438" i="34"/>
  <c r="AA438" i="34"/>
  <c r="P438" i="34"/>
  <c r="X438" i="34"/>
  <c r="A442" i="34"/>
  <c r="Q442" i="34"/>
  <c r="R442" i="34"/>
  <c r="V442" i="34"/>
  <c r="AA442" i="34"/>
  <c r="P442" i="34"/>
  <c r="X442" i="34"/>
  <c r="A446" i="34"/>
  <c r="Q446" i="34"/>
  <c r="R446" i="34"/>
  <c r="V446" i="34"/>
  <c r="AA446" i="34"/>
  <c r="P446" i="34"/>
  <c r="X446" i="34"/>
  <c r="A451" i="34"/>
  <c r="P451" i="34"/>
  <c r="X451" i="34"/>
  <c r="Q451" i="34"/>
  <c r="R451" i="34"/>
  <c r="V451" i="34"/>
  <c r="AA451" i="34"/>
  <c r="A456" i="34"/>
  <c r="AA456" i="34"/>
  <c r="P456" i="34"/>
  <c r="X456" i="34"/>
  <c r="Q456" i="34"/>
  <c r="R456" i="34"/>
  <c r="V456" i="34"/>
  <c r="A460" i="34"/>
  <c r="AA460" i="34"/>
  <c r="P460" i="34"/>
  <c r="X460" i="34"/>
  <c r="Q460" i="34"/>
  <c r="R460" i="34"/>
  <c r="V460" i="34"/>
  <c r="A463" i="34"/>
  <c r="AA463" i="34"/>
  <c r="P463" i="34"/>
  <c r="X463" i="34"/>
  <c r="Q463" i="34"/>
  <c r="R463" i="34"/>
  <c r="V463" i="34"/>
  <c r="A467" i="34"/>
  <c r="AA467" i="34"/>
  <c r="P467" i="34"/>
  <c r="X467" i="34"/>
  <c r="Q467" i="34"/>
  <c r="R467" i="34"/>
  <c r="V467" i="34"/>
  <c r="A493" i="34"/>
  <c r="Q493" i="34"/>
  <c r="R493" i="34"/>
  <c r="V493" i="34"/>
  <c r="AA493" i="34"/>
  <c r="P493" i="34"/>
  <c r="X493" i="34"/>
  <c r="A503" i="34"/>
  <c r="AA503" i="34"/>
  <c r="P503" i="34"/>
  <c r="X503" i="34"/>
  <c r="Q503" i="34"/>
  <c r="R503" i="34"/>
  <c r="V503" i="34"/>
  <c r="A881" i="34"/>
  <c r="P881" i="34"/>
  <c r="X881" i="34"/>
  <c r="Q881" i="34"/>
  <c r="R881" i="34"/>
  <c r="V881" i="34"/>
  <c r="AA881" i="34"/>
  <c r="A992" i="34"/>
  <c r="R992" i="34"/>
  <c r="V992" i="34"/>
  <c r="AA992" i="34"/>
  <c r="P992" i="34"/>
  <c r="X992" i="34"/>
  <c r="Q992" i="34"/>
  <c r="A1023" i="34"/>
  <c r="AA1023" i="34"/>
  <c r="P1023" i="34"/>
  <c r="X1023" i="34"/>
  <c r="Q1023" i="34"/>
  <c r="R1023" i="34"/>
  <c r="V1023" i="34"/>
  <c r="A1031" i="34"/>
  <c r="AA1031" i="34"/>
  <c r="P1031" i="34"/>
  <c r="X1031" i="34"/>
  <c r="Q1031" i="34"/>
  <c r="R1031" i="34"/>
  <c r="V1031" i="34"/>
  <c r="A695" i="34"/>
  <c r="S695" i="34"/>
  <c r="AA695" i="34"/>
  <c r="P695" i="34"/>
  <c r="T695" i="34"/>
  <c r="X695" i="34"/>
  <c r="Q695" i="34"/>
  <c r="U695" i="34"/>
  <c r="R695" i="34"/>
  <c r="V695" i="34"/>
  <c r="A312" i="34"/>
  <c r="Q312" i="34"/>
  <c r="R312" i="34"/>
  <c r="V312" i="34"/>
  <c r="AA312" i="34"/>
  <c r="P312" i="34"/>
  <c r="X312" i="34"/>
  <c r="A316" i="34"/>
  <c r="Q316" i="34"/>
  <c r="X316" i="34"/>
  <c r="P316" i="34"/>
  <c r="R316" i="34"/>
  <c r="V316" i="34"/>
  <c r="AA316" i="34"/>
  <c r="A320" i="34"/>
  <c r="AA320" i="34"/>
  <c r="P320" i="34"/>
  <c r="X320" i="34"/>
  <c r="Q320" i="34"/>
  <c r="R320" i="34"/>
  <c r="V320" i="34"/>
  <c r="A327" i="34"/>
  <c r="P327" i="34"/>
  <c r="X327" i="34"/>
  <c r="Q327" i="34"/>
  <c r="R327" i="34"/>
  <c r="V327" i="34"/>
  <c r="AA327" i="34"/>
  <c r="A333" i="34"/>
  <c r="P333" i="34"/>
  <c r="X333" i="34"/>
  <c r="Q333" i="34"/>
  <c r="R333" i="34"/>
  <c r="V333" i="34"/>
  <c r="AA333" i="34"/>
  <c r="A337" i="34"/>
  <c r="P337" i="34"/>
  <c r="X337" i="34"/>
  <c r="Q337" i="34"/>
  <c r="R337" i="34"/>
  <c r="V337" i="34"/>
  <c r="AA337" i="34"/>
  <c r="A430" i="34"/>
  <c r="Q430" i="34"/>
  <c r="R430" i="34"/>
  <c r="V430" i="34"/>
  <c r="AA430" i="34"/>
  <c r="P430" i="34"/>
  <c r="X430" i="34"/>
  <c r="A1040" i="34"/>
  <c r="R1040" i="34"/>
  <c r="V1040" i="34"/>
  <c r="AA1040" i="34"/>
  <c r="P1040" i="34"/>
  <c r="X1040" i="34"/>
  <c r="Q1040" i="34"/>
  <c r="A1047" i="34"/>
  <c r="AA1047" i="34"/>
  <c r="P1047" i="34"/>
  <c r="X1047" i="34"/>
  <c r="Q1047" i="34"/>
  <c r="R1047" i="34"/>
  <c r="V1047" i="34"/>
  <c r="A1058" i="34"/>
  <c r="P1058" i="34"/>
  <c r="X1058" i="34"/>
  <c r="Q1058" i="34"/>
  <c r="R1058" i="34"/>
  <c r="V1058" i="34"/>
  <c r="AA1058" i="34"/>
  <c r="A173" i="34"/>
  <c r="R173" i="34"/>
  <c r="V173" i="34"/>
  <c r="AA173" i="34"/>
  <c r="P173" i="34"/>
  <c r="X173" i="34"/>
  <c r="Q173" i="34"/>
  <c r="A180" i="34"/>
  <c r="Q180" i="34"/>
  <c r="R180" i="34"/>
  <c r="V180" i="34"/>
  <c r="AA180" i="34"/>
  <c r="P180" i="34"/>
  <c r="X180" i="34"/>
  <c r="A184" i="34"/>
  <c r="Q184" i="34"/>
  <c r="R184" i="34"/>
  <c r="V184" i="34"/>
  <c r="AA184" i="34"/>
  <c r="P184" i="34"/>
  <c r="X184" i="34"/>
  <c r="A191" i="34"/>
  <c r="R191" i="34"/>
  <c r="V191" i="34"/>
  <c r="AA191" i="34"/>
  <c r="P191" i="34"/>
  <c r="X191" i="34"/>
  <c r="Q191" i="34"/>
  <c r="A195" i="34"/>
  <c r="R195" i="34"/>
  <c r="V195" i="34"/>
  <c r="AA195" i="34"/>
  <c r="P195" i="34"/>
  <c r="X195" i="34"/>
  <c r="Q195" i="34"/>
  <c r="A213" i="34"/>
  <c r="P213" i="34"/>
  <c r="AA213" i="34"/>
  <c r="X213" i="34"/>
  <c r="Q213" i="34"/>
  <c r="R213" i="34"/>
  <c r="V213" i="34"/>
  <c r="A302" i="34"/>
  <c r="AA302" i="34"/>
  <c r="P302" i="34"/>
  <c r="X302" i="34"/>
  <c r="Q302" i="34"/>
  <c r="R302" i="34"/>
  <c r="V302" i="34"/>
  <c r="A306" i="34"/>
  <c r="AA306" i="34"/>
  <c r="P306" i="34"/>
  <c r="X306" i="34"/>
  <c r="Q306" i="34"/>
  <c r="R306" i="34"/>
  <c r="V306" i="34"/>
  <c r="A471" i="34"/>
  <c r="AA471" i="34"/>
  <c r="P471" i="34"/>
  <c r="X471" i="34"/>
  <c r="Q471" i="34"/>
  <c r="R471" i="34"/>
  <c r="V471" i="34"/>
  <c r="A475" i="34"/>
  <c r="AA475" i="34"/>
  <c r="P475" i="34"/>
  <c r="X475" i="34"/>
  <c r="Q475" i="34"/>
  <c r="R475" i="34"/>
  <c r="V475" i="34"/>
  <c r="A479" i="34"/>
  <c r="AA479" i="34"/>
  <c r="P479" i="34"/>
  <c r="X479" i="34"/>
  <c r="Q479" i="34"/>
  <c r="R479" i="34"/>
  <c r="V479" i="34"/>
  <c r="A509" i="34"/>
  <c r="Q509" i="34"/>
  <c r="R509" i="34"/>
  <c r="V509" i="34"/>
  <c r="AA509" i="34"/>
  <c r="P509" i="34"/>
  <c r="X509" i="34"/>
  <c r="A513" i="34"/>
  <c r="Q513" i="34"/>
  <c r="R513" i="34"/>
  <c r="V513" i="34"/>
  <c r="AA513" i="34"/>
  <c r="P513" i="34"/>
  <c r="X513" i="34"/>
  <c r="A539" i="34"/>
  <c r="Q539" i="34"/>
  <c r="R539" i="34"/>
  <c r="V539" i="34"/>
  <c r="AA539" i="34"/>
  <c r="P539" i="34"/>
  <c r="X539" i="34"/>
  <c r="A543" i="34"/>
  <c r="Q543" i="34"/>
  <c r="R543" i="34"/>
  <c r="V543" i="34"/>
  <c r="AA543" i="34"/>
  <c r="P543" i="34"/>
  <c r="X543" i="34"/>
  <c r="A572" i="34"/>
  <c r="P572" i="34"/>
  <c r="X572" i="34"/>
  <c r="Q572" i="34"/>
  <c r="R572" i="34"/>
  <c r="V572" i="34"/>
  <c r="AA572" i="34"/>
  <c r="A594" i="34"/>
  <c r="AA594" i="34"/>
  <c r="P594" i="34"/>
  <c r="X594" i="34"/>
  <c r="Q594" i="34"/>
  <c r="R594" i="34"/>
  <c r="V594" i="34"/>
  <c r="A598" i="34"/>
  <c r="AA598" i="34"/>
  <c r="P598" i="34"/>
  <c r="X598" i="34"/>
  <c r="Q598" i="34"/>
  <c r="R598" i="34"/>
  <c r="V598" i="34"/>
  <c r="A602" i="34"/>
  <c r="AA602" i="34"/>
  <c r="P602" i="34"/>
  <c r="X602" i="34"/>
  <c r="Q602" i="34"/>
  <c r="R602" i="34"/>
  <c r="V602" i="34"/>
  <c r="A617" i="34"/>
  <c r="P617" i="34"/>
  <c r="X617" i="34"/>
  <c r="Q617" i="34"/>
  <c r="R617" i="34"/>
  <c r="V617" i="34"/>
  <c r="AA617" i="34"/>
  <c r="A621" i="34"/>
  <c r="P621" i="34"/>
  <c r="X621" i="34"/>
  <c r="Q621" i="34"/>
  <c r="R621" i="34"/>
  <c r="V621" i="34"/>
  <c r="AA621" i="34"/>
  <c r="A627" i="34"/>
  <c r="R627" i="34"/>
  <c r="V627" i="34"/>
  <c r="P627" i="34"/>
  <c r="X627" i="34"/>
  <c r="Q627" i="34"/>
  <c r="AA627" i="34"/>
  <c r="A631" i="34"/>
  <c r="Q631" i="34"/>
  <c r="R631" i="34"/>
  <c r="V631" i="34"/>
  <c r="AA631" i="34"/>
  <c r="X631" i="34"/>
  <c r="P631" i="34"/>
  <c r="A645" i="34"/>
  <c r="AA645" i="34"/>
  <c r="P645" i="34"/>
  <c r="X645" i="34"/>
  <c r="Q645" i="34"/>
  <c r="R645" i="34"/>
  <c r="V645" i="34"/>
  <c r="A649" i="34"/>
  <c r="Q649" i="34"/>
  <c r="R649" i="34"/>
  <c r="V649" i="34"/>
  <c r="AA649" i="34"/>
  <c r="P649" i="34"/>
  <c r="X649" i="34"/>
  <c r="A675" i="34"/>
  <c r="S675" i="34"/>
  <c r="AA675" i="34"/>
  <c r="P675" i="34"/>
  <c r="T675" i="34"/>
  <c r="X675" i="34"/>
  <c r="Q675" i="34"/>
  <c r="U675" i="34"/>
  <c r="R675" i="34"/>
  <c r="V675" i="34"/>
  <c r="A104" i="34"/>
  <c r="AA104" i="34"/>
  <c r="P104" i="34"/>
  <c r="X104" i="34"/>
  <c r="Q104" i="34"/>
  <c r="R104" i="34"/>
  <c r="V104" i="34"/>
  <c r="A110" i="34"/>
  <c r="Q110" i="34"/>
  <c r="R110" i="34"/>
  <c r="V110" i="34"/>
  <c r="AA110" i="34"/>
  <c r="P110" i="34"/>
  <c r="X110" i="34"/>
  <c r="A117" i="34"/>
  <c r="P117" i="34"/>
  <c r="X117" i="34"/>
  <c r="Q117" i="34"/>
  <c r="R117" i="34"/>
  <c r="V117" i="34"/>
  <c r="AA117" i="34"/>
  <c r="A121" i="34"/>
  <c r="P121" i="34"/>
  <c r="X121" i="34"/>
  <c r="Q121" i="34"/>
  <c r="R121" i="34"/>
  <c r="V121" i="34"/>
  <c r="AA121" i="34"/>
  <c r="A142" i="34"/>
  <c r="AA142" i="34"/>
  <c r="P142" i="34"/>
  <c r="X142" i="34"/>
  <c r="Q142" i="34"/>
  <c r="R142" i="34"/>
  <c r="V142" i="34"/>
  <c r="A146" i="34"/>
  <c r="AA146" i="34"/>
  <c r="P146" i="34"/>
  <c r="X146" i="34"/>
  <c r="Q146" i="34"/>
  <c r="R146" i="34"/>
  <c r="V146" i="34"/>
  <c r="A153" i="34"/>
  <c r="P153" i="34"/>
  <c r="X153" i="34"/>
  <c r="Q153" i="34"/>
  <c r="R153" i="34"/>
  <c r="V153" i="34"/>
  <c r="AA153" i="34"/>
  <c r="A157" i="34"/>
  <c r="P157" i="34"/>
  <c r="X157" i="34"/>
  <c r="Q157" i="34"/>
  <c r="R157" i="34"/>
  <c r="V157" i="34"/>
  <c r="AA157" i="34"/>
  <c r="A166" i="34"/>
  <c r="Q166" i="34"/>
  <c r="R166" i="34"/>
  <c r="V166" i="34"/>
  <c r="AA166" i="34"/>
  <c r="P166" i="34"/>
  <c r="X166" i="34"/>
  <c r="A170" i="34"/>
  <c r="Q170" i="34"/>
  <c r="R170" i="34"/>
  <c r="V170" i="34"/>
  <c r="AA170" i="34"/>
  <c r="P170" i="34"/>
  <c r="X170" i="34"/>
  <c r="A1325" i="34"/>
  <c r="R1325" i="34"/>
  <c r="V1325" i="34"/>
  <c r="AA1325" i="34"/>
  <c r="P1325" i="34"/>
  <c r="X1325" i="34"/>
  <c r="Q1325" i="34"/>
  <c r="A1080" i="34"/>
  <c r="R1080" i="34"/>
  <c r="V1080" i="34"/>
  <c r="AA1080" i="34"/>
  <c r="P1080" i="34"/>
  <c r="X1080" i="34"/>
  <c r="Q1080" i="34"/>
  <c r="A1101" i="34"/>
  <c r="AA1101" i="34"/>
  <c r="P1101" i="34"/>
  <c r="X1101" i="34"/>
  <c r="Q1101" i="34"/>
  <c r="R1101" i="34"/>
  <c r="V1101" i="34"/>
  <c r="A1077" i="34"/>
  <c r="Q1077" i="34"/>
  <c r="R1077" i="34"/>
  <c r="V1077" i="34"/>
  <c r="AA1077" i="34"/>
  <c r="P1077" i="34"/>
  <c r="X1077" i="34"/>
  <c r="A1089" i="34"/>
  <c r="AA1089" i="34"/>
  <c r="P1089" i="34"/>
  <c r="X1089" i="34"/>
  <c r="Q1089" i="34"/>
  <c r="R1089" i="34"/>
  <c r="V1089" i="34"/>
  <c r="A1102" i="34"/>
  <c r="R1102" i="34"/>
  <c r="V1102" i="34"/>
  <c r="AA1102" i="34"/>
  <c r="P1102" i="34"/>
  <c r="X1102" i="34"/>
  <c r="Q1102" i="34"/>
  <c r="A1114" i="34"/>
  <c r="R1114" i="34"/>
  <c r="V1114" i="34"/>
  <c r="AA1114" i="34"/>
  <c r="P1114" i="34"/>
  <c r="X1114" i="34"/>
  <c r="Q1114" i="34"/>
  <c r="A1128" i="34"/>
  <c r="P1128" i="34"/>
  <c r="X1128" i="34"/>
  <c r="Q1128" i="34"/>
  <c r="R1128" i="34"/>
  <c r="V1128" i="34"/>
  <c r="AA1128" i="34"/>
  <c r="A1118" i="34"/>
  <c r="R1118" i="34"/>
  <c r="V1118" i="34"/>
  <c r="AA1118" i="34"/>
  <c r="P1118" i="34"/>
  <c r="X1118" i="34"/>
  <c r="Q1118" i="34"/>
  <c r="A1022" i="34"/>
  <c r="P1022" i="34"/>
  <c r="X1022" i="34"/>
  <c r="Q1022" i="34"/>
  <c r="R1022" i="34"/>
  <c r="V1022" i="34"/>
  <c r="AA1022" i="34"/>
  <c r="A893" i="34"/>
  <c r="P893" i="34"/>
  <c r="X893" i="34"/>
  <c r="Q893" i="34"/>
  <c r="R893" i="34"/>
  <c r="V893" i="34"/>
  <c r="AA893" i="34"/>
  <c r="A1251" i="34"/>
  <c r="P1251" i="34"/>
  <c r="X1251" i="34"/>
  <c r="Q1251" i="34"/>
  <c r="R1251" i="34"/>
  <c r="V1251" i="34"/>
  <c r="AA1251" i="34"/>
  <c r="A1273" i="34"/>
  <c r="R1273" i="34"/>
  <c r="V1273" i="34"/>
  <c r="AA1273" i="34"/>
  <c r="P1273" i="34"/>
  <c r="X1273" i="34"/>
  <c r="Q1273" i="34"/>
  <c r="A1286" i="34"/>
  <c r="Q1286" i="34"/>
  <c r="R1286" i="34"/>
  <c r="V1286" i="34"/>
  <c r="AA1286" i="34"/>
  <c r="P1286" i="34"/>
  <c r="X1286" i="34"/>
  <c r="A1303" i="34"/>
  <c r="P1303" i="34"/>
  <c r="X1303" i="34"/>
  <c r="Q1303" i="34"/>
  <c r="R1303" i="34"/>
  <c r="V1303" i="34"/>
  <c r="AA1303" i="34"/>
  <c r="A1323" i="34"/>
  <c r="P1323" i="34"/>
  <c r="X1323" i="34"/>
  <c r="Q1323" i="34"/>
  <c r="R1323" i="34"/>
  <c r="V1323" i="34"/>
  <c r="AA1323" i="34"/>
  <c r="P1383" i="34"/>
  <c r="X1383" i="34"/>
  <c r="Q1383" i="34"/>
  <c r="R1383" i="34"/>
  <c r="V1383" i="34"/>
  <c r="AA1383" i="34"/>
  <c r="A679" i="34"/>
  <c r="S679" i="34"/>
  <c r="AA679" i="34"/>
  <c r="P679" i="34"/>
  <c r="T679" i="34"/>
  <c r="X679" i="34"/>
  <c r="Q679" i="34"/>
  <c r="U679" i="34"/>
  <c r="R679" i="34"/>
  <c r="V679" i="34"/>
  <c r="A434" i="34"/>
  <c r="Q434" i="34"/>
  <c r="R434" i="34"/>
  <c r="V434" i="34"/>
  <c r="AA434" i="34"/>
  <c r="P434" i="34"/>
  <c r="X434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47" i="34"/>
  <c r="P447" i="34"/>
  <c r="X447" i="34"/>
  <c r="Q447" i="34"/>
  <c r="R447" i="34"/>
  <c r="V447" i="34"/>
  <c r="AA447" i="34"/>
  <c r="A452" i="34"/>
  <c r="AA452" i="34"/>
  <c r="P452" i="34"/>
  <c r="X452" i="34"/>
  <c r="Q452" i="34"/>
  <c r="R452" i="34"/>
  <c r="V452" i="34"/>
  <c r="A457" i="34"/>
  <c r="R457" i="34"/>
  <c r="V457" i="34"/>
  <c r="AA457" i="34"/>
  <c r="P457" i="34"/>
  <c r="X457" i="34"/>
  <c r="Q457" i="34"/>
  <c r="A461" i="34"/>
  <c r="R461" i="34"/>
  <c r="V461" i="34"/>
  <c r="AA461" i="34"/>
  <c r="P461" i="34"/>
  <c r="X461" i="34"/>
  <c r="Q461" i="34"/>
  <c r="A464" i="34"/>
  <c r="R464" i="34"/>
  <c r="V464" i="34"/>
  <c r="AA464" i="34"/>
  <c r="P464" i="34"/>
  <c r="X464" i="34"/>
  <c r="Q464" i="34"/>
  <c r="A468" i="34"/>
  <c r="R468" i="34"/>
  <c r="V468" i="34"/>
  <c r="AA468" i="34"/>
  <c r="P468" i="34"/>
  <c r="X468" i="34"/>
  <c r="Q468" i="34"/>
  <c r="A494" i="34"/>
  <c r="P494" i="34"/>
  <c r="X494" i="34"/>
  <c r="Q494" i="34"/>
  <c r="R494" i="34"/>
  <c r="V494" i="34"/>
  <c r="AA494" i="34"/>
  <c r="A874" i="34"/>
  <c r="AA874" i="34"/>
  <c r="P874" i="34"/>
  <c r="X874" i="34"/>
  <c r="Q874" i="34"/>
  <c r="R874" i="34"/>
  <c r="V874" i="34"/>
  <c r="A882" i="34"/>
  <c r="AA882" i="34"/>
  <c r="P882" i="34"/>
  <c r="X882" i="34"/>
  <c r="Q882" i="34"/>
  <c r="R882" i="34"/>
  <c r="V882" i="34"/>
  <c r="A1007" i="34"/>
  <c r="AA1007" i="34"/>
  <c r="P1007" i="34"/>
  <c r="X1007" i="34"/>
  <c r="Q1007" i="34"/>
  <c r="R1007" i="34"/>
  <c r="V1007" i="34"/>
  <c r="A1024" i="34"/>
  <c r="R1024" i="34"/>
  <c r="V1024" i="34"/>
  <c r="AA1024" i="34"/>
  <c r="P1024" i="34"/>
  <c r="X1024" i="34"/>
  <c r="Q1024" i="34"/>
  <c r="A692" i="34"/>
  <c r="R692" i="34"/>
  <c r="V692" i="34"/>
  <c r="S692" i="34"/>
  <c r="AA692" i="34"/>
  <c r="P692" i="34"/>
  <c r="T692" i="34"/>
  <c r="X692" i="34"/>
  <c r="Q692" i="34"/>
  <c r="U692" i="34"/>
  <c r="A696" i="34"/>
  <c r="R696" i="34"/>
  <c r="V696" i="34"/>
  <c r="S696" i="34"/>
  <c r="AA696" i="34"/>
  <c r="P696" i="34"/>
  <c r="T696" i="34"/>
  <c r="X696" i="34"/>
  <c r="Q696" i="34"/>
  <c r="U696" i="34"/>
  <c r="A313" i="34"/>
  <c r="P313" i="34"/>
  <c r="X313" i="34"/>
  <c r="Q313" i="34"/>
  <c r="R313" i="34"/>
  <c r="V313" i="34"/>
  <c r="AA313" i="34"/>
  <c r="A317" i="34"/>
  <c r="P317" i="34"/>
  <c r="X317" i="34"/>
  <c r="Q317" i="34"/>
  <c r="R317" i="34"/>
  <c r="V317" i="34"/>
  <c r="AA317" i="34"/>
  <c r="A321" i="34"/>
  <c r="R321" i="34"/>
  <c r="V321" i="34"/>
  <c r="AA321" i="34"/>
  <c r="P321" i="34"/>
  <c r="X321" i="34"/>
  <c r="Q321" i="34"/>
  <c r="A328" i="34"/>
  <c r="AA328" i="34"/>
  <c r="P328" i="34"/>
  <c r="X328" i="34"/>
  <c r="Q328" i="34"/>
  <c r="R328" i="34"/>
  <c r="V328" i="34"/>
  <c r="A334" i="34"/>
  <c r="AA334" i="34"/>
  <c r="P334" i="34"/>
  <c r="X334" i="34"/>
  <c r="Q334" i="34"/>
  <c r="R334" i="34"/>
  <c r="V334" i="34"/>
  <c r="A338" i="34"/>
  <c r="AA338" i="34"/>
  <c r="P338" i="34"/>
  <c r="X338" i="34"/>
  <c r="Q338" i="34"/>
  <c r="R338" i="34"/>
  <c r="V338" i="34"/>
  <c r="A431" i="34"/>
  <c r="P431" i="34"/>
  <c r="X431" i="34"/>
  <c r="Q431" i="34"/>
  <c r="R431" i="34"/>
  <c r="V431" i="34"/>
  <c r="AA431" i="34"/>
  <c r="A1041" i="34"/>
  <c r="Q1041" i="34"/>
  <c r="R1041" i="34"/>
  <c r="V1041" i="34"/>
  <c r="AA1041" i="34"/>
  <c r="P1041" i="34"/>
  <c r="X1041" i="34"/>
  <c r="A1048" i="34"/>
  <c r="R1048" i="34"/>
  <c r="V1048" i="34"/>
  <c r="AA1048" i="34"/>
  <c r="P1048" i="34"/>
  <c r="X1048" i="34"/>
  <c r="Q1048" i="34"/>
  <c r="A1059" i="34"/>
  <c r="AA1059" i="34"/>
  <c r="P1059" i="34"/>
  <c r="X1059" i="34"/>
  <c r="Q1059" i="34"/>
  <c r="R1059" i="34"/>
  <c r="V1059" i="34"/>
  <c r="A179" i="34"/>
  <c r="P179" i="34"/>
  <c r="X179" i="34"/>
  <c r="Q179" i="34"/>
  <c r="R179" i="34"/>
  <c r="V179" i="34"/>
  <c r="AA179" i="34"/>
  <c r="A181" i="34"/>
  <c r="P181" i="34"/>
  <c r="X181" i="34"/>
  <c r="Q181" i="34"/>
  <c r="R181" i="34"/>
  <c r="V181" i="34"/>
  <c r="AA181" i="34"/>
  <c r="A185" i="34"/>
  <c r="P185" i="34"/>
  <c r="X185" i="34"/>
  <c r="Q185" i="34"/>
  <c r="R185" i="34"/>
  <c r="V185" i="34"/>
  <c r="AA185" i="34"/>
  <c r="A192" i="34"/>
  <c r="Q192" i="34"/>
  <c r="R192" i="34"/>
  <c r="V192" i="34"/>
  <c r="AA192" i="34"/>
  <c r="P192" i="34"/>
  <c r="X192" i="34"/>
  <c r="A196" i="34"/>
  <c r="Q196" i="34"/>
  <c r="R196" i="34"/>
  <c r="V196" i="34"/>
  <c r="AA196" i="34"/>
  <c r="P196" i="34"/>
  <c r="X196" i="34"/>
  <c r="A214" i="34"/>
  <c r="R214" i="34"/>
  <c r="V214" i="34"/>
  <c r="Q214" i="34"/>
  <c r="AA214" i="34"/>
  <c r="X214" i="34"/>
  <c r="P214" i="34"/>
  <c r="A303" i="34"/>
  <c r="R303" i="34"/>
  <c r="V303" i="34"/>
  <c r="AA303" i="34"/>
  <c r="P303" i="34"/>
  <c r="X303" i="34"/>
  <c r="Q303" i="34"/>
  <c r="A307" i="34"/>
  <c r="R307" i="34"/>
  <c r="V307" i="34"/>
  <c r="AA307" i="34"/>
  <c r="P307" i="34"/>
  <c r="X307" i="34"/>
  <c r="Q307" i="34"/>
  <c r="A472" i="34"/>
  <c r="R472" i="34"/>
  <c r="V472" i="34"/>
  <c r="AA472" i="34"/>
  <c r="P472" i="34"/>
  <c r="X472" i="34"/>
  <c r="Q472" i="34"/>
  <c r="A476" i="34"/>
  <c r="R476" i="34"/>
  <c r="V476" i="34"/>
  <c r="AA476" i="34"/>
  <c r="P476" i="34"/>
  <c r="X476" i="34"/>
  <c r="Q476" i="34"/>
  <c r="A506" i="34"/>
  <c r="P506" i="34"/>
  <c r="X506" i="34"/>
  <c r="Q506" i="34"/>
  <c r="R506" i="34"/>
  <c r="V506" i="34"/>
  <c r="AA506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40" i="34"/>
  <c r="P540" i="34"/>
  <c r="X540" i="34"/>
  <c r="Q540" i="34"/>
  <c r="R540" i="34"/>
  <c r="V540" i="34"/>
  <c r="AA540" i="34"/>
  <c r="A544" i="34"/>
  <c r="P544" i="34"/>
  <c r="X544" i="34"/>
  <c r="Q544" i="34"/>
  <c r="R544" i="34"/>
  <c r="V544" i="34"/>
  <c r="AA544" i="34"/>
  <c r="A573" i="34"/>
  <c r="AA573" i="34"/>
  <c r="P573" i="34"/>
  <c r="X573" i="34"/>
  <c r="Q573" i="34"/>
  <c r="R573" i="34"/>
  <c r="V573" i="34"/>
  <c r="A595" i="34"/>
  <c r="R595" i="34"/>
  <c r="V595" i="34"/>
  <c r="AA595" i="34"/>
  <c r="P595" i="34"/>
  <c r="X595" i="34"/>
  <c r="Q595" i="34"/>
  <c r="A599" i="34"/>
  <c r="R599" i="34"/>
  <c r="V599" i="34"/>
  <c r="AA599" i="34"/>
  <c r="P599" i="34"/>
  <c r="X599" i="34"/>
  <c r="Q599" i="34"/>
  <c r="A614" i="34"/>
  <c r="AA614" i="34"/>
  <c r="P614" i="34"/>
  <c r="X614" i="34"/>
  <c r="Q614" i="34"/>
  <c r="R614" i="34"/>
  <c r="V614" i="34"/>
  <c r="A618" i="34"/>
  <c r="AA618" i="34"/>
  <c r="P618" i="34"/>
  <c r="X618" i="34"/>
  <c r="Q618" i="34"/>
  <c r="R618" i="34"/>
  <c r="V618" i="34"/>
  <c r="A622" i="34"/>
  <c r="AA622" i="34"/>
  <c r="P622" i="34"/>
  <c r="X622" i="34"/>
  <c r="Q622" i="34"/>
  <c r="R622" i="34"/>
  <c r="V622" i="34"/>
  <c r="A628" i="34"/>
  <c r="Q628" i="34"/>
  <c r="P628" i="34"/>
  <c r="X628" i="34"/>
  <c r="R628" i="34"/>
  <c r="V628" i="34"/>
  <c r="AA628" i="34"/>
  <c r="A632" i="34"/>
  <c r="P632" i="34"/>
  <c r="X632" i="34"/>
  <c r="R632" i="34"/>
  <c r="V632" i="34"/>
  <c r="AA632" i="34"/>
  <c r="Q632" i="34"/>
  <c r="A646" i="34"/>
  <c r="P646" i="34"/>
  <c r="X646" i="34"/>
  <c r="Q646" i="34"/>
  <c r="R646" i="34"/>
  <c r="V646" i="34"/>
  <c r="AA646" i="34"/>
  <c r="A650" i="34"/>
  <c r="P650" i="34"/>
  <c r="X650" i="34"/>
  <c r="Q650" i="34"/>
  <c r="R650" i="34"/>
  <c r="V650" i="34"/>
  <c r="AA650" i="34"/>
  <c r="A676" i="34"/>
  <c r="R676" i="34"/>
  <c r="V676" i="34"/>
  <c r="S676" i="34"/>
  <c r="AA676" i="34"/>
  <c r="P676" i="34"/>
  <c r="T676" i="34"/>
  <c r="X676" i="34"/>
  <c r="Q676" i="34"/>
  <c r="U676" i="34"/>
  <c r="A105" i="34"/>
  <c r="R105" i="34"/>
  <c r="V105" i="34"/>
  <c r="AA105" i="34"/>
  <c r="P105" i="34"/>
  <c r="X105" i="34"/>
  <c r="Q105" i="34"/>
  <c r="A111" i="34"/>
  <c r="P111" i="34"/>
  <c r="Q111" i="34"/>
  <c r="R111" i="34"/>
  <c r="V111" i="34"/>
  <c r="AA111" i="34"/>
  <c r="X111" i="34"/>
  <c r="A118" i="34"/>
  <c r="AA118" i="34"/>
  <c r="P118" i="34"/>
  <c r="X118" i="34"/>
  <c r="Q118" i="34"/>
  <c r="R118" i="34"/>
  <c r="V118" i="34"/>
  <c r="A122" i="34"/>
  <c r="AA122" i="34"/>
  <c r="P122" i="34"/>
  <c r="X122" i="34"/>
  <c r="Q122" i="34"/>
  <c r="R122" i="34"/>
  <c r="V122" i="34"/>
  <c r="A143" i="34"/>
  <c r="R143" i="34"/>
  <c r="V143" i="34"/>
  <c r="AA143" i="34"/>
  <c r="P143" i="34"/>
  <c r="X143" i="34"/>
  <c r="Q143" i="34"/>
  <c r="A147" i="34"/>
  <c r="R147" i="34"/>
  <c r="V147" i="34"/>
  <c r="AA147" i="34"/>
  <c r="P147" i="34"/>
  <c r="X147" i="34"/>
  <c r="Q147" i="34"/>
  <c r="A154" i="34"/>
  <c r="AA154" i="34"/>
  <c r="P154" i="34"/>
  <c r="X154" i="34"/>
  <c r="Q154" i="34"/>
  <c r="R154" i="34"/>
  <c r="V154" i="34"/>
  <c r="A158" i="34"/>
  <c r="AA158" i="34"/>
  <c r="P158" i="34"/>
  <c r="X158" i="34"/>
  <c r="Q158" i="34"/>
  <c r="R158" i="34"/>
  <c r="V158" i="34"/>
  <c r="A167" i="34"/>
  <c r="P167" i="34"/>
  <c r="X167" i="34"/>
  <c r="Q167" i="34"/>
  <c r="R167" i="34"/>
  <c r="V167" i="34"/>
  <c r="AA167" i="34"/>
  <c r="X1543" i="34"/>
  <c r="V1543" i="34"/>
  <c r="A1543" i="34"/>
  <c r="X1540" i="34"/>
  <c r="V1540" i="34"/>
  <c r="A1540" i="34"/>
  <c r="X1692" i="34"/>
  <c r="V1692" i="34"/>
  <c r="A1692" i="34"/>
  <c r="V1541" i="34"/>
  <c r="X1541" i="34"/>
  <c r="A1541" i="34"/>
  <c r="X1555" i="34"/>
  <c r="V1555" i="34"/>
  <c r="A1555" i="34"/>
  <c r="T1691" i="34"/>
  <c r="X1691" i="34"/>
  <c r="U1691" i="34"/>
  <c r="V1691" i="34"/>
  <c r="S1691" i="34"/>
  <c r="A1691" i="34"/>
  <c r="V1693" i="34"/>
  <c r="X1693" i="34"/>
  <c r="A1693" i="34"/>
  <c r="X1466" i="34"/>
  <c r="V1466" i="34"/>
  <c r="A1466" i="34"/>
  <c r="A1380" i="34"/>
  <c r="A1391" i="34"/>
  <c r="V1492" i="34"/>
  <c r="X1492" i="34"/>
  <c r="A1492" i="34"/>
  <c r="T1501" i="34"/>
  <c r="X1501" i="34"/>
  <c r="U1501" i="34"/>
  <c r="V1501" i="34"/>
  <c r="S1501" i="34"/>
  <c r="A1501" i="34"/>
  <c r="V1697" i="34"/>
  <c r="S1697" i="34"/>
  <c r="T1697" i="34"/>
  <c r="X1697" i="34"/>
  <c r="U1697" i="34"/>
  <c r="A1697" i="34"/>
  <c r="V1554" i="34"/>
  <c r="X1554" i="34"/>
  <c r="A1554" i="34"/>
  <c r="V1542" i="34"/>
  <c r="X1542" i="34"/>
  <c r="A1542" i="34"/>
  <c r="X1552" i="34"/>
  <c r="V1552" i="34"/>
  <c r="A1552" i="34"/>
  <c r="S1696" i="34"/>
  <c r="T1696" i="34"/>
  <c r="X1696" i="34"/>
  <c r="U1696" i="34"/>
  <c r="V1696" i="34"/>
  <c r="A1696" i="34"/>
  <c r="V1694" i="34"/>
  <c r="X1694" i="34"/>
  <c r="A1694" i="34"/>
  <c r="A1381" i="34"/>
  <c r="S1478" i="34"/>
  <c r="T1478" i="34"/>
  <c r="X1478" i="34"/>
  <c r="U1478" i="34"/>
  <c r="V1478" i="34"/>
  <c r="A1478" i="34"/>
  <c r="S1498" i="34"/>
  <c r="T1498" i="34"/>
  <c r="X1498" i="34"/>
  <c r="U1498" i="34"/>
  <c r="V1498" i="34"/>
  <c r="A1498" i="34"/>
  <c r="V1503" i="34"/>
  <c r="S1503" i="34"/>
  <c r="T1503" i="34"/>
  <c r="X1503" i="34"/>
  <c r="U1503" i="34"/>
  <c r="A1503" i="34"/>
  <c r="V1467" i="34"/>
  <c r="X1467" i="34"/>
  <c r="A1467" i="34"/>
  <c r="X1695" i="34"/>
  <c r="V1695" i="34"/>
  <c r="A1695" i="34"/>
  <c r="A1382" i="34"/>
  <c r="S1490" i="34"/>
  <c r="T1490" i="34"/>
  <c r="X1490" i="34"/>
  <c r="U1490" i="34"/>
  <c r="V1490" i="34"/>
  <c r="A1490" i="34"/>
  <c r="V1499" i="34"/>
  <c r="S1499" i="34"/>
  <c r="T1499" i="34"/>
  <c r="X1499" i="34"/>
  <c r="U1499" i="34"/>
  <c r="A1499" i="34"/>
  <c r="X1505" i="34"/>
  <c r="V1505" i="34"/>
  <c r="A1505" i="34"/>
  <c r="V1553" i="34"/>
  <c r="X1553" i="34"/>
  <c r="A1553" i="34"/>
  <c r="S1568" i="34"/>
  <c r="T1568" i="34"/>
  <c r="X1568" i="34"/>
  <c r="U1568" i="34"/>
  <c r="V1568" i="34"/>
  <c r="A1568" i="34"/>
  <c r="V1468" i="34"/>
  <c r="X1468" i="34"/>
  <c r="A1468" i="34"/>
  <c r="V1690" i="34"/>
  <c r="X1690" i="34"/>
  <c r="A1690" i="34"/>
  <c r="A1383" i="34"/>
  <c r="V1491" i="34"/>
  <c r="X1491" i="34"/>
  <c r="A1491" i="34"/>
  <c r="U1500" i="34"/>
  <c r="V1500" i="34"/>
  <c r="S1500" i="34"/>
  <c r="T1500" i="34"/>
  <c r="X1500" i="34"/>
  <c r="A1500" i="34"/>
  <c r="B57" i="34"/>
  <c r="B58" i="34"/>
  <c r="B86" i="34"/>
  <c r="B994" i="34"/>
  <c r="B482" i="34"/>
  <c r="A57" i="34" l="1"/>
  <c r="R57" i="34"/>
  <c r="V57" i="34"/>
  <c r="AA57" i="34"/>
  <c r="P57" i="34"/>
  <c r="X57" i="34"/>
  <c r="Q57" i="34"/>
  <c r="A482" i="34"/>
  <c r="P482" i="34"/>
  <c r="X482" i="34"/>
  <c r="Q482" i="34"/>
  <c r="R482" i="34"/>
  <c r="V482" i="34"/>
  <c r="AA482" i="34"/>
  <c r="A994" i="34"/>
  <c r="P994" i="34"/>
  <c r="X994" i="34"/>
  <c r="Q994" i="34"/>
  <c r="R994" i="34"/>
  <c r="V994" i="34"/>
  <c r="AA994" i="34"/>
  <c r="A86" i="34"/>
  <c r="Q86" i="34"/>
  <c r="R86" i="34"/>
  <c r="V86" i="34"/>
  <c r="AA86" i="34"/>
  <c r="P86" i="34"/>
  <c r="X86" i="34"/>
  <c r="A58" i="34"/>
  <c r="Q58" i="34"/>
  <c r="R58" i="34"/>
  <c r="V58" i="34"/>
  <c r="AA58" i="34"/>
  <c r="P58" i="34"/>
  <c r="X58" i="34"/>
  <c r="B1392" i="34"/>
  <c r="B1569" i="34"/>
  <c r="B1556" i="34"/>
  <c r="B1493" i="34"/>
  <c r="B1002" i="34"/>
  <c r="B1653" i="34"/>
  <c r="A1002" i="34" l="1"/>
  <c r="P1002" i="34"/>
  <c r="X1002" i="34"/>
  <c r="Q1002" i="34"/>
  <c r="R1002" i="34"/>
  <c r="V1002" i="34"/>
  <c r="AA1002" i="34"/>
  <c r="AA1392" i="34"/>
  <c r="P1392" i="34"/>
  <c r="X1392" i="34"/>
  <c r="Q1392" i="34"/>
  <c r="R1392" i="34"/>
  <c r="V1392" i="34"/>
  <c r="X1493" i="34"/>
  <c r="V1493" i="34"/>
  <c r="A1493" i="34"/>
  <c r="X1556" i="34"/>
  <c r="V1556" i="34"/>
  <c r="A1556" i="34"/>
  <c r="V1653" i="34"/>
  <c r="X1653" i="34"/>
  <c r="A1653" i="34"/>
  <c r="V1569" i="34"/>
  <c r="X1569" i="34"/>
  <c r="A1569" i="34"/>
  <c r="A1392" i="34"/>
  <c r="I18" i="54" l="1"/>
  <c r="B24" i="34"/>
  <c r="A24" i="34" l="1"/>
  <c r="AA24" i="34"/>
  <c r="P24" i="34"/>
  <c r="X24" i="34"/>
  <c r="Q24" i="34"/>
  <c r="R24" i="34"/>
  <c r="V24" i="34"/>
  <c r="N11" i="34"/>
  <c r="N12" i="34"/>
  <c r="N10" i="34"/>
  <c r="N5" i="77"/>
  <c r="O5" i="77" l="1"/>
  <c r="L5" i="75"/>
  <c r="M5" i="75"/>
  <c r="P5" i="74"/>
  <c r="O5" i="74"/>
  <c r="B1119" i="34" l="1"/>
  <c r="B922" i="34"/>
  <c r="B480" i="34"/>
  <c r="B481" i="34"/>
  <c r="A480" i="34" l="1"/>
  <c r="R480" i="34"/>
  <c r="V480" i="34"/>
  <c r="AA480" i="34"/>
  <c r="P480" i="34"/>
  <c r="X480" i="34"/>
  <c r="Q480" i="34"/>
  <c r="A922" i="34"/>
  <c r="Q922" i="34"/>
  <c r="R922" i="34"/>
  <c r="V922" i="34"/>
  <c r="AA922" i="34"/>
  <c r="P922" i="34"/>
  <c r="X922" i="34"/>
  <c r="A1119" i="34"/>
  <c r="Q1119" i="34"/>
  <c r="R1119" i="34"/>
  <c r="V1119" i="34"/>
  <c r="AA1119" i="34"/>
  <c r="P1119" i="34"/>
  <c r="X1119" i="34"/>
  <c r="A481" i="34"/>
  <c r="Q481" i="34"/>
  <c r="R481" i="34"/>
  <c r="V481" i="34"/>
  <c r="AA481" i="34"/>
  <c r="P481" i="34"/>
  <c r="X481" i="34"/>
  <c r="B97" i="34"/>
  <c r="B96" i="34"/>
  <c r="A97" i="34" l="1"/>
  <c r="R97" i="34"/>
  <c r="V97" i="34"/>
  <c r="AA97" i="34"/>
  <c r="P97" i="34"/>
  <c r="X97" i="34"/>
  <c r="Q97" i="34"/>
  <c r="A96" i="34"/>
  <c r="AA96" i="34"/>
  <c r="P96" i="34"/>
  <c r="X96" i="34"/>
  <c r="Q96" i="34"/>
  <c r="R96" i="34"/>
  <c r="V96" i="34"/>
  <c r="B176" i="34"/>
  <c r="B98" i="34"/>
  <c r="B14" i="55"/>
  <c r="A14" i="55" s="1"/>
  <c r="A98" i="34" l="1"/>
  <c r="Q98" i="34"/>
  <c r="R98" i="34"/>
  <c r="V98" i="34"/>
  <c r="AA98" i="34"/>
  <c r="P98" i="34"/>
  <c r="X98" i="34"/>
  <c r="A176" i="34"/>
  <c r="AA176" i="34"/>
  <c r="P176" i="34"/>
  <c r="X176" i="34"/>
  <c r="Q176" i="34"/>
  <c r="R176" i="34"/>
  <c r="V176" i="34"/>
  <c r="C35" i="15" l="1"/>
  <c r="C36" i="15" s="1"/>
  <c r="Q3" i="56" l="1"/>
  <c r="P3" i="56"/>
  <c r="S11" i="34" l="1"/>
  <c r="T11" i="34"/>
  <c r="U11" i="34"/>
  <c r="Y11" i="34"/>
  <c r="Z11" i="34"/>
  <c r="S12" i="34"/>
  <c r="T12" i="34"/>
  <c r="U12" i="34"/>
  <c r="Y12" i="34"/>
  <c r="Z12" i="34"/>
  <c r="B50" i="34" l="1"/>
  <c r="B49" i="34"/>
  <c r="A49" i="34" l="1"/>
  <c r="R49" i="34"/>
  <c r="V49" i="34"/>
  <c r="AA49" i="34"/>
  <c r="P49" i="34"/>
  <c r="X49" i="34"/>
  <c r="Q49" i="34"/>
  <c r="A50" i="34"/>
  <c r="Q50" i="34"/>
  <c r="R50" i="34"/>
  <c r="V50" i="34"/>
  <c r="AA50" i="34"/>
  <c r="P50" i="34"/>
  <c r="X50" i="34"/>
  <c r="T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AA1807" i="34"/>
  <c r="AA1698" i="34"/>
  <c r="AA1502" i="34"/>
  <c r="AA1809" i="34"/>
  <c r="AA2327" i="34"/>
  <c r="AA2329" i="34"/>
  <c r="AA1504" i="34"/>
  <c r="AA1521" i="34"/>
  <c r="AA1599" i="34"/>
  <c r="AA1635" i="34"/>
  <c r="AA1494" i="34"/>
  <c r="AA2670" i="34"/>
  <c r="AA1657" i="34"/>
  <c r="AA1570" i="34"/>
  <c r="AA1628" i="34"/>
  <c r="AA1658" i="34"/>
  <c r="AA1519" i="34"/>
  <c r="AA1575" i="34"/>
  <c r="AA1633" i="34"/>
  <c r="AA1654" i="34"/>
  <c r="AA1515" i="34"/>
  <c r="AA1663" i="34"/>
  <c r="AA1520" i="34"/>
  <c r="AA1634" i="34"/>
  <c r="AA1664" i="34"/>
  <c r="AA1517" i="34"/>
  <c r="AA1558" i="34"/>
  <c r="AA1631" i="34"/>
  <c r="AA1604" i="34"/>
  <c r="AA1495" i="34"/>
  <c r="AA1571" i="34"/>
  <c r="AA1629" i="34"/>
  <c r="AA1659" i="34"/>
  <c r="AA1516" i="34"/>
  <c r="AA1580" i="34"/>
  <c r="AA1630" i="34"/>
  <c r="AA1655" i="34"/>
  <c r="AA1660" i="34"/>
  <c r="AA1577" i="34"/>
  <c r="AA1607" i="34"/>
  <c r="AA1656" i="34"/>
  <c r="AA1665" i="34"/>
  <c r="AA1522" i="34"/>
  <c r="AA1578" i="34"/>
  <c r="AA1600" i="34"/>
  <c r="AA1636" i="34"/>
  <c r="AA1666" i="34"/>
  <c r="AA1605" i="34"/>
  <c r="AA1557" i="34"/>
  <c r="AA1576" i="34"/>
  <c r="AA1606" i="34"/>
  <c r="AA1937" i="34"/>
  <c r="AA1573" i="34"/>
  <c r="AA1603" i="34"/>
  <c r="AA1661" i="34"/>
  <c r="AA1518" i="34"/>
  <c r="AA1574" i="34"/>
  <c r="AA1632" i="34"/>
  <c r="AA1662" i="34"/>
  <c r="AA1523" i="34"/>
  <c r="AA1579" i="34"/>
  <c r="AA1601" i="34"/>
  <c r="AA1667" i="34"/>
  <c r="AA1572" i="34"/>
  <c r="AA1602" i="34"/>
  <c r="AA2638" i="34"/>
  <c r="AA1506" i="34"/>
  <c r="AA2637" i="34"/>
  <c r="AA2636" i="34"/>
  <c r="AA2199" i="34"/>
  <c r="AA2183" i="34"/>
  <c r="AA2080" i="34"/>
  <c r="AA2006" i="34"/>
  <c r="AA2275" i="34"/>
  <c r="AA2259" i="34"/>
  <c r="AA2172" i="34"/>
  <c r="AA2156" i="34"/>
  <c r="AA2058" i="34"/>
  <c r="AA1998" i="34"/>
  <c r="AA2747" i="34"/>
  <c r="AA2553" i="34"/>
  <c r="AA2569" i="34"/>
  <c r="AA2522" i="34"/>
  <c r="AA2538" i="34"/>
  <c r="AA2621" i="34"/>
  <c r="AA2679" i="34"/>
  <c r="AA2695" i="34"/>
  <c r="AA2440" i="34"/>
  <c r="AA2790" i="34"/>
  <c r="AA2457" i="34"/>
  <c r="AA2477" i="34"/>
  <c r="AA2493" i="34"/>
  <c r="AA2599" i="34"/>
  <c r="AA2514" i="34"/>
  <c r="AA2421" i="34"/>
  <c r="AA2653" i="34"/>
  <c r="AA2609" i="34"/>
  <c r="AA2506" i="34"/>
  <c r="AA2452" i="34"/>
  <c r="AA2432" i="34"/>
  <c r="AA2725" i="34"/>
  <c r="AA2067" i="34"/>
  <c r="AA2292" i="34"/>
  <c r="AA2198" i="34"/>
  <c r="AA2182" i="34"/>
  <c r="AA2075" i="34"/>
  <c r="AA2013" i="34"/>
  <c r="AA2286" i="34"/>
  <c r="AA2270" i="34"/>
  <c r="AA2163" i="34"/>
  <c r="AA2049" i="34"/>
  <c r="AA1989" i="34"/>
  <c r="AA2550" i="34"/>
  <c r="AA2566" i="34"/>
  <c r="AA2631" i="34"/>
  <c r="AA2531" i="34"/>
  <c r="AA2618" i="34"/>
  <c r="AA2684" i="34"/>
  <c r="AA2700" i="34"/>
  <c r="AA2478" i="34"/>
  <c r="AA2494" i="34"/>
  <c r="AA2592" i="34"/>
  <c r="AA2462" i="34"/>
  <c r="AA2656" i="34"/>
  <c r="AA2640" i="34"/>
  <c r="AA2451" i="34"/>
  <c r="AA2435" i="34"/>
  <c r="AA2732" i="34"/>
  <c r="AA2716" i="34"/>
  <c r="AA2189" i="34"/>
  <c r="AA2070" i="34"/>
  <c r="AA2004" i="34"/>
  <c r="AA2400" i="34"/>
  <c r="AA2347" i="34"/>
  <c r="AA2281" i="34"/>
  <c r="AA2265" i="34"/>
  <c r="AA2158" i="34"/>
  <c r="AA2052" i="34"/>
  <c r="AA1992" i="34"/>
  <c r="AA2745" i="34"/>
  <c r="AA2463" i="34"/>
  <c r="AA2559" i="34"/>
  <c r="AA2575" i="34"/>
  <c r="AA2520" i="34"/>
  <c r="AA2536" i="34"/>
  <c r="AA2611" i="34"/>
  <c r="AA2715" i="34"/>
  <c r="AA2668" i="34"/>
  <c r="AA2677" i="34"/>
  <c r="AA2693" i="34"/>
  <c r="AA2709" i="34"/>
  <c r="AA2411" i="34"/>
  <c r="AA2420" i="34"/>
  <c r="AA2475" i="34"/>
  <c r="AA2491" i="34"/>
  <c r="AA2589" i="34"/>
  <c r="AA2655" i="34"/>
  <c r="AA2639" i="34"/>
  <c r="AA2500" i="34"/>
  <c r="AA2434" i="34"/>
  <c r="AA2727" i="34"/>
  <c r="AA2196" i="34"/>
  <c r="AA2180" i="34"/>
  <c r="AA2081" i="34"/>
  <c r="AA2065" i="34"/>
  <c r="AA2015" i="34"/>
  <c r="AA2346" i="34"/>
  <c r="AA2272" i="34"/>
  <c r="AA2173" i="34"/>
  <c r="AA2157" i="34"/>
  <c r="AA2051" i="34"/>
  <c r="AA1991" i="34"/>
  <c r="AA2422" i="34"/>
  <c r="AA2556" i="34"/>
  <c r="AA2572" i="34"/>
  <c r="AA2521" i="34"/>
  <c r="AA2537" i="34"/>
  <c r="AA2712" i="34"/>
  <c r="AA2726" i="34"/>
  <c r="AA2669" i="34"/>
  <c r="AA2682" i="34"/>
  <c r="AA2698" i="34"/>
  <c r="AA2464" i="34"/>
  <c r="AA2480" i="34"/>
  <c r="AA2496" i="34"/>
  <c r="AA2511" i="34"/>
  <c r="AA2662" i="34"/>
  <c r="AA2642" i="34"/>
  <c r="AA2437" i="34"/>
  <c r="AA2416" i="34"/>
  <c r="AA2718" i="34"/>
  <c r="AA2289" i="34"/>
  <c r="AA2203" i="34"/>
  <c r="AA2187" i="34"/>
  <c r="AA2068" i="34"/>
  <c r="AA2010" i="34"/>
  <c r="AA2398" i="34"/>
  <c r="AA2279" i="34"/>
  <c r="AA2263" i="34"/>
  <c r="AA2176" i="34"/>
  <c r="AA2160" i="34"/>
  <c r="AA2062" i="34"/>
  <c r="AA2002" i="34"/>
  <c r="AA2743" i="34"/>
  <c r="AA2549" i="34"/>
  <c r="AA2565" i="34"/>
  <c r="AA2634" i="34"/>
  <c r="AA2534" i="34"/>
  <c r="AA2584" i="34"/>
  <c r="AA2617" i="34"/>
  <c r="AA2602" i="34"/>
  <c r="AA2675" i="34"/>
  <c r="AA2691" i="34"/>
  <c r="AA2707" i="34"/>
  <c r="AA2418" i="34"/>
  <c r="AA2473" i="34"/>
  <c r="AA2489" i="34"/>
  <c r="AA2595" i="34"/>
  <c r="AA2518" i="34"/>
  <c r="AA2657" i="34"/>
  <c r="AA2641" i="34"/>
  <c r="AA2510" i="34"/>
  <c r="AA2436" i="34"/>
  <c r="AA2415" i="34"/>
  <c r="AA2729" i="34"/>
  <c r="AA2296" i="34"/>
  <c r="AA2202" i="34"/>
  <c r="AA2186" i="34"/>
  <c r="AA2079" i="34"/>
  <c r="AA2017" i="34"/>
  <c r="AA2274" i="34"/>
  <c r="AA2258" i="34"/>
  <c r="AA2167" i="34"/>
  <c r="AA2151" i="34"/>
  <c r="AA2053" i="34"/>
  <c r="AA1993" i="34"/>
  <c r="AA2748" i="34"/>
  <c r="AA2546" i="34"/>
  <c r="AA2562" i="34"/>
  <c r="AA2578" i="34"/>
  <c r="AA2627" i="34"/>
  <c r="AA2527" i="34"/>
  <c r="AA2543" i="34"/>
  <c r="AA2614" i="34"/>
  <c r="AA2654" i="34"/>
  <c r="AA2680" i="34"/>
  <c r="AA2696" i="34"/>
  <c r="AA2474" i="34"/>
  <c r="AA2490" i="34"/>
  <c r="AA2660" i="34"/>
  <c r="AA2644" i="34"/>
  <c r="AA2501" i="34"/>
  <c r="AA2439" i="34"/>
  <c r="AA2736" i="34"/>
  <c r="AA2720" i="34"/>
  <c r="AA2166" i="34"/>
  <c r="AA2287" i="34"/>
  <c r="AA2193" i="34"/>
  <c r="AA2074" i="34"/>
  <c r="AA2008" i="34"/>
  <c r="AA2285" i="34"/>
  <c r="AA2269" i="34"/>
  <c r="AA2162" i="34"/>
  <c r="AA2056" i="34"/>
  <c r="AA1996" i="34"/>
  <c r="AA2741" i="34"/>
  <c r="AA2555" i="34"/>
  <c r="AA2571" i="34"/>
  <c r="AA2586" i="34"/>
  <c r="AA2632" i="34"/>
  <c r="AA2532" i="34"/>
  <c r="AA2711" i="34"/>
  <c r="AA2673" i="34"/>
  <c r="AA2689" i="34"/>
  <c r="AA2705" i="34"/>
  <c r="AA2442" i="34"/>
  <c r="AA2455" i="34"/>
  <c r="AA2792" i="34"/>
  <c r="AA2471" i="34"/>
  <c r="AA2487" i="34"/>
  <c r="AA2601" i="34"/>
  <c r="AA2512" i="34"/>
  <c r="AA2659" i="34"/>
  <c r="AA2643" i="34"/>
  <c r="AA2504" i="34"/>
  <c r="AA2438" i="34"/>
  <c r="AA2731" i="34"/>
  <c r="AA2200" i="34"/>
  <c r="AA2184" i="34"/>
  <c r="AA2069" i="34"/>
  <c r="AA2003" i="34"/>
  <c r="AA2276" i="34"/>
  <c r="AA2260" i="34"/>
  <c r="AA2177" i="34"/>
  <c r="AA2161" i="34"/>
  <c r="AA2055" i="34"/>
  <c r="AA1995" i="34"/>
  <c r="AA2746" i="34"/>
  <c r="AA2552" i="34"/>
  <c r="AA2568" i="34"/>
  <c r="AA2587" i="34"/>
  <c r="AA2633" i="34"/>
  <c r="AA2533" i="34"/>
  <c r="AA2620" i="34"/>
  <c r="AA2678" i="34"/>
  <c r="AA2694" i="34"/>
  <c r="AA2710" i="34"/>
  <c r="AA2433" i="34"/>
  <c r="AA2456" i="34"/>
  <c r="AA2476" i="34"/>
  <c r="AA2492" i="34"/>
  <c r="AA2598" i="34"/>
  <c r="AA2515" i="34"/>
  <c r="AA2666" i="34"/>
  <c r="AA2646" i="34"/>
  <c r="AA2499" i="34"/>
  <c r="AA2445" i="34"/>
  <c r="AA2722" i="34"/>
  <c r="AA2293" i="34"/>
  <c r="AA2191" i="34"/>
  <c r="AA2072" i="34"/>
  <c r="AA2014" i="34"/>
  <c r="AA2402" i="34"/>
  <c r="AA2283" i="34"/>
  <c r="AA2267" i="34"/>
  <c r="AA2164" i="34"/>
  <c r="AA2050" i="34"/>
  <c r="AA1990" i="34"/>
  <c r="AA2739" i="34"/>
  <c r="AA2545" i="34"/>
  <c r="AA2561" i="34"/>
  <c r="AA2577" i="34"/>
  <c r="AA2630" i="34"/>
  <c r="AA2530" i="34"/>
  <c r="AA2613" i="34"/>
  <c r="AA2671" i="34"/>
  <c r="AA2687" i="34"/>
  <c r="AA2703" i="34"/>
  <c r="AA2410" i="34"/>
  <c r="AA2453" i="34"/>
  <c r="AA2469" i="34"/>
  <c r="AA2485" i="34"/>
  <c r="AA2581" i="34"/>
  <c r="AA2591" i="34"/>
  <c r="AA2661" i="34"/>
  <c r="AA2645" i="34"/>
  <c r="AA2444" i="34"/>
  <c r="AA2733" i="34"/>
  <c r="AA2717" i="34"/>
  <c r="AA2190" i="34"/>
  <c r="AA2005" i="34"/>
  <c r="AA2344" i="34"/>
  <c r="AA2278" i="34"/>
  <c r="AA2262" i="34"/>
  <c r="AA2171" i="34"/>
  <c r="AA2155" i="34"/>
  <c r="AA2057" i="34"/>
  <c r="AA1997" i="34"/>
  <c r="AA2744" i="34"/>
  <c r="AA2558" i="34"/>
  <c r="AA2574" i="34"/>
  <c r="AA2623" i="34"/>
  <c r="AA2749" i="34"/>
  <c r="AA2523" i="34"/>
  <c r="AA2539" i="34"/>
  <c r="AA2714" i="34"/>
  <c r="AA2676" i="34"/>
  <c r="AA2692" i="34"/>
  <c r="AA2708" i="34"/>
  <c r="AA2441" i="34"/>
  <c r="AA2454" i="34"/>
  <c r="AA2419" i="34"/>
  <c r="AA2470" i="34"/>
  <c r="AA2486" i="34"/>
  <c r="AA2582" i="34"/>
  <c r="AA2600" i="34"/>
  <c r="AA2513" i="34"/>
  <c r="AA2664" i="34"/>
  <c r="AA2648" i="34"/>
  <c r="AA2604" i="34"/>
  <c r="AA2505" i="34"/>
  <c r="AA2460" i="34"/>
  <c r="AA2443" i="34"/>
  <c r="AA2427" i="34"/>
  <c r="AA2724" i="34"/>
  <c r="AA2291" i="34"/>
  <c r="AA2197" i="34"/>
  <c r="AA2181" i="34"/>
  <c r="AA2078" i="34"/>
  <c r="AA2012" i="34"/>
  <c r="AA2273" i="34"/>
  <c r="AA2257" i="34"/>
  <c r="AA2170" i="34"/>
  <c r="AA2060" i="34"/>
  <c r="AA2000" i="34"/>
  <c r="AA2551" i="34"/>
  <c r="AA2567" i="34"/>
  <c r="AA2628" i="34"/>
  <c r="AA2528" i="34"/>
  <c r="AA2544" i="34"/>
  <c r="AA2619" i="34"/>
  <c r="AA2685" i="34"/>
  <c r="AA2701" i="34"/>
  <c r="AA2467" i="34"/>
  <c r="AA2483" i="34"/>
  <c r="AA2579" i="34"/>
  <c r="AA2597" i="34"/>
  <c r="AA2516" i="34"/>
  <c r="AA2663" i="34"/>
  <c r="AA2647" i="34"/>
  <c r="AA2603" i="34"/>
  <c r="AA2508" i="34"/>
  <c r="AA2459" i="34"/>
  <c r="AA2446" i="34"/>
  <c r="AA2426" i="34"/>
  <c r="AA2413" i="34"/>
  <c r="AA2735" i="34"/>
  <c r="AA2719" i="34"/>
  <c r="AA2290" i="34"/>
  <c r="AA2204" i="34"/>
  <c r="AA2188" i="34"/>
  <c r="AA2073" i="34"/>
  <c r="AA2007" i="34"/>
  <c r="AA2399" i="34"/>
  <c r="AA2280" i="34"/>
  <c r="AA2264" i="34"/>
  <c r="AA2165" i="34"/>
  <c r="AA2059" i="34"/>
  <c r="AA1999" i="34"/>
  <c r="AA2742" i="34"/>
  <c r="AA2548" i="34"/>
  <c r="AA2564" i="34"/>
  <c r="AA2629" i="34"/>
  <c r="AA2529" i="34"/>
  <c r="AA2616" i="34"/>
  <c r="AA2674" i="34"/>
  <c r="AA2690" i="34"/>
  <c r="AA2706" i="34"/>
  <c r="AA2425" i="34"/>
  <c r="AA2472" i="34"/>
  <c r="AA2488" i="34"/>
  <c r="AA2594" i="34"/>
  <c r="AA2519" i="34"/>
  <c r="AA2650" i="34"/>
  <c r="AA2606" i="34"/>
  <c r="AA2503" i="34"/>
  <c r="AA2458" i="34"/>
  <c r="AA2449" i="34"/>
  <c r="AA2730" i="34"/>
  <c r="AA2297" i="34"/>
  <c r="AA2195" i="34"/>
  <c r="AA2179" i="34"/>
  <c r="AA2076" i="34"/>
  <c r="AA2018" i="34"/>
  <c r="AA2345" i="34"/>
  <c r="AA1946" i="34"/>
  <c r="AA2271" i="34"/>
  <c r="AA2168" i="34"/>
  <c r="AA2152" i="34"/>
  <c r="AA2054" i="34"/>
  <c r="AA1994" i="34"/>
  <c r="AA2557" i="34"/>
  <c r="AA2573" i="34"/>
  <c r="AA2588" i="34"/>
  <c r="AA2626" i="34"/>
  <c r="AA2526" i="34"/>
  <c r="AA2542" i="34"/>
  <c r="AA2713" i="34"/>
  <c r="AA2683" i="34"/>
  <c r="AA2699" i="34"/>
  <c r="AA2465" i="34"/>
  <c r="AA2481" i="34"/>
  <c r="AA2497" i="34"/>
  <c r="AA2665" i="34"/>
  <c r="AA2649" i="34"/>
  <c r="AA2605" i="34"/>
  <c r="AA2502" i="34"/>
  <c r="AA2461" i="34"/>
  <c r="AA2448" i="34"/>
  <c r="AA2428" i="34"/>
  <c r="AA2737" i="34"/>
  <c r="AA2721" i="34"/>
  <c r="AA2288" i="34"/>
  <c r="AA2194" i="34"/>
  <c r="AA2178" i="34"/>
  <c r="AA2071" i="34"/>
  <c r="AA2009" i="34"/>
  <c r="AA2401" i="34"/>
  <c r="AA2348" i="34"/>
  <c r="AA2282" i="34"/>
  <c r="AA2266" i="34"/>
  <c r="AA2175" i="34"/>
  <c r="AA2159" i="34"/>
  <c r="AA2061" i="34"/>
  <c r="AA2001" i="34"/>
  <c r="AA2740" i="34"/>
  <c r="AA2554" i="34"/>
  <c r="AA2570" i="34"/>
  <c r="AA2535" i="34"/>
  <c r="AA2585" i="34"/>
  <c r="AA2622" i="34"/>
  <c r="AA2672" i="34"/>
  <c r="AA2688" i="34"/>
  <c r="AA2704" i="34"/>
  <c r="AA2409" i="34"/>
  <c r="AA2423" i="34"/>
  <c r="AA2791" i="34"/>
  <c r="AA2466" i="34"/>
  <c r="AA2482" i="34"/>
  <c r="AA2498" i="34"/>
  <c r="AA2596" i="34"/>
  <c r="AA2517" i="34"/>
  <c r="AA2652" i="34"/>
  <c r="AA2608" i="34"/>
  <c r="AA2509" i="34"/>
  <c r="AA2447" i="34"/>
  <c r="AA2431" i="34"/>
  <c r="AA2414" i="34"/>
  <c r="AA2728" i="34"/>
  <c r="AA2295" i="34"/>
  <c r="AA2201" i="34"/>
  <c r="AA2185" i="34"/>
  <c r="AA2082" i="34"/>
  <c r="AA2066" i="34"/>
  <c r="AA2016" i="34"/>
  <c r="AA2343" i="34"/>
  <c r="AA2277" i="34"/>
  <c r="AA2261" i="34"/>
  <c r="AA2174" i="34"/>
  <c r="AA2154" i="34"/>
  <c r="AA2064" i="34"/>
  <c r="AA2048" i="34"/>
  <c r="AA1988" i="34"/>
  <c r="AA2547" i="34"/>
  <c r="AA2563" i="34"/>
  <c r="AA2624" i="34"/>
  <c r="AA2524" i="34"/>
  <c r="AA2540" i="34"/>
  <c r="AA2615" i="34"/>
  <c r="AA2681" i="34"/>
  <c r="AA2697" i="34"/>
  <c r="AA2424" i="34"/>
  <c r="AA2479" i="34"/>
  <c r="AA2495" i="34"/>
  <c r="AA2593" i="34"/>
  <c r="AA2667" i="34"/>
  <c r="AA2651" i="34"/>
  <c r="AA2607" i="34"/>
  <c r="AA2450" i="34"/>
  <c r="AA2430" i="34"/>
  <c r="AA2723" i="34"/>
  <c r="AA1987" i="34"/>
  <c r="AA2294" i="34"/>
  <c r="AA2192" i="34"/>
  <c r="AA2077" i="34"/>
  <c r="AA2011" i="34"/>
  <c r="AA2342" i="34"/>
  <c r="AA2284" i="34"/>
  <c r="AA2268" i="34"/>
  <c r="AA2169" i="34"/>
  <c r="AA2153" i="34"/>
  <c r="AA2063" i="34"/>
  <c r="AA2047" i="34"/>
  <c r="AA2734" i="34"/>
  <c r="AA2560" i="34"/>
  <c r="AA2576" i="34"/>
  <c r="AA2625" i="34"/>
  <c r="AA2525" i="34"/>
  <c r="AA2541" i="34"/>
  <c r="AA2583" i="34"/>
  <c r="AA2612" i="34"/>
  <c r="AA2686" i="34"/>
  <c r="AA2702" i="34"/>
  <c r="AA2417" i="34"/>
  <c r="AA2635" i="34"/>
  <c r="AA2468" i="34"/>
  <c r="AA2484" i="34"/>
  <c r="AA2580" i="34"/>
  <c r="AA2590" i="34"/>
  <c r="AA2658" i="34"/>
  <c r="AA2610" i="34"/>
  <c r="AA2507" i="34"/>
  <c r="AA2429" i="34"/>
  <c r="AA2412" i="34"/>
  <c r="AA2738" i="34"/>
  <c r="AA1828" i="34"/>
  <c r="AA1829" i="34"/>
  <c r="AA1862" i="34"/>
  <c r="AA1896" i="34"/>
  <c r="AA1891" i="34"/>
  <c r="AA1895" i="34"/>
  <c r="AA1892" i="34"/>
  <c r="AA1866" i="34"/>
  <c r="AA1864" i="34"/>
  <c r="AA1894" i="34"/>
  <c r="AA1863" i="34"/>
  <c r="AA1868" i="34"/>
  <c r="AA1826" i="34"/>
  <c r="AA1893" i="34"/>
  <c r="AA2788" i="34"/>
  <c r="AA1867" i="34"/>
  <c r="AA1865" i="34"/>
  <c r="AA1870" i="34"/>
  <c r="AA1928" i="34"/>
  <c r="AA1860" i="34"/>
  <c r="AA2377" i="34"/>
  <c r="AA1827" i="34"/>
  <c r="AA2114" i="34"/>
  <c r="AA2115" i="34"/>
  <c r="AA2227" i="34"/>
  <c r="AA2243" i="34"/>
  <c r="AA2338" i="34"/>
  <c r="AA1940" i="34"/>
  <c r="AA1960" i="34"/>
  <c r="AA2027" i="34"/>
  <c r="AA2097" i="34"/>
  <c r="AA1872" i="34"/>
  <c r="AA1853" i="34"/>
  <c r="AA2364" i="34"/>
  <c r="AA2373" i="34"/>
  <c r="AA2388" i="34"/>
  <c r="AA1813" i="34"/>
  <c r="AA1932" i="34"/>
  <c r="AA1825" i="34"/>
  <c r="AA1898" i="34"/>
  <c r="AA1719" i="34"/>
  <c r="AA1737" i="34"/>
  <c r="AA1731" i="34"/>
  <c r="AA1742" i="34"/>
  <c r="AA1777" i="34"/>
  <c r="AA1750" i="34"/>
  <c r="AA1831" i="34"/>
  <c r="AA1781" i="34"/>
  <c r="AA1837" i="34"/>
  <c r="AA1459" i="34"/>
  <c r="AA1465" i="34"/>
  <c r="AA1536" i="34"/>
  <c r="AA1595" i="34"/>
  <c r="AA1597" i="34"/>
  <c r="AA1683" i="34"/>
  <c r="AA1685" i="34"/>
  <c r="AA2135" i="34"/>
  <c r="AA2128" i="34"/>
  <c r="AA2228" i="34"/>
  <c r="AA2244" i="34"/>
  <c r="AA2392" i="34"/>
  <c r="AA1953" i="34"/>
  <c r="AA2098" i="34"/>
  <c r="AA1873" i="34"/>
  <c r="AA1900" i="34"/>
  <c r="AA1796" i="34"/>
  <c r="AA1850" i="34"/>
  <c r="AA1908" i="34"/>
  <c r="AA1921" i="34"/>
  <c r="AA2325" i="34"/>
  <c r="AA1984" i="34"/>
  <c r="AA2029" i="34"/>
  <c r="AA1926" i="34"/>
  <c r="AA1769" i="34"/>
  <c r="AA1818" i="34"/>
  <c r="AA1720" i="34"/>
  <c r="AA1732" i="34"/>
  <c r="AA1739" i="34"/>
  <c r="AA1770" i="34"/>
  <c r="AA1790" i="34"/>
  <c r="AA2117" i="34"/>
  <c r="AA2137" i="34"/>
  <c r="AA2237" i="34"/>
  <c r="AA2253" i="34"/>
  <c r="AA2340" i="34"/>
  <c r="AA2397" i="34"/>
  <c r="AA1958" i="34"/>
  <c r="AA2021" i="34"/>
  <c r="AA2099" i="34"/>
  <c r="AA1793" i="34"/>
  <c r="AA1847" i="34"/>
  <c r="AA2362" i="34"/>
  <c r="AA2386" i="34"/>
  <c r="AA1977" i="34"/>
  <c r="AA2038" i="34"/>
  <c r="AA1715" i="34"/>
  <c r="AA1823" i="34"/>
  <c r="AA1869" i="34"/>
  <c r="AA1704" i="34"/>
  <c r="AA1721" i="34"/>
  <c r="AA1775" i="34"/>
  <c r="AA1756" i="34"/>
  <c r="AA1747" i="34"/>
  <c r="AA1835" i="34"/>
  <c r="AA1497" i="34"/>
  <c r="AA1539" i="34"/>
  <c r="AA1646" i="34"/>
  <c r="AA1648" i="34"/>
  <c r="AA2230" i="34"/>
  <c r="AA2246" i="34"/>
  <c r="AA1936" i="34"/>
  <c r="AA1943" i="34"/>
  <c r="AA1963" i="34"/>
  <c r="AA2092" i="34"/>
  <c r="AA2108" i="34"/>
  <c r="AA1875" i="34"/>
  <c r="AA1902" i="34"/>
  <c r="AA1711" i="34"/>
  <c r="AA1798" i="34"/>
  <c r="AA1889" i="34"/>
  <c r="AA1910" i="34"/>
  <c r="AA2379" i="34"/>
  <c r="AA1978" i="34"/>
  <c r="AA2031" i="34"/>
  <c r="AA1712" i="34"/>
  <c r="AA1734" i="34"/>
  <c r="AA1784" i="34"/>
  <c r="AA1840" i="34"/>
  <c r="AA2046" i="34"/>
  <c r="AA2139" i="34"/>
  <c r="AA2239" i="34"/>
  <c r="AA2255" i="34"/>
  <c r="AA2334" i="34"/>
  <c r="AA2395" i="34"/>
  <c r="AA1956" i="34"/>
  <c r="AA2023" i="34"/>
  <c r="AA2093" i="34"/>
  <c r="AA2109" i="34"/>
  <c r="AA1907" i="34"/>
  <c r="AA1803" i="34"/>
  <c r="AA1849" i="34"/>
  <c r="AA1890" i="34"/>
  <c r="AA1915" i="34"/>
  <c r="AA2384" i="34"/>
  <c r="AA1975" i="34"/>
  <c r="AA2036" i="34"/>
  <c r="AA1713" i="34"/>
  <c r="AA1808" i="34"/>
  <c r="AA1925" i="34"/>
  <c r="AA1768" i="34"/>
  <c r="AA1821" i="34"/>
  <c r="AA1727" i="34"/>
  <c r="AA1773" i="34"/>
  <c r="AA1833" i="34"/>
  <c r="AA1534" i="34"/>
  <c r="AA1620" i="34"/>
  <c r="AA1626" i="34"/>
  <c r="AA1647" i="34"/>
  <c r="AA1649" i="34"/>
  <c r="AA2138" i="34"/>
  <c r="AA2044" i="34"/>
  <c r="AA2127" i="34"/>
  <c r="AA2045" i="34"/>
  <c r="AA2124" i="34"/>
  <c r="AA2140" i="34"/>
  <c r="AA2240" i="34"/>
  <c r="AA2256" i="34"/>
  <c r="AA2339" i="34"/>
  <c r="AA1945" i="34"/>
  <c r="AA1965" i="34"/>
  <c r="AA2024" i="34"/>
  <c r="AA2094" i="34"/>
  <c r="AA2110" i="34"/>
  <c r="AA1792" i="34"/>
  <c r="AA1846" i="34"/>
  <c r="AA1949" i="34"/>
  <c r="AA2331" i="34"/>
  <c r="AA2389" i="34"/>
  <c r="AA1976" i="34"/>
  <c r="AA1980" i="34"/>
  <c r="AA1765" i="34"/>
  <c r="AA1861" i="34"/>
  <c r="AA1728" i="34"/>
  <c r="AA1786" i="34"/>
  <c r="AA1842" i="34"/>
  <c r="AA2133" i="34"/>
  <c r="AA2233" i="34"/>
  <c r="AA2249" i="34"/>
  <c r="AA1935" i="34"/>
  <c r="AA2336" i="34"/>
  <c r="AA1954" i="34"/>
  <c r="AA2095" i="34"/>
  <c r="AA2111" i="34"/>
  <c r="AA1878" i="34"/>
  <c r="AA1859" i="34"/>
  <c r="AA1968" i="34"/>
  <c r="AA2358" i="34"/>
  <c r="AA2375" i="34"/>
  <c r="AA2382" i="34"/>
  <c r="AA1973" i="34"/>
  <c r="AA1985" i="34"/>
  <c r="AA2034" i="34"/>
  <c r="AA1927" i="34"/>
  <c r="AA1707" i="34"/>
  <c r="AA1805" i="34"/>
  <c r="AA1811" i="34"/>
  <c r="AA1766" i="34"/>
  <c r="AA1819" i="34"/>
  <c r="AA1916" i="34"/>
  <c r="AA1733" i="34"/>
  <c r="AA1744" i="34"/>
  <c r="AA1771" i="34"/>
  <c r="AA1752" i="34"/>
  <c r="AA1791" i="34"/>
  <c r="AA1460" i="34"/>
  <c r="AA1462" i="34"/>
  <c r="AA1590" i="34"/>
  <c r="AA1592" i="34"/>
  <c r="AA1598" i="34"/>
  <c r="AA1623" i="34"/>
  <c r="AA1625" i="34"/>
  <c r="AA1680" i="34"/>
  <c r="AA1686" i="34"/>
  <c r="AA1688" i="34"/>
  <c r="AA2042" i="34"/>
  <c r="AA2226" i="34"/>
  <c r="AA2242" i="34"/>
  <c r="AA2341" i="34"/>
  <c r="AA1939" i="34"/>
  <c r="AA1959" i="34"/>
  <c r="AA2026" i="34"/>
  <c r="AA2088" i="34"/>
  <c r="AA2104" i="34"/>
  <c r="AA1871" i="34"/>
  <c r="AA1794" i="34"/>
  <c r="AA1856" i="34"/>
  <c r="AA1885" i="34"/>
  <c r="AA2113" i="34"/>
  <c r="AA2328" i="34"/>
  <c r="AA1974" i="34"/>
  <c r="AA1929" i="34"/>
  <c r="AA2789" i="34"/>
  <c r="AA1716" i="34"/>
  <c r="AA1806" i="34"/>
  <c r="AA1924" i="34"/>
  <c r="AA1767" i="34"/>
  <c r="AA1824" i="34"/>
  <c r="AA1917" i="34"/>
  <c r="AA1718" i="34"/>
  <c r="AA1730" i="34"/>
  <c r="AA1745" i="34"/>
  <c r="AA1776" i="34"/>
  <c r="AA1753" i="34"/>
  <c r="AA1830" i="34"/>
  <c r="AA1780" i="34"/>
  <c r="AA1836" i="34"/>
  <c r="AA2131" i="34"/>
  <c r="AA2235" i="34"/>
  <c r="AA2251" i="34"/>
  <c r="AA2391" i="34"/>
  <c r="AA1952" i="34"/>
  <c r="AA2019" i="34"/>
  <c r="AA2089" i="34"/>
  <c r="AA2105" i="34"/>
  <c r="AA1843" i="34"/>
  <c r="AA1880" i="34"/>
  <c r="AA1903" i="34"/>
  <c r="AA1799" i="34"/>
  <c r="AA1886" i="34"/>
  <c r="AA1911" i="34"/>
  <c r="AA2380" i="34"/>
  <c r="AA1971" i="34"/>
  <c r="AA1983" i="34"/>
  <c r="AA2032" i="34"/>
  <c r="AA1705" i="34"/>
  <c r="AA1764" i="34"/>
  <c r="AA1817" i="34"/>
  <c r="AA1723" i="34"/>
  <c r="AA1789" i="34"/>
  <c r="AA1461" i="34"/>
  <c r="AA1463" i="34"/>
  <c r="AA1538" i="34"/>
  <c r="AA1591" i="34"/>
  <c r="AA1593" i="34"/>
  <c r="AA1679" i="34"/>
  <c r="AA1681" i="34"/>
  <c r="AA1687" i="34"/>
  <c r="AA1689" i="34"/>
  <c r="AA2121" i="34"/>
  <c r="AA2130" i="34"/>
  <c r="AA2119" i="34"/>
  <c r="AA2041" i="34"/>
  <c r="AA2120" i="34"/>
  <c r="AA2136" i="34"/>
  <c r="AA2236" i="34"/>
  <c r="AA2252" i="34"/>
  <c r="AA2335" i="34"/>
  <c r="AA1941" i="34"/>
  <c r="AA1961" i="34"/>
  <c r="AA2020" i="34"/>
  <c r="AA2090" i="34"/>
  <c r="AA2106" i="34"/>
  <c r="AA1858" i="34"/>
  <c r="AA1887" i="34"/>
  <c r="AA2084" i="34"/>
  <c r="AA2361" i="34"/>
  <c r="AA2374" i="34"/>
  <c r="AA2385" i="34"/>
  <c r="AA1972" i="34"/>
  <c r="AA2037" i="34"/>
  <c r="AA1700" i="34"/>
  <c r="AA2378" i="34"/>
  <c r="AA1714" i="34"/>
  <c r="AA1814" i="34"/>
  <c r="AA1761" i="34"/>
  <c r="AA1703" i="34"/>
  <c r="AA1738" i="34"/>
  <c r="AA1724" i="34"/>
  <c r="AA1778" i="34"/>
  <c r="AA1755" i="34"/>
  <c r="AA1782" i="34"/>
  <c r="AA1838" i="34"/>
  <c r="AA2129" i="34"/>
  <c r="AA2229" i="34"/>
  <c r="AA2245" i="34"/>
  <c r="AA2393" i="34"/>
  <c r="AA1950" i="34"/>
  <c r="AA1966" i="34"/>
  <c r="AA2091" i="34"/>
  <c r="AA2107" i="34"/>
  <c r="AA1845" i="34"/>
  <c r="AA1874" i="34"/>
  <c r="AA1905" i="34"/>
  <c r="AA1801" i="34"/>
  <c r="AA1855" i="34"/>
  <c r="AA1888" i="34"/>
  <c r="AA1913" i="34"/>
  <c r="AA1922" i="34"/>
  <c r="AA2371" i="34"/>
  <c r="AA1981" i="34"/>
  <c r="AA2030" i="34"/>
  <c r="AA1923" i="34"/>
  <c r="AA1762" i="34"/>
  <c r="AA1815" i="34"/>
  <c r="AA1729" i="34"/>
  <c r="AA1740" i="34"/>
  <c r="AA1787" i="34"/>
  <c r="AA1533" i="34"/>
  <c r="AA1535" i="34"/>
  <c r="AA1537" i="34"/>
  <c r="AA1650" i="34"/>
  <c r="AA1652" i="34"/>
  <c r="AA2134" i="34"/>
  <c r="AA2238" i="34"/>
  <c r="AA2254" i="34"/>
  <c r="AA2337" i="34"/>
  <c r="AA1955" i="34"/>
  <c r="AA2022" i="34"/>
  <c r="AA2100" i="34"/>
  <c r="AA1852" i="34"/>
  <c r="AA1881" i="34"/>
  <c r="AA2363" i="34"/>
  <c r="AA2387" i="34"/>
  <c r="AA1970" i="34"/>
  <c r="AA1986" i="34"/>
  <c r="AA2039" i="34"/>
  <c r="AA1812" i="34"/>
  <c r="AA1931" i="34"/>
  <c r="AA1763" i="34"/>
  <c r="AA1820" i="34"/>
  <c r="AA1897" i="34"/>
  <c r="AA1726" i="34"/>
  <c r="AA1741" i="34"/>
  <c r="AA1772" i="34"/>
  <c r="AA1749" i="34"/>
  <c r="AA1832" i="34"/>
  <c r="AA2126" i="34"/>
  <c r="AA2040" i="34"/>
  <c r="AA2123" i="34"/>
  <c r="AA2231" i="34"/>
  <c r="AA2247" i="34"/>
  <c r="AA1944" i="34"/>
  <c r="AA1964" i="34"/>
  <c r="AA2101" i="34"/>
  <c r="AA1876" i="34"/>
  <c r="AA1748" i="34"/>
  <c r="AA1795" i="34"/>
  <c r="AA1857" i="34"/>
  <c r="AA1882" i="34"/>
  <c r="AA1948" i="34"/>
  <c r="AA2083" i="34"/>
  <c r="AA2324" i="34"/>
  <c r="AA2330" i="34"/>
  <c r="AA2356" i="34"/>
  <c r="AA2360" i="34"/>
  <c r="AA1979" i="34"/>
  <c r="AA2028" i="34"/>
  <c r="AA1699" i="34"/>
  <c r="AA2376" i="34"/>
  <c r="AA1736" i="34"/>
  <c r="AA1760" i="34"/>
  <c r="AA1918" i="34"/>
  <c r="AA1735" i="34"/>
  <c r="AA1746" i="34"/>
  <c r="AA1754" i="34"/>
  <c r="AA1785" i="34"/>
  <c r="AA1841" i="34"/>
  <c r="AA1532" i="34"/>
  <c r="AA1567" i="34"/>
  <c r="AA1622" i="34"/>
  <c r="AA1624" i="34"/>
  <c r="AA1645" i="34"/>
  <c r="AA1651" i="34"/>
  <c r="AA2118" i="34"/>
  <c r="AA2116" i="34"/>
  <c r="AA2132" i="34"/>
  <c r="AA2232" i="34"/>
  <c r="AA2248" i="34"/>
  <c r="AA2396" i="34"/>
  <c r="AA1957" i="34"/>
  <c r="AA2086" i="34"/>
  <c r="AA2102" i="34"/>
  <c r="AA1844" i="34"/>
  <c r="AA1877" i="34"/>
  <c r="AA1904" i="34"/>
  <c r="AA1919" i="34"/>
  <c r="AA1800" i="34"/>
  <c r="AA1854" i="34"/>
  <c r="AA1883" i="34"/>
  <c r="AA1912" i="34"/>
  <c r="AA2357" i="34"/>
  <c r="AA2370" i="34"/>
  <c r="AA2381" i="34"/>
  <c r="AA2033" i="34"/>
  <c r="AA1706" i="34"/>
  <c r="AA1804" i="34"/>
  <c r="AA1810" i="34"/>
  <c r="AA1757" i="34"/>
  <c r="AA1822" i="34"/>
  <c r="AA1899" i="34"/>
  <c r="AA1743" i="34"/>
  <c r="AA1774" i="34"/>
  <c r="AA1751" i="34"/>
  <c r="AA1710" i="34"/>
  <c r="AA1834" i="34"/>
  <c r="AA2125" i="34"/>
  <c r="AA2141" i="34"/>
  <c r="AA2241" i="34"/>
  <c r="AA1942" i="34"/>
  <c r="AA1962" i="34"/>
  <c r="AA2025" i="34"/>
  <c r="AA2087" i="34"/>
  <c r="AA2103" i="34"/>
  <c r="AA1901" i="34"/>
  <c r="AA1920" i="34"/>
  <c r="AA1797" i="34"/>
  <c r="AA1851" i="34"/>
  <c r="AA1884" i="34"/>
  <c r="AA1909" i="34"/>
  <c r="AA2085" i="34"/>
  <c r="AA2326" i="34"/>
  <c r="AA2332" i="34"/>
  <c r="AA2390" i="34"/>
  <c r="AA2787" i="34"/>
  <c r="AA1930" i="34"/>
  <c r="AA1758" i="34"/>
  <c r="AA1708" i="34"/>
  <c r="AA1725" i="34"/>
  <c r="AA1779" i="34"/>
  <c r="AA1783" i="34"/>
  <c r="AA1839" i="34"/>
  <c r="AA1464" i="34"/>
  <c r="AA1594" i="34"/>
  <c r="AA1596" i="34"/>
  <c r="AA1621" i="34"/>
  <c r="AA1627" i="34"/>
  <c r="AA1682" i="34"/>
  <c r="AA1684" i="34"/>
  <c r="AA2043" i="34"/>
  <c r="AA2122" i="34"/>
  <c r="AA2234" i="34"/>
  <c r="AA2250" i="34"/>
  <c r="AA2394" i="34"/>
  <c r="AA1951" i="34"/>
  <c r="AA1967" i="34"/>
  <c r="AA2096" i="34"/>
  <c r="AA2112" i="34"/>
  <c r="AA1879" i="34"/>
  <c r="AA1906" i="34"/>
  <c r="AA1802" i="34"/>
  <c r="AA1848" i="34"/>
  <c r="AA1914" i="34"/>
  <c r="AA1934" i="34"/>
  <c r="AA1969" i="34"/>
  <c r="AA2333" i="34"/>
  <c r="AA2359" i="34"/>
  <c r="AA2372" i="34"/>
  <c r="AA2383" i="34"/>
  <c r="AA1982" i="34"/>
  <c r="AA2035" i="34"/>
  <c r="AA1759" i="34"/>
  <c r="AA1816" i="34"/>
  <c r="AA1709" i="34"/>
  <c r="AA1722" i="34"/>
  <c r="AA1788" i="34"/>
  <c r="AA2766" i="34"/>
  <c r="AA2782" i="34"/>
  <c r="AA2353" i="34"/>
  <c r="AA2408" i="34"/>
  <c r="AA2761" i="34"/>
  <c r="AA2308" i="34"/>
  <c r="AA2219" i="34"/>
  <c r="AA2321" i="34"/>
  <c r="AA2143" i="34"/>
  <c r="AA1586" i="34"/>
  <c r="AA1612" i="34"/>
  <c r="AA1637" i="34"/>
  <c r="AA1668" i="34"/>
  <c r="AA1452" i="34"/>
  <c r="AA1566" i="34"/>
  <c r="AA1480" i="34"/>
  <c r="AA2771" i="34"/>
  <c r="AA1701" i="34"/>
  <c r="AA2405" i="34"/>
  <c r="AA2758" i="34"/>
  <c r="AA2369" i="34"/>
  <c r="AA2313" i="34"/>
  <c r="AA2212" i="34"/>
  <c r="AA1642" i="34"/>
  <c r="AA1525" i="34"/>
  <c r="AA1610" i="34"/>
  <c r="AA1564" i="34"/>
  <c r="AA1549" i="34"/>
  <c r="AA1487" i="34"/>
  <c r="AA2776" i="34"/>
  <c r="AA2355" i="34"/>
  <c r="AA2751" i="34"/>
  <c r="AA2306" i="34"/>
  <c r="AA2217" i="34"/>
  <c r="AA1676" i="34"/>
  <c r="AA1458" i="34"/>
  <c r="AA1582" i="34"/>
  <c r="AA1559" i="34"/>
  <c r="AA1473" i="34"/>
  <c r="AA2777" i="34"/>
  <c r="AA2403" i="34"/>
  <c r="AA2764" i="34"/>
  <c r="AA2367" i="34"/>
  <c r="AA2311" i="34"/>
  <c r="AA2218" i="34"/>
  <c r="AA1677" i="34"/>
  <c r="AA2142" i="34"/>
  <c r="AA1640" i="34"/>
  <c r="AA1481" i="34"/>
  <c r="AA1472" i="34"/>
  <c r="AA2778" i="34"/>
  <c r="AA1702" i="34"/>
  <c r="AA2757" i="34"/>
  <c r="AA2304" i="34"/>
  <c r="AA2215" i="34"/>
  <c r="AA2317" i="34"/>
  <c r="AA2205" i="34"/>
  <c r="AA1528" i="34"/>
  <c r="AA1611" i="34"/>
  <c r="AA1546" i="34"/>
  <c r="AA1509" i="34"/>
  <c r="AA1484" i="34"/>
  <c r="AA1471" i="34"/>
  <c r="AA2767" i="34"/>
  <c r="AA2783" i="34"/>
  <c r="AA2354" i="34"/>
  <c r="AA2754" i="34"/>
  <c r="AA2365" i="34"/>
  <c r="AA2309" i="34"/>
  <c r="AA1947" i="34"/>
  <c r="AA2208" i="34"/>
  <c r="AA2224" i="34"/>
  <c r="AA1675" i="34"/>
  <c r="AA2148" i="34"/>
  <c r="AA1617" i="34"/>
  <c r="AA1638" i="34"/>
  <c r="AA1457" i="34"/>
  <c r="AA2772" i="34"/>
  <c r="AA2351" i="34"/>
  <c r="AA2763" i="34"/>
  <c r="AA2302" i="34"/>
  <c r="AA2213" i="34"/>
  <c r="AA1672" i="34"/>
  <c r="AA1588" i="34"/>
  <c r="AA1454" i="34"/>
  <c r="AA1563" i="34"/>
  <c r="AA1544" i="34"/>
  <c r="AA1507" i="34"/>
  <c r="AA1482" i="34"/>
  <c r="AA1477" i="34"/>
  <c r="AA2773" i="34"/>
  <c r="AA2352" i="34"/>
  <c r="AA2760" i="34"/>
  <c r="AA2307" i="34"/>
  <c r="AA2214" i="34"/>
  <c r="AA1938" i="34"/>
  <c r="AA1673" i="34"/>
  <c r="AA1589" i="34"/>
  <c r="AA1455" i="34"/>
  <c r="AA1496" i="34"/>
  <c r="AA1531" i="34"/>
  <c r="AA1562" i="34"/>
  <c r="AA1547" i="34"/>
  <c r="AA1485" i="34"/>
  <c r="AA1476" i="34"/>
  <c r="AA2774" i="34"/>
  <c r="AA2753" i="34"/>
  <c r="AA2323" i="34"/>
  <c r="AA2300" i="34"/>
  <c r="AA2316" i="34"/>
  <c r="AA2211" i="34"/>
  <c r="AA1678" i="34"/>
  <c r="AA1524" i="34"/>
  <c r="AA1561" i="34"/>
  <c r="AA1550" i="34"/>
  <c r="AA1513" i="34"/>
  <c r="AA1488" i="34"/>
  <c r="AA1475" i="34"/>
  <c r="AA2779" i="34"/>
  <c r="AA2350" i="34"/>
  <c r="AA2750" i="34"/>
  <c r="AA2305" i="34"/>
  <c r="AA2220" i="34"/>
  <c r="AA2322" i="34"/>
  <c r="AA2144" i="34"/>
  <c r="AA1587" i="34"/>
  <c r="AA1613" i="34"/>
  <c r="AA1669" i="34"/>
  <c r="AA1453" i="34"/>
  <c r="AA1508" i="34"/>
  <c r="AA1479" i="34"/>
  <c r="AA1470" i="34"/>
  <c r="AA2768" i="34"/>
  <c r="AA2784" i="34"/>
  <c r="AA1933" i="34"/>
  <c r="AA2759" i="34"/>
  <c r="AA2298" i="34"/>
  <c r="AA2314" i="34"/>
  <c r="AA2209" i="34"/>
  <c r="AA2225" i="34"/>
  <c r="AA2319" i="34"/>
  <c r="AA2149" i="34"/>
  <c r="AA1584" i="34"/>
  <c r="AA1618" i="34"/>
  <c r="AA1643" i="34"/>
  <c r="AA1530" i="34"/>
  <c r="AA1548" i="34"/>
  <c r="AA1511" i="34"/>
  <c r="AA1486" i="34"/>
  <c r="AA2769" i="34"/>
  <c r="AA2785" i="34"/>
  <c r="AA1717" i="34"/>
  <c r="AA2756" i="34"/>
  <c r="AA2303" i="34"/>
  <c r="AA2210" i="34"/>
  <c r="AA2320" i="34"/>
  <c r="AA2150" i="34"/>
  <c r="AA1585" i="34"/>
  <c r="AA1619" i="34"/>
  <c r="AA1551" i="34"/>
  <c r="AA1510" i="34"/>
  <c r="AA1489" i="34"/>
  <c r="AA2770" i="34"/>
  <c r="AA2786" i="34"/>
  <c r="AA2404" i="34"/>
  <c r="AA2368" i="34"/>
  <c r="AA2312" i="34"/>
  <c r="AA2207" i="34"/>
  <c r="AA2223" i="34"/>
  <c r="AA1674" i="34"/>
  <c r="AA2147" i="34"/>
  <c r="AA1616" i="34"/>
  <c r="AA1641" i="34"/>
  <c r="AA1456" i="34"/>
  <c r="AA1565" i="34"/>
  <c r="AA2775" i="34"/>
  <c r="AA2762" i="34"/>
  <c r="AA2301" i="34"/>
  <c r="AA2216" i="34"/>
  <c r="AA2318" i="34"/>
  <c r="AA1583" i="34"/>
  <c r="AA1529" i="34"/>
  <c r="AA1581" i="34"/>
  <c r="AA1560" i="34"/>
  <c r="AA1545" i="34"/>
  <c r="AA1512" i="34"/>
  <c r="AA1483" i="34"/>
  <c r="AA1474" i="34"/>
  <c r="AA2780" i="34"/>
  <c r="AA2406" i="34"/>
  <c r="AA2755" i="34"/>
  <c r="AA2366" i="34"/>
  <c r="AA2310" i="34"/>
  <c r="AA2349" i="34"/>
  <c r="AA2221" i="34"/>
  <c r="AA2145" i="34"/>
  <c r="AA1614" i="34"/>
  <c r="AA1639" i="34"/>
  <c r="AA1670" i="34"/>
  <c r="AA1526" i="34"/>
  <c r="AA1609" i="34"/>
  <c r="AA1469" i="34"/>
  <c r="AA2765" i="34"/>
  <c r="AA2781" i="34"/>
  <c r="AA2407" i="34"/>
  <c r="AA2752" i="34"/>
  <c r="AA2299" i="34"/>
  <c r="AA2315" i="34"/>
  <c r="AA2206" i="34"/>
  <c r="AA2222" i="34"/>
  <c r="AA2146" i="34"/>
  <c r="AA1615" i="34"/>
  <c r="AA1644" i="34"/>
  <c r="AA1671" i="34"/>
  <c r="AA1527" i="34"/>
  <c r="AA1608" i="34"/>
  <c r="AA1514" i="34"/>
  <c r="AA1466" i="34"/>
  <c r="AA1694" i="34"/>
  <c r="AA1695" i="34"/>
  <c r="AA1468" i="34"/>
  <c r="AA1500" i="34"/>
  <c r="AA1543" i="34"/>
  <c r="AA1541" i="34"/>
  <c r="AA1691" i="34"/>
  <c r="AA1693" i="34"/>
  <c r="AA1697" i="34"/>
  <c r="AA1498" i="34"/>
  <c r="AA1503" i="34"/>
  <c r="AA1490" i="34"/>
  <c r="AA1499" i="34"/>
  <c r="AA1505" i="34"/>
  <c r="AA1568" i="34"/>
  <c r="AA1692" i="34"/>
  <c r="AA1492" i="34"/>
  <c r="AA1501" i="34"/>
  <c r="AA1467" i="34"/>
  <c r="AA1491" i="34"/>
  <c r="AA1540" i="34"/>
  <c r="AA1555" i="34"/>
  <c r="AA1554" i="34"/>
  <c r="AA1542" i="34"/>
  <c r="AA1552" i="34"/>
  <c r="AA1696" i="34"/>
  <c r="AA1478" i="34"/>
  <c r="AA1553" i="34"/>
  <c r="AA1690" i="34"/>
  <c r="AA1653" i="34"/>
  <c r="AA1493" i="34"/>
  <c r="AA1556" i="34"/>
  <c r="AA1569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38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39" i="34"/>
  <c r="B879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A713" i="34" l="1"/>
  <c r="Q713" i="34"/>
  <c r="U713" i="34"/>
  <c r="R713" i="34"/>
  <c r="V713" i="34"/>
  <c r="S713" i="34"/>
  <c r="AA713" i="34"/>
  <c r="P713" i="34"/>
  <c r="T713" i="34"/>
  <c r="X713" i="34"/>
  <c r="A662" i="34"/>
  <c r="P662" i="34"/>
  <c r="X662" i="34"/>
  <c r="Q662" i="34"/>
  <c r="R662" i="34"/>
  <c r="V662" i="34"/>
  <c r="AA662" i="34"/>
  <c r="A658" i="34"/>
  <c r="P658" i="34"/>
  <c r="X658" i="34"/>
  <c r="Q658" i="34"/>
  <c r="R658" i="34"/>
  <c r="V658" i="34"/>
  <c r="AA658" i="34"/>
  <c r="A707" i="34"/>
  <c r="S707" i="34"/>
  <c r="AA707" i="34"/>
  <c r="P707" i="34"/>
  <c r="T707" i="34"/>
  <c r="X707" i="34"/>
  <c r="Q707" i="34"/>
  <c r="U707" i="34"/>
  <c r="R707" i="34"/>
  <c r="V707" i="34"/>
  <c r="A703" i="34"/>
  <c r="S703" i="34"/>
  <c r="AA703" i="34"/>
  <c r="P703" i="34"/>
  <c r="T703" i="34"/>
  <c r="X703" i="34"/>
  <c r="Q703" i="34"/>
  <c r="U703" i="34"/>
  <c r="R703" i="34"/>
  <c r="V703" i="34"/>
  <c r="A699" i="34"/>
  <c r="S699" i="34"/>
  <c r="AA699" i="34"/>
  <c r="P699" i="34"/>
  <c r="T699" i="34"/>
  <c r="X699" i="34"/>
  <c r="Q699" i="34"/>
  <c r="U699" i="34"/>
  <c r="R699" i="34"/>
  <c r="V699" i="34"/>
  <c r="A688" i="34"/>
  <c r="R688" i="34"/>
  <c r="V688" i="34"/>
  <c r="S688" i="34"/>
  <c r="AA688" i="34"/>
  <c r="P688" i="34"/>
  <c r="T688" i="34"/>
  <c r="X688" i="34"/>
  <c r="Q688" i="34"/>
  <c r="U688" i="34"/>
  <c r="A684" i="34"/>
  <c r="R684" i="34"/>
  <c r="V684" i="34"/>
  <c r="S684" i="34"/>
  <c r="AA684" i="34"/>
  <c r="P684" i="34"/>
  <c r="T684" i="34"/>
  <c r="X684" i="34"/>
  <c r="Q684" i="34"/>
  <c r="U684" i="34"/>
  <c r="A680" i="34"/>
  <c r="R680" i="34"/>
  <c r="V680" i="34"/>
  <c r="S680" i="34"/>
  <c r="AA680" i="34"/>
  <c r="P680" i="34"/>
  <c r="T680" i="34"/>
  <c r="X680" i="34"/>
  <c r="Q680" i="34"/>
  <c r="U680" i="34"/>
  <c r="A671" i="34"/>
  <c r="AA671" i="34"/>
  <c r="P671" i="34"/>
  <c r="X671" i="34"/>
  <c r="Q671" i="34"/>
  <c r="R671" i="34"/>
  <c r="V671" i="34"/>
  <c r="A667" i="34"/>
  <c r="AA667" i="34"/>
  <c r="P667" i="34"/>
  <c r="X667" i="34"/>
  <c r="Q667" i="34"/>
  <c r="R667" i="34"/>
  <c r="V667" i="34"/>
  <c r="A642" i="34"/>
  <c r="R642" i="34"/>
  <c r="V642" i="34"/>
  <c r="X642" i="34"/>
  <c r="P642" i="34"/>
  <c r="Q642" i="34"/>
  <c r="AA642" i="34"/>
  <c r="A638" i="34"/>
  <c r="R638" i="34"/>
  <c r="V638" i="34"/>
  <c r="P638" i="34"/>
  <c r="Q638" i="34"/>
  <c r="AA638" i="34"/>
  <c r="X638" i="34"/>
  <c r="A586" i="34"/>
  <c r="AA586" i="34"/>
  <c r="P586" i="34"/>
  <c r="X586" i="34"/>
  <c r="Q586" i="34"/>
  <c r="R586" i="34"/>
  <c r="V586" i="34"/>
  <c r="A570" i="34"/>
  <c r="R570" i="34"/>
  <c r="V570" i="34"/>
  <c r="AA570" i="34"/>
  <c r="P570" i="34"/>
  <c r="X570" i="34"/>
  <c r="Q570" i="34"/>
  <c r="A566" i="34"/>
  <c r="R566" i="34"/>
  <c r="V566" i="34"/>
  <c r="AA566" i="34"/>
  <c r="P566" i="34"/>
  <c r="X566" i="34"/>
  <c r="Q566" i="34"/>
  <c r="A654" i="34"/>
  <c r="P654" i="34"/>
  <c r="X654" i="34"/>
  <c r="Q654" i="34"/>
  <c r="R654" i="34"/>
  <c r="V654" i="34"/>
  <c r="AA654" i="34"/>
  <c r="A610" i="34"/>
  <c r="AA610" i="34"/>
  <c r="P610" i="34"/>
  <c r="X610" i="34"/>
  <c r="Q610" i="34"/>
  <c r="R610" i="34"/>
  <c r="V610" i="34"/>
  <c r="A591" i="34"/>
  <c r="R591" i="34"/>
  <c r="V591" i="34"/>
  <c r="AA591" i="34"/>
  <c r="P591" i="34"/>
  <c r="X591" i="34"/>
  <c r="Q591" i="34"/>
  <c r="A587" i="34"/>
  <c r="R587" i="34"/>
  <c r="V587" i="34"/>
  <c r="AA587" i="34"/>
  <c r="P587" i="34"/>
  <c r="X587" i="34"/>
  <c r="Q587" i="34"/>
  <c r="A562" i="34"/>
  <c r="R562" i="34"/>
  <c r="V562" i="34"/>
  <c r="AA562" i="34"/>
  <c r="P562" i="34"/>
  <c r="X562" i="34"/>
  <c r="Q562" i="34"/>
  <c r="A558" i="34"/>
  <c r="R558" i="34"/>
  <c r="V558" i="34"/>
  <c r="AA558" i="34"/>
  <c r="P558" i="34"/>
  <c r="X558" i="34"/>
  <c r="Q558" i="34"/>
  <c r="A551" i="34"/>
  <c r="Q551" i="34"/>
  <c r="R551" i="34"/>
  <c r="V551" i="34"/>
  <c r="AA551" i="34"/>
  <c r="P551" i="34"/>
  <c r="X551" i="34"/>
  <c r="A546" i="34"/>
  <c r="R546" i="34"/>
  <c r="V546" i="34"/>
  <c r="AA546" i="34"/>
  <c r="P546" i="34"/>
  <c r="X546" i="34"/>
  <c r="Q546" i="34"/>
  <c r="A532" i="34"/>
  <c r="P532" i="34"/>
  <c r="X532" i="34"/>
  <c r="Q532" i="34"/>
  <c r="R532" i="34"/>
  <c r="V532" i="34"/>
  <c r="AA532" i="34"/>
  <c r="A529" i="34"/>
  <c r="P529" i="34"/>
  <c r="X529" i="34"/>
  <c r="Q529" i="34"/>
  <c r="R529" i="34"/>
  <c r="V529" i="34"/>
  <c r="AA529" i="34"/>
  <c r="A224" i="34"/>
  <c r="AA224" i="34"/>
  <c r="P224" i="34"/>
  <c r="X224" i="34"/>
  <c r="Q224" i="34"/>
  <c r="R224" i="34"/>
  <c r="V224" i="34"/>
  <c r="A209" i="34"/>
  <c r="P209" i="34"/>
  <c r="X209" i="34"/>
  <c r="AA209" i="34"/>
  <c r="Q209" i="34"/>
  <c r="R209" i="34"/>
  <c r="V209" i="34"/>
  <c r="A201" i="34"/>
  <c r="P201" i="34"/>
  <c r="X201" i="34"/>
  <c r="Q201" i="34"/>
  <c r="R201" i="34"/>
  <c r="V201" i="34"/>
  <c r="AA201" i="34"/>
  <c r="A164" i="34"/>
  <c r="AA164" i="34"/>
  <c r="P164" i="34"/>
  <c r="X164" i="34"/>
  <c r="Q164" i="34"/>
  <c r="R164" i="34"/>
  <c r="V164" i="34"/>
  <c r="A206" i="34"/>
  <c r="AA206" i="34"/>
  <c r="R206" i="34"/>
  <c r="V206" i="34"/>
  <c r="P206" i="34"/>
  <c r="Q206" i="34"/>
  <c r="X206" i="34"/>
  <c r="A504" i="34"/>
  <c r="R504" i="34"/>
  <c r="V504" i="34"/>
  <c r="AA504" i="34"/>
  <c r="P504" i="34"/>
  <c r="X504" i="34"/>
  <c r="Q504" i="34"/>
  <c r="A565" i="34"/>
  <c r="AA565" i="34"/>
  <c r="P565" i="34"/>
  <c r="X565" i="34"/>
  <c r="Q565" i="34"/>
  <c r="R565" i="34"/>
  <c r="V565" i="34"/>
  <c r="A522" i="34"/>
  <c r="P522" i="34"/>
  <c r="X522" i="34"/>
  <c r="Q522" i="34"/>
  <c r="R522" i="34"/>
  <c r="V522" i="34"/>
  <c r="AA522" i="34"/>
  <c r="A516" i="34"/>
  <c r="R516" i="34"/>
  <c r="V516" i="34"/>
  <c r="AA516" i="34"/>
  <c r="P516" i="34"/>
  <c r="X516" i="34"/>
  <c r="Q516" i="34"/>
  <c r="A712" i="34"/>
  <c r="R712" i="34"/>
  <c r="V712" i="34"/>
  <c r="S712" i="34"/>
  <c r="AA712" i="34"/>
  <c r="P712" i="34"/>
  <c r="T712" i="34"/>
  <c r="X712" i="34"/>
  <c r="Q712" i="34"/>
  <c r="U712" i="34"/>
  <c r="A661" i="34"/>
  <c r="Q661" i="34"/>
  <c r="R661" i="34"/>
  <c r="V661" i="34"/>
  <c r="AA661" i="34"/>
  <c r="P661" i="34"/>
  <c r="X661" i="34"/>
  <c r="A710" i="34"/>
  <c r="P710" i="34"/>
  <c r="T710" i="34"/>
  <c r="X710" i="34"/>
  <c r="Q710" i="34"/>
  <c r="U710" i="34"/>
  <c r="R710" i="34"/>
  <c r="V710" i="34"/>
  <c r="S710" i="34"/>
  <c r="AA710" i="34"/>
  <c r="A706" i="34"/>
  <c r="P706" i="34"/>
  <c r="T706" i="34"/>
  <c r="X706" i="34"/>
  <c r="Q706" i="34"/>
  <c r="U706" i="34"/>
  <c r="R706" i="34"/>
  <c r="V706" i="34"/>
  <c r="S706" i="34"/>
  <c r="AA706" i="34"/>
  <c r="A702" i="34"/>
  <c r="P702" i="34"/>
  <c r="T702" i="34"/>
  <c r="X702" i="34"/>
  <c r="Q702" i="34"/>
  <c r="U702" i="34"/>
  <c r="R702" i="34"/>
  <c r="V702" i="34"/>
  <c r="S702" i="34"/>
  <c r="AA702" i="34"/>
  <c r="A698" i="34"/>
  <c r="P698" i="34"/>
  <c r="T698" i="34"/>
  <c r="X698" i="34"/>
  <c r="Q698" i="34"/>
  <c r="U698" i="34"/>
  <c r="R698" i="34"/>
  <c r="V698" i="34"/>
  <c r="S698" i="34"/>
  <c r="AA698" i="34"/>
  <c r="A687" i="34"/>
  <c r="S687" i="34"/>
  <c r="AA687" i="34"/>
  <c r="P687" i="34"/>
  <c r="T687" i="34"/>
  <c r="X687" i="34"/>
  <c r="Q687" i="34"/>
  <c r="U687" i="34"/>
  <c r="R687" i="34"/>
  <c r="V687" i="34"/>
  <c r="A683" i="34"/>
  <c r="S683" i="34"/>
  <c r="AA683" i="34"/>
  <c r="P683" i="34"/>
  <c r="T683" i="34"/>
  <c r="X683" i="34"/>
  <c r="Q683" i="34"/>
  <c r="U683" i="34"/>
  <c r="R683" i="34"/>
  <c r="V683" i="34"/>
  <c r="A674" i="34"/>
  <c r="P674" i="34"/>
  <c r="T674" i="34"/>
  <c r="X674" i="34"/>
  <c r="Q674" i="34"/>
  <c r="U674" i="34"/>
  <c r="R674" i="34"/>
  <c r="V674" i="34"/>
  <c r="S674" i="34"/>
  <c r="AA674" i="34"/>
  <c r="A670" i="34"/>
  <c r="P670" i="34"/>
  <c r="X670" i="34"/>
  <c r="Q670" i="34"/>
  <c r="R670" i="34"/>
  <c r="V670" i="34"/>
  <c r="AA670" i="34"/>
  <c r="A666" i="34"/>
  <c r="P666" i="34"/>
  <c r="X666" i="34"/>
  <c r="Q666" i="34"/>
  <c r="R666" i="34"/>
  <c r="V666" i="34"/>
  <c r="AA666" i="34"/>
  <c r="A641" i="34"/>
  <c r="AA641" i="34"/>
  <c r="R641" i="34"/>
  <c r="V641" i="34"/>
  <c r="P641" i="34"/>
  <c r="X641" i="34"/>
  <c r="Q641" i="34"/>
  <c r="A637" i="34"/>
  <c r="AA637" i="34"/>
  <c r="P637" i="34"/>
  <c r="X637" i="34"/>
  <c r="Q637" i="34"/>
  <c r="R637" i="34"/>
  <c r="V637" i="34"/>
  <c r="A585" i="34"/>
  <c r="P585" i="34"/>
  <c r="X585" i="34"/>
  <c r="Q585" i="34"/>
  <c r="R585" i="34"/>
  <c r="V585" i="34"/>
  <c r="AA585" i="34"/>
  <c r="A569" i="34"/>
  <c r="AA569" i="34"/>
  <c r="P569" i="34"/>
  <c r="X569" i="34"/>
  <c r="Q569" i="34"/>
  <c r="R569" i="34"/>
  <c r="V569" i="34"/>
  <c r="A657" i="34"/>
  <c r="Q657" i="34"/>
  <c r="R657" i="34"/>
  <c r="V657" i="34"/>
  <c r="AA657" i="34"/>
  <c r="P657" i="34"/>
  <c r="X657" i="34"/>
  <c r="A613" i="34"/>
  <c r="P613" i="34"/>
  <c r="X613" i="34"/>
  <c r="Q613" i="34"/>
  <c r="R613" i="34"/>
  <c r="V613" i="34"/>
  <c r="AA613" i="34"/>
  <c r="A609" i="34"/>
  <c r="P609" i="34"/>
  <c r="X609" i="34"/>
  <c r="Q609" i="34"/>
  <c r="R609" i="34"/>
  <c r="V609" i="34"/>
  <c r="AA609" i="34"/>
  <c r="A590" i="34"/>
  <c r="AA590" i="34"/>
  <c r="P590" i="34"/>
  <c r="X590" i="34"/>
  <c r="Q590" i="34"/>
  <c r="R590" i="34"/>
  <c r="V590" i="34"/>
  <c r="A578" i="34"/>
  <c r="AA578" i="34"/>
  <c r="P578" i="34"/>
  <c r="X578" i="34"/>
  <c r="Q578" i="34"/>
  <c r="R578" i="34"/>
  <c r="V578" i="34"/>
  <c r="A561" i="34"/>
  <c r="AA561" i="34"/>
  <c r="P561" i="34"/>
  <c r="X561" i="34"/>
  <c r="Q561" i="34"/>
  <c r="R561" i="34"/>
  <c r="V561" i="34"/>
  <c r="A557" i="34"/>
  <c r="AA557" i="34"/>
  <c r="P557" i="34"/>
  <c r="X557" i="34"/>
  <c r="Q557" i="34"/>
  <c r="R557" i="34"/>
  <c r="V557" i="34"/>
  <c r="A550" i="34"/>
  <c r="R550" i="34"/>
  <c r="V550" i="34"/>
  <c r="AA550" i="34"/>
  <c r="P550" i="34"/>
  <c r="X550" i="34"/>
  <c r="Q550" i="34"/>
  <c r="A536" i="34"/>
  <c r="P536" i="34"/>
  <c r="X536" i="34"/>
  <c r="Q536" i="34"/>
  <c r="R536" i="34"/>
  <c r="V536" i="34"/>
  <c r="AA536" i="34"/>
  <c r="A531" i="34"/>
  <c r="Q531" i="34"/>
  <c r="R531" i="34"/>
  <c r="V531" i="34"/>
  <c r="AA531" i="34"/>
  <c r="P531" i="34"/>
  <c r="X531" i="34"/>
  <c r="A517" i="34"/>
  <c r="Q517" i="34"/>
  <c r="R517" i="34"/>
  <c r="V517" i="34"/>
  <c r="AA517" i="34"/>
  <c r="P517" i="34"/>
  <c r="X517" i="34"/>
  <c r="A223" i="34"/>
  <c r="P223" i="34"/>
  <c r="X223" i="34"/>
  <c r="Q223" i="34"/>
  <c r="R223" i="34"/>
  <c r="V223" i="34"/>
  <c r="AA223" i="34"/>
  <c r="A208" i="34"/>
  <c r="Q208" i="34"/>
  <c r="P208" i="34"/>
  <c r="X208" i="34"/>
  <c r="R208" i="34"/>
  <c r="V208" i="34"/>
  <c r="AA208" i="34"/>
  <c r="A200" i="34"/>
  <c r="Q200" i="34"/>
  <c r="R200" i="34"/>
  <c r="V200" i="34"/>
  <c r="AA200" i="34"/>
  <c r="P200" i="34"/>
  <c r="X200" i="34"/>
  <c r="A177" i="34"/>
  <c r="R177" i="34"/>
  <c r="V177" i="34"/>
  <c r="AA177" i="34"/>
  <c r="P177" i="34"/>
  <c r="X177" i="34"/>
  <c r="Q177" i="34"/>
  <c r="A207" i="34"/>
  <c r="R207" i="34"/>
  <c r="V207" i="34"/>
  <c r="Q207" i="34"/>
  <c r="P207" i="34"/>
  <c r="AA207" i="34"/>
  <c r="X207" i="34"/>
  <c r="A554" i="34"/>
  <c r="R554" i="34"/>
  <c r="V554" i="34"/>
  <c r="AA554" i="34"/>
  <c r="P554" i="34"/>
  <c r="X554" i="34"/>
  <c r="Q554" i="34"/>
  <c r="A1138" i="34"/>
  <c r="R1138" i="34"/>
  <c r="V1138" i="34"/>
  <c r="AA1138" i="34"/>
  <c r="P1138" i="34"/>
  <c r="X1138" i="34"/>
  <c r="Q1138" i="34"/>
  <c r="A523" i="34"/>
  <c r="AA523" i="34"/>
  <c r="P523" i="34"/>
  <c r="X523" i="34"/>
  <c r="Q523" i="34"/>
  <c r="R523" i="34"/>
  <c r="V523" i="34"/>
  <c r="A527" i="34"/>
  <c r="AA527" i="34"/>
  <c r="P527" i="34"/>
  <c r="X527" i="34"/>
  <c r="Q527" i="34"/>
  <c r="R527" i="34"/>
  <c r="V527" i="34"/>
  <c r="A711" i="34"/>
  <c r="S711" i="34"/>
  <c r="AA711" i="34"/>
  <c r="P711" i="34"/>
  <c r="T711" i="34"/>
  <c r="X711" i="34"/>
  <c r="Q711" i="34"/>
  <c r="U711" i="34"/>
  <c r="R711" i="34"/>
  <c r="V711" i="34"/>
  <c r="A660" i="34"/>
  <c r="R660" i="34"/>
  <c r="V660" i="34"/>
  <c r="AA660" i="34"/>
  <c r="P660" i="34"/>
  <c r="X660" i="34"/>
  <c r="Q660" i="34"/>
  <c r="A709" i="34"/>
  <c r="Q709" i="34"/>
  <c r="U709" i="34"/>
  <c r="R709" i="34"/>
  <c r="V709" i="34"/>
  <c r="S709" i="34"/>
  <c r="AA709" i="34"/>
  <c r="P709" i="34"/>
  <c r="T709" i="34"/>
  <c r="X709" i="34"/>
  <c r="A705" i="34"/>
  <c r="Q705" i="34"/>
  <c r="U705" i="34"/>
  <c r="R705" i="34"/>
  <c r="V705" i="34"/>
  <c r="S705" i="34"/>
  <c r="AA705" i="34"/>
  <c r="P705" i="34"/>
  <c r="T705" i="34"/>
  <c r="X705" i="34"/>
  <c r="A701" i="34"/>
  <c r="Q701" i="34"/>
  <c r="U701" i="34"/>
  <c r="R701" i="34"/>
  <c r="V701" i="34"/>
  <c r="S701" i="34"/>
  <c r="AA701" i="34"/>
  <c r="P701" i="34"/>
  <c r="T701" i="34"/>
  <c r="X701" i="34"/>
  <c r="A697" i="34"/>
  <c r="Q697" i="34"/>
  <c r="U697" i="34"/>
  <c r="R697" i="34"/>
  <c r="V697" i="34"/>
  <c r="S697" i="34"/>
  <c r="AA697" i="34"/>
  <c r="P697" i="34"/>
  <c r="T697" i="34"/>
  <c r="X697" i="34"/>
  <c r="A686" i="34"/>
  <c r="P686" i="34"/>
  <c r="T686" i="34"/>
  <c r="X686" i="34"/>
  <c r="Q686" i="34"/>
  <c r="U686" i="34"/>
  <c r="R686" i="34"/>
  <c r="V686" i="34"/>
  <c r="S686" i="34"/>
  <c r="AA686" i="34"/>
  <c r="A682" i="34"/>
  <c r="P682" i="34"/>
  <c r="T682" i="34"/>
  <c r="X682" i="34"/>
  <c r="Q682" i="34"/>
  <c r="U682" i="34"/>
  <c r="R682" i="34"/>
  <c r="V682" i="34"/>
  <c r="S682" i="34"/>
  <c r="AA682" i="34"/>
  <c r="A673" i="34"/>
  <c r="Q673" i="34"/>
  <c r="U673" i="34"/>
  <c r="R673" i="34"/>
  <c r="V673" i="34"/>
  <c r="S673" i="34"/>
  <c r="AA673" i="34"/>
  <c r="P673" i="34"/>
  <c r="T673" i="34"/>
  <c r="X673" i="34"/>
  <c r="A669" i="34"/>
  <c r="Q669" i="34"/>
  <c r="R669" i="34"/>
  <c r="V669" i="34"/>
  <c r="AA669" i="34"/>
  <c r="P669" i="34"/>
  <c r="X669" i="34"/>
  <c r="A665" i="34"/>
  <c r="Q665" i="34"/>
  <c r="R665" i="34"/>
  <c r="V665" i="34"/>
  <c r="AA665" i="34"/>
  <c r="P665" i="34"/>
  <c r="X665" i="34"/>
  <c r="A640" i="34"/>
  <c r="P640" i="34"/>
  <c r="X640" i="34"/>
  <c r="R640" i="34"/>
  <c r="V640" i="34"/>
  <c r="AA640" i="34"/>
  <c r="Q640" i="34"/>
  <c r="A636" i="34"/>
  <c r="P636" i="34"/>
  <c r="X636" i="34"/>
  <c r="Q636" i="34"/>
  <c r="R636" i="34"/>
  <c r="V636" i="34"/>
  <c r="AA636" i="34"/>
  <c r="A584" i="34"/>
  <c r="Q584" i="34"/>
  <c r="R584" i="34"/>
  <c r="V584" i="34"/>
  <c r="AA584" i="34"/>
  <c r="P584" i="34"/>
  <c r="X584" i="34"/>
  <c r="A568" i="34"/>
  <c r="P568" i="34"/>
  <c r="X568" i="34"/>
  <c r="Q568" i="34"/>
  <c r="R568" i="34"/>
  <c r="V568" i="34"/>
  <c r="AA568" i="34"/>
  <c r="A656" i="34"/>
  <c r="R656" i="34"/>
  <c r="V656" i="34"/>
  <c r="AA656" i="34"/>
  <c r="P656" i="34"/>
  <c r="X656" i="34"/>
  <c r="Q656" i="34"/>
  <c r="A612" i="34"/>
  <c r="Q612" i="34"/>
  <c r="R612" i="34"/>
  <c r="V612" i="34"/>
  <c r="AA612" i="34"/>
  <c r="P612" i="34"/>
  <c r="X612" i="34"/>
  <c r="A608" i="34"/>
  <c r="Q608" i="34"/>
  <c r="R608" i="34"/>
  <c r="V608" i="34"/>
  <c r="AA608" i="34"/>
  <c r="P608" i="34"/>
  <c r="X608" i="34"/>
  <c r="A580" i="34"/>
  <c r="Q580" i="34"/>
  <c r="R580" i="34"/>
  <c r="V580" i="34"/>
  <c r="AA580" i="34"/>
  <c r="P580" i="34"/>
  <c r="X580" i="34"/>
  <c r="A577" i="34"/>
  <c r="P577" i="34"/>
  <c r="X577" i="34"/>
  <c r="Q577" i="34"/>
  <c r="R577" i="34"/>
  <c r="V577" i="34"/>
  <c r="AA577" i="34"/>
  <c r="A560" i="34"/>
  <c r="P560" i="34"/>
  <c r="X560" i="34"/>
  <c r="Q560" i="34"/>
  <c r="R560" i="34"/>
  <c r="V560" i="34"/>
  <c r="AA560" i="34"/>
  <c r="A553" i="34"/>
  <c r="AA553" i="34"/>
  <c r="P553" i="34"/>
  <c r="X553" i="34"/>
  <c r="Q553" i="34"/>
  <c r="R553" i="34"/>
  <c r="V553" i="34"/>
  <c r="A549" i="34"/>
  <c r="AA549" i="34"/>
  <c r="P549" i="34"/>
  <c r="X549" i="34"/>
  <c r="Q549" i="34"/>
  <c r="R549" i="34"/>
  <c r="V549" i="34"/>
  <c r="A535" i="34"/>
  <c r="Q535" i="34"/>
  <c r="R535" i="34"/>
  <c r="V535" i="34"/>
  <c r="AA535" i="34"/>
  <c r="P535" i="34"/>
  <c r="X535" i="34"/>
  <c r="A530" i="34"/>
  <c r="R530" i="34"/>
  <c r="V530" i="34"/>
  <c r="AA530" i="34"/>
  <c r="P530" i="34"/>
  <c r="X530" i="34"/>
  <c r="Q530" i="34"/>
  <c r="A879" i="34"/>
  <c r="R879" i="34"/>
  <c r="V879" i="34"/>
  <c r="AA879" i="34"/>
  <c r="P879" i="34"/>
  <c r="X879" i="34"/>
  <c r="Q879" i="34"/>
  <c r="A211" i="34"/>
  <c r="R211" i="34"/>
  <c r="V211" i="34"/>
  <c r="Q211" i="34"/>
  <c r="P211" i="34"/>
  <c r="AA211" i="34"/>
  <c r="X211" i="34"/>
  <c r="A204" i="34"/>
  <c r="Q204" i="34"/>
  <c r="P204" i="34"/>
  <c r="X204" i="34"/>
  <c r="R204" i="34"/>
  <c r="V204" i="34"/>
  <c r="AA204" i="34"/>
  <c r="A199" i="34"/>
  <c r="R199" i="34"/>
  <c r="V199" i="34"/>
  <c r="AA199" i="34"/>
  <c r="P199" i="34"/>
  <c r="X199" i="34"/>
  <c r="Q199" i="34"/>
  <c r="A202" i="34"/>
  <c r="AA202" i="34"/>
  <c r="P202" i="34"/>
  <c r="X202" i="34"/>
  <c r="Q202" i="34"/>
  <c r="R202" i="34"/>
  <c r="V202" i="34"/>
  <c r="A592" i="34"/>
  <c r="Q592" i="34"/>
  <c r="R592" i="34"/>
  <c r="V592" i="34"/>
  <c r="AA592" i="34"/>
  <c r="P592" i="34"/>
  <c r="X592" i="34"/>
  <c r="A555" i="34"/>
  <c r="Q555" i="34"/>
  <c r="R555" i="34"/>
  <c r="V555" i="34"/>
  <c r="AA555" i="34"/>
  <c r="P555" i="34"/>
  <c r="X555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663" i="34"/>
  <c r="AA663" i="34"/>
  <c r="P663" i="34"/>
  <c r="X663" i="34"/>
  <c r="Q663" i="34"/>
  <c r="R663" i="34"/>
  <c r="V663" i="34"/>
  <c r="A659" i="34"/>
  <c r="AA659" i="34"/>
  <c r="P659" i="34"/>
  <c r="X659" i="34"/>
  <c r="Q659" i="34"/>
  <c r="R659" i="34"/>
  <c r="V659" i="34"/>
  <c r="A708" i="34"/>
  <c r="R708" i="34"/>
  <c r="V708" i="34"/>
  <c r="S708" i="34"/>
  <c r="AA708" i="34"/>
  <c r="P708" i="34"/>
  <c r="T708" i="34"/>
  <c r="X708" i="34"/>
  <c r="Q708" i="34"/>
  <c r="U708" i="34"/>
  <c r="A704" i="34"/>
  <c r="R704" i="34"/>
  <c r="V704" i="34"/>
  <c r="S704" i="34"/>
  <c r="AA704" i="34"/>
  <c r="P704" i="34"/>
  <c r="T704" i="34"/>
  <c r="X704" i="34"/>
  <c r="Q704" i="34"/>
  <c r="U704" i="34"/>
  <c r="A700" i="34"/>
  <c r="R700" i="34"/>
  <c r="V700" i="34"/>
  <c r="S700" i="34"/>
  <c r="AA700" i="34"/>
  <c r="P700" i="34"/>
  <c r="T700" i="34"/>
  <c r="X700" i="34"/>
  <c r="Q700" i="34"/>
  <c r="U700" i="34"/>
  <c r="A689" i="34"/>
  <c r="Q689" i="34"/>
  <c r="U689" i="34"/>
  <c r="R689" i="34"/>
  <c r="V689" i="34"/>
  <c r="S689" i="34"/>
  <c r="AA689" i="34"/>
  <c r="P689" i="34"/>
  <c r="T689" i="34"/>
  <c r="X689" i="34"/>
  <c r="A685" i="34"/>
  <c r="Q685" i="34"/>
  <c r="U685" i="34"/>
  <c r="R685" i="34"/>
  <c r="V685" i="34"/>
  <c r="S685" i="34"/>
  <c r="AA685" i="34"/>
  <c r="P685" i="34"/>
  <c r="T685" i="34"/>
  <c r="X685" i="34"/>
  <c r="A681" i="34"/>
  <c r="Q681" i="34"/>
  <c r="U681" i="34"/>
  <c r="R681" i="34"/>
  <c r="V681" i="34"/>
  <c r="S681" i="34"/>
  <c r="AA681" i="34"/>
  <c r="P681" i="34"/>
  <c r="T681" i="34"/>
  <c r="X681" i="34"/>
  <c r="A672" i="34"/>
  <c r="R672" i="34"/>
  <c r="V672" i="34"/>
  <c r="AA672" i="34"/>
  <c r="P672" i="34"/>
  <c r="X672" i="34"/>
  <c r="Q672" i="34"/>
  <c r="A668" i="34"/>
  <c r="R668" i="34"/>
  <c r="V668" i="34"/>
  <c r="AA668" i="34"/>
  <c r="P668" i="34"/>
  <c r="X668" i="34"/>
  <c r="Q668" i="34"/>
  <c r="A643" i="34"/>
  <c r="Q643" i="34"/>
  <c r="X643" i="34"/>
  <c r="P643" i="34"/>
  <c r="R643" i="34"/>
  <c r="V643" i="34"/>
  <c r="AA643" i="34"/>
  <c r="A639" i="34"/>
  <c r="Q639" i="34"/>
  <c r="R639" i="34"/>
  <c r="V639" i="34"/>
  <c r="AA639" i="34"/>
  <c r="X639" i="34"/>
  <c r="P639" i="34"/>
  <c r="A635" i="34"/>
  <c r="Q635" i="34"/>
  <c r="X635" i="34"/>
  <c r="P635" i="34"/>
  <c r="R635" i="34"/>
  <c r="V635" i="34"/>
  <c r="AA635" i="34"/>
  <c r="A583" i="34"/>
  <c r="R583" i="34"/>
  <c r="V583" i="34"/>
  <c r="AA583" i="34"/>
  <c r="P583" i="34"/>
  <c r="X583" i="34"/>
  <c r="Q583" i="34"/>
  <c r="A567" i="34"/>
  <c r="Q567" i="34"/>
  <c r="R567" i="34"/>
  <c r="V567" i="34"/>
  <c r="AA567" i="34"/>
  <c r="P567" i="34"/>
  <c r="X567" i="34"/>
  <c r="A655" i="34"/>
  <c r="AA655" i="34"/>
  <c r="P655" i="34"/>
  <c r="X655" i="34"/>
  <c r="Q655" i="34"/>
  <c r="R655" i="34"/>
  <c r="V655" i="34"/>
  <c r="A611" i="34"/>
  <c r="R611" i="34"/>
  <c r="V611" i="34"/>
  <c r="AA611" i="34"/>
  <c r="P611" i="34"/>
  <c r="X611" i="34"/>
  <c r="Q611" i="34"/>
  <c r="A607" i="34"/>
  <c r="R607" i="34"/>
  <c r="V607" i="34"/>
  <c r="AA607" i="34"/>
  <c r="P607" i="34"/>
  <c r="X607" i="34"/>
  <c r="Q607" i="34"/>
  <c r="A588" i="34"/>
  <c r="Q588" i="34"/>
  <c r="R588" i="34"/>
  <c r="V588" i="34"/>
  <c r="AA588" i="34"/>
  <c r="P588" i="34"/>
  <c r="X588" i="34"/>
  <c r="A563" i="34"/>
  <c r="Q563" i="34"/>
  <c r="R563" i="34"/>
  <c r="V563" i="34"/>
  <c r="AA563" i="34"/>
  <c r="P563" i="34"/>
  <c r="X563" i="34"/>
  <c r="A559" i="34"/>
  <c r="Q559" i="34"/>
  <c r="R559" i="34"/>
  <c r="V559" i="34"/>
  <c r="AA559" i="34"/>
  <c r="P559" i="34"/>
  <c r="X559" i="34"/>
  <c r="A552" i="34"/>
  <c r="P552" i="34"/>
  <c r="X552" i="34"/>
  <c r="Q552" i="34"/>
  <c r="R552" i="34"/>
  <c r="V552" i="34"/>
  <c r="AA552" i="34"/>
  <c r="A547" i="34"/>
  <c r="Q547" i="34"/>
  <c r="R547" i="34"/>
  <c r="V547" i="34"/>
  <c r="AA547" i="34"/>
  <c r="P547" i="34"/>
  <c r="X547" i="34"/>
  <c r="A534" i="34"/>
  <c r="R534" i="34"/>
  <c r="V534" i="34"/>
  <c r="AA534" i="34"/>
  <c r="P534" i="34"/>
  <c r="X534" i="34"/>
  <c r="Q534" i="34"/>
  <c r="A1139" i="34"/>
  <c r="Q1139" i="34"/>
  <c r="R1139" i="34"/>
  <c r="V1139" i="34"/>
  <c r="AA1139" i="34"/>
  <c r="P1139" i="34"/>
  <c r="X1139" i="34"/>
  <c r="A210" i="34"/>
  <c r="AA210" i="34"/>
  <c r="R210" i="34"/>
  <c r="V210" i="34"/>
  <c r="P210" i="34"/>
  <c r="Q210" i="34"/>
  <c r="X210" i="34"/>
  <c r="A203" i="34"/>
  <c r="R203" i="34"/>
  <c r="V203" i="34"/>
  <c r="P203" i="34"/>
  <c r="Q203" i="34"/>
  <c r="AA203" i="34"/>
  <c r="X203" i="34"/>
  <c r="A178" i="34"/>
  <c r="Q178" i="34"/>
  <c r="R178" i="34"/>
  <c r="V178" i="34"/>
  <c r="AA178" i="34"/>
  <c r="P178" i="34"/>
  <c r="X178" i="34"/>
  <c r="A205" i="34"/>
  <c r="P205" i="34"/>
  <c r="X205" i="34"/>
  <c r="AA205" i="34"/>
  <c r="Q205" i="34"/>
  <c r="R205" i="34"/>
  <c r="V205" i="34"/>
  <c r="A593" i="34"/>
  <c r="P593" i="34"/>
  <c r="X593" i="34"/>
  <c r="Q593" i="34"/>
  <c r="R593" i="34"/>
  <c r="V593" i="34"/>
  <c r="AA593" i="34"/>
  <c r="A564" i="34"/>
  <c r="P564" i="34"/>
  <c r="X564" i="34"/>
  <c r="Q564" i="34"/>
  <c r="R564" i="34"/>
  <c r="V564" i="34"/>
  <c r="AA564" i="34"/>
  <c r="A521" i="34"/>
  <c r="Q521" i="34"/>
  <c r="R521" i="34"/>
  <c r="V521" i="34"/>
  <c r="AA521" i="34"/>
  <c r="P521" i="34"/>
  <c r="X521" i="34"/>
  <c r="A525" i="34"/>
  <c r="Q525" i="34"/>
  <c r="R525" i="34"/>
  <c r="V525" i="34"/>
  <c r="AA525" i="34"/>
  <c r="P525" i="34"/>
  <c r="X525" i="34"/>
  <c r="A528" i="34"/>
  <c r="Q528" i="34"/>
  <c r="R528" i="34"/>
  <c r="V528" i="34"/>
  <c r="AA528" i="34"/>
  <c r="P528" i="34"/>
  <c r="X528" i="34"/>
  <c r="Q2327" i="34"/>
  <c r="P1504" i="34"/>
  <c r="R1698" i="34"/>
  <c r="Q1502" i="34"/>
  <c r="P1809" i="34"/>
  <c r="P2327" i="34"/>
  <c r="Q2329" i="34"/>
  <c r="Q1807" i="34"/>
  <c r="R1504" i="34"/>
  <c r="P1502" i="34"/>
  <c r="R1809" i="34"/>
  <c r="R2327" i="34"/>
  <c r="P2329" i="34"/>
  <c r="P1807" i="34"/>
  <c r="Q1698" i="34"/>
  <c r="R1502" i="34"/>
  <c r="R2329" i="34"/>
  <c r="R1807" i="34"/>
  <c r="Q1504" i="34"/>
  <c r="P1698" i="34"/>
  <c r="Q1809" i="34"/>
  <c r="P1660" i="34"/>
  <c r="Q1664" i="34"/>
  <c r="P1517" i="34"/>
  <c r="Q1521" i="34"/>
  <c r="Q1558" i="34"/>
  <c r="P1573" i="34"/>
  <c r="R1577" i="34"/>
  <c r="Q1577" i="34"/>
  <c r="Q1599" i="34"/>
  <c r="P1603" i="34"/>
  <c r="Q1607" i="34"/>
  <c r="P1631" i="34"/>
  <c r="Q1635" i="34"/>
  <c r="P1656" i="34"/>
  <c r="P1494" i="34"/>
  <c r="P2670" i="34"/>
  <c r="R1657" i="34"/>
  <c r="Q1657" i="34"/>
  <c r="P1661" i="34"/>
  <c r="R1665" i="34"/>
  <c r="Q1665" i="34"/>
  <c r="Q1518" i="34"/>
  <c r="P1522" i="34"/>
  <c r="Q1574" i="34"/>
  <c r="P1600" i="34"/>
  <c r="Q1604" i="34"/>
  <c r="P1628" i="34"/>
  <c r="Q1632" i="34"/>
  <c r="P1636" i="34"/>
  <c r="P1495" i="34"/>
  <c r="R1664" i="34"/>
  <c r="R1521" i="34"/>
  <c r="R1558" i="34"/>
  <c r="R1599" i="34"/>
  <c r="R1607" i="34"/>
  <c r="R1635" i="34"/>
  <c r="R1518" i="34"/>
  <c r="P1570" i="34"/>
  <c r="R1574" i="34"/>
  <c r="P1578" i="34"/>
  <c r="R1604" i="34"/>
  <c r="R1632" i="34"/>
  <c r="P1658" i="34"/>
  <c r="R1662" i="34"/>
  <c r="P1666" i="34"/>
  <c r="R1575" i="34"/>
  <c r="P1654" i="34"/>
  <c r="Q1660" i="34"/>
  <c r="P1664" i="34"/>
  <c r="Q1517" i="34"/>
  <c r="P1521" i="34"/>
  <c r="R1573" i="34"/>
  <c r="Q1573" i="34"/>
  <c r="P1577" i="34"/>
  <c r="P1599" i="34"/>
  <c r="Q1603" i="34"/>
  <c r="P1607" i="34"/>
  <c r="Q1631" i="34"/>
  <c r="P1635" i="34"/>
  <c r="Q1656" i="34"/>
  <c r="Q1494" i="34"/>
  <c r="Q2670" i="34"/>
  <c r="P1657" i="34"/>
  <c r="R1661" i="34"/>
  <c r="Q1661" i="34"/>
  <c r="P1665" i="34"/>
  <c r="P1518" i="34"/>
  <c r="Q1522" i="34"/>
  <c r="Q1570" i="34"/>
  <c r="Q1578" i="34"/>
  <c r="Q1600" i="34"/>
  <c r="P1604" i="34"/>
  <c r="Q1628" i="34"/>
  <c r="P1632" i="34"/>
  <c r="Q1636" i="34"/>
  <c r="R1495" i="34"/>
  <c r="Q1495" i="34"/>
  <c r="R1660" i="34"/>
  <c r="R1517" i="34"/>
  <c r="P1558" i="34"/>
  <c r="R1603" i="34"/>
  <c r="R1631" i="34"/>
  <c r="R1656" i="34"/>
  <c r="R1494" i="34"/>
  <c r="R2670" i="34"/>
  <c r="R1522" i="34"/>
  <c r="R1570" i="34"/>
  <c r="P1574" i="34"/>
  <c r="R1578" i="34"/>
  <c r="R1600" i="34"/>
  <c r="R1628" i="34"/>
  <c r="R1636" i="34"/>
  <c r="R1658" i="34"/>
  <c r="P1662" i="34"/>
  <c r="R1666" i="34"/>
  <c r="R1571" i="34"/>
  <c r="R1579" i="34"/>
  <c r="R1654" i="34"/>
  <c r="R1659" i="34"/>
  <c r="R1667" i="34"/>
  <c r="Q1601" i="34"/>
  <c r="R1629" i="34"/>
  <c r="Q1654" i="34"/>
  <c r="R1519" i="34"/>
  <c r="Q1519" i="34"/>
  <c r="P1523" i="34"/>
  <c r="P1571" i="34"/>
  <c r="Q1579" i="34"/>
  <c r="P1575" i="34"/>
  <c r="P1601" i="34"/>
  <c r="R1605" i="34"/>
  <c r="Q1605" i="34"/>
  <c r="P1629" i="34"/>
  <c r="R1633" i="34"/>
  <c r="Q1633" i="34"/>
  <c r="Q1658" i="34"/>
  <c r="Q1662" i="34"/>
  <c r="Q1666" i="34"/>
  <c r="P1519" i="34"/>
  <c r="R1523" i="34"/>
  <c r="Q1523" i="34"/>
  <c r="Q1571" i="34"/>
  <c r="P1579" i="34"/>
  <c r="P1515" i="34"/>
  <c r="Q1659" i="34"/>
  <c r="Q1516" i="34"/>
  <c r="R1557" i="34"/>
  <c r="Q1557" i="34"/>
  <c r="Q1572" i="34"/>
  <c r="P1576" i="34"/>
  <c r="Q1580" i="34"/>
  <c r="Q1602" i="34"/>
  <c r="Q1630" i="34"/>
  <c r="P1655" i="34"/>
  <c r="Q1937" i="34"/>
  <c r="Q1575" i="34"/>
  <c r="R1601" i="34"/>
  <c r="P1605" i="34"/>
  <c r="Q1629" i="34"/>
  <c r="P1633" i="34"/>
  <c r="Q1515" i="34"/>
  <c r="P1663" i="34"/>
  <c r="R1515" i="34"/>
  <c r="R1516" i="34"/>
  <c r="P1520" i="34"/>
  <c r="P1557" i="34"/>
  <c r="P1602" i="34"/>
  <c r="R1606" i="34"/>
  <c r="Q1663" i="34"/>
  <c r="P1667" i="34"/>
  <c r="Q1520" i="34"/>
  <c r="R1572" i="34"/>
  <c r="Q1576" i="34"/>
  <c r="P1580" i="34"/>
  <c r="R1630" i="34"/>
  <c r="P1634" i="34"/>
  <c r="Q1655" i="34"/>
  <c r="R1663" i="34"/>
  <c r="P1516" i="34"/>
  <c r="R1520" i="34"/>
  <c r="R1576" i="34"/>
  <c r="R1602" i="34"/>
  <c r="P1606" i="34"/>
  <c r="Q1634" i="34"/>
  <c r="R1655" i="34"/>
  <c r="P1937" i="34"/>
  <c r="P1659" i="34"/>
  <c r="Q1667" i="34"/>
  <c r="P1572" i="34"/>
  <c r="R1580" i="34"/>
  <c r="Q1606" i="34"/>
  <c r="P1630" i="34"/>
  <c r="R1634" i="34"/>
  <c r="R1937" i="34"/>
  <c r="R1506" i="34"/>
  <c r="P1506" i="34"/>
  <c r="Q2638" i="34"/>
  <c r="R2638" i="34"/>
  <c r="Q1506" i="34"/>
  <c r="P2638" i="34"/>
  <c r="Q2636" i="34"/>
  <c r="Q2637" i="34"/>
  <c r="R2636" i="34"/>
  <c r="R2637" i="34"/>
  <c r="P2637" i="34"/>
  <c r="P2636" i="34"/>
  <c r="Q2297" i="34"/>
  <c r="Q2289" i="34"/>
  <c r="Q2203" i="34"/>
  <c r="P2199" i="34"/>
  <c r="Q2195" i="34"/>
  <c r="P2191" i="34"/>
  <c r="Q2187" i="34"/>
  <c r="P2183" i="34"/>
  <c r="Q2179" i="34"/>
  <c r="R2080" i="34"/>
  <c r="Q2080" i="34"/>
  <c r="P2076" i="34"/>
  <c r="R2072" i="34"/>
  <c r="Q2072" i="34"/>
  <c r="P2068" i="34"/>
  <c r="P2018" i="34"/>
  <c r="Q2014" i="34"/>
  <c r="P2010" i="34"/>
  <c r="Q2006" i="34"/>
  <c r="P2402" i="34"/>
  <c r="R2398" i="34"/>
  <c r="Q2345" i="34"/>
  <c r="P1946" i="34"/>
  <c r="P2283" i="34"/>
  <c r="Q2279" i="34"/>
  <c r="P2275" i="34"/>
  <c r="Q2271" i="34"/>
  <c r="P2267" i="34"/>
  <c r="Q2263" i="34"/>
  <c r="P2259" i="34"/>
  <c r="P2176" i="34"/>
  <c r="R2172" i="34"/>
  <c r="Q2172" i="34"/>
  <c r="P2168" i="34"/>
  <c r="R2164" i="34"/>
  <c r="Q2164" i="34"/>
  <c r="P2160" i="34"/>
  <c r="R2156" i="34"/>
  <c r="Q2156" i="34"/>
  <c r="P2152" i="34"/>
  <c r="P2062" i="34"/>
  <c r="Q2058" i="34"/>
  <c r="P2054" i="34"/>
  <c r="Q2050" i="34"/>
  <c r="P2002" i="34"/>
  <c r="Q1998" i="34"/>
  <c r="P1994" i="34"/>
  <c r="Q1990" i="34"/>
  <c r="R2739" i="34"/>
  <c r="Q2739" i="34"/>
  <c r="P2743" i="34"/>
  <c r="R2747" i="34"/>
  <c r="Q2747" i="34"/>
  <c r="Q2545" i="34"/>
  <c r="P2549" i="34"/>
  <c r="Q2553" i="34"/>
  <c r="P2557" i="34"/>
  <c r="Q2561" i="34"/>
  <c r="P2565" i="34"/>
  <c r="Q2569" i="34"/>
  <c r="P2573" i="34"/>
  <c r="Q2577" i="34"/>
  <c r="Q2588" i="34"/>
  <c r="Q2626" i="34"/>
  <c r="P2630" i="34"/>
  <c r="Q2634" i="34"/>
  <c r="P2522" i="34"/>
  <c r="Q2526" i="34"/>
  <c r="P2530" i="34"/>
  <c r="Q2534" i="34"/>
  <c r="P2538" i="34"/>
  <c r="Q2542" i="34"/>
  <c r="Q2584" i="34"/>
  <c r="Q2613" i="34"/>
  <c r="P2617" i="34"/>
  <c r="Q2621" i="34"/>
  <c r="P2713" i="34"/>
  <c r="Q2602" i="34"/>
  <c r="R2671" i="34"/>
  <c r="Q2671" i="34"/>
  <c r="P2675" i="34"/>
  <c r="R2679" i="34"/>
  <c r="Q2679" i="34"/>
  <c r="P2683" i="34"/>
  <c r="R2687" i="34"/>
  <c r="Q2687" i="34"/>
  <c r="P2691" i="34"/>
  <c r="R2695" i="34"/>
  <c r="Q2695" i="34"/>
  <c r="P2699" i="34"/>
  <c r="R2703" i="34"/>
  <c r="Q2703" i="34"/>
  <c r="P2707" i="34"/>
  <c r="P2410" i="34"/>
  <c r="Q2418" i="34"/>
  <c r="Q2453" i="34"/>
  <c r="Q2790" i="34"/>
  <c r="P2457" i="34"/>
  <c r="Q2465" i="34"/>
  <c r="P2469" i="34"/>
  <c r="Q2473" i="34"/>
  <c r="P2477" i="34"/>
  <c r="Q2481" i="34"/>
  <c r="P2485" i="34"/>
  <c r="Q2489" i="34"/>
  <c r="P2493" i="34"/>
  <c r="Q2497" i="34"/>
  <c r="P2581" i="34"/>
  <c r="P2591" i="34"/>
  <c r="R2595" i="34"/>
  <c r="Q2595" i="34"/>
  <c r="P2599" i="34"/>
  <c r="P2518" i="34"/>
  <c r="Q2514" i="34"/>
  <c r="P2421" i="34"/>
  <c r="Q2665" i="34"/>
  <c r="P2661" i="34"/>
  <c r="Q2657" i="34"/>
  <c r="P2653" i="34"/>
  <c r="Q2649" i="34"/>
  <c r="P2645" i="34"/>
  <c r="Q2641" i="34"/>
  <c r="P2609" i="34"/>
  <c r="Q2605" i="34"/>
  <c r="P2510" i="34"/>
  <c r="Q2506" i="34"/>
  <c r="P2502" i="34"/>
  <c r="Q2461" i="34"/>
  <c r="Q2452" i="34"/>
  <c r="R2297" i="34"/>
  <c r="P2293" i="34"/>
  <c r="R2289" i="34"/>
  <c r="R2203" i="34"/>
  <c r="R2195" i="34"/>
  <c r="R2187" i="34"/>
  <c r="R2179" i="34"/>
  <c r="R2014" i="34"/>
  <c r="R2006" i="34"/>
  <c r="R2345" i="34"/>
  <c r="R2279" i="34"/>
  <c r="R2271" i="34"/>
  <c r="R2263" i="34"/>
  <c r="R2058" i="34"/>
  <c r="R2050" i="34"/>
  <c r="R1998" i="34"/>
  <c r="R1990" i="34"/>
  <c r="R2545" i="34"/>
  <c r="R2553" i="34"/>
  <c r="R2561" i="34"/>
  <c r="R2569" i="34"/>
  <c r="R2577" i="34"/>
  <c r="R2588" i="34"/>
  <c r="R2626" i="34"/>
  <c r="R2634" i="34"/>
  <c r="R2526" i="34"/>
  <c r="R2534" i="34"/>
  <c r="R2542" i="34"/>
  <c r="R2584" i="34"/>
  <c r="R2613" i="34"/>
  <c r="R2621" i="34"/>
  <c r="R2602" i="34"/>
  <c r="P2440" i="34"/>
  <c r="P2418" i="34"/>
  <c r="P2453" i="34"/>
  <c r="R2790" i="34"/>
  <c r="R2465" i="34"/>
  <c r="R2473" i="34"/>
  <c r="R2481" i="34"/>
  <c r="R2489" i="34"/>
  <c r="R2497" i="34"/>
  <c r="R2514" i="34"/>
  <c r="R2665" i="34"/>
  <c r="R2657" i="34"/>
  <c r="R2649" i="34"/>
  <c r="R2641" i="34"/>
  <c r="R2605" i="34"/>
  <c r="R2506" i="34"/>
  <c r="R2461" i="34"/>
  <c r="R2452" i="34"/>
  <c r="P2448" i="34"/>
  <c r="R2444" i="34"/>
  <c r="P2436" i="34"/>
  <c r="R2432" i="34"/>
  <c r="P2428" i="34"/>
  <c r="R2737" i="34"/>
  <c r="R2729" i="34"/>
  <c r="R2721" i="34"/>
  <c r="R2067" i="34"/>
  <c r="R2202" i="34"/>
  <c r="R2194" i="34"/>
  <c r="R2186" i="34"/>
  <c r="R2178" i="34"/>
  <c r="R2075" i="34"/>
  <c r="P2017" i="34"/>
  <c r="R2013" i="34"/>
  <c r="P2009" i="34"/>
  <c r="R2005" i="34"/>
  <c r="R2401" i="34"/>
  <c r="R2282" i="34"/>
  <c r="R2274" i="34"/>
  <c r="R2266" i="34"/>
  <c r="R2258" i="34"/>
  <c r="R2171" i="34"/>
  <c r="R2163" i="34"/>
  <c r="R2155" i="34"/>
  <c r="P2061" i="34"/>
  <c r="R2057" i="34"/>
  <c r="P2053" i="34"/>
  <c r="R2049" i="34"/>
  <c r="P2001" i="34"/>
  <c r="R1997" i="34"/>
  <c r="P1993" i="34"/>
  <c r="R1989" i="34"/>
  <c r="P2740" i="34"/>
  <c r="Q2293" i="34"/>
  <c r="P2203" i="34"/>
  <c r="Q2199" i="34"/>
  <c r="P2195" i="34"/>
  <c r="Q2191" i="34"/>
  <c r="P2187" i="34"/>
  <c r="Q2183" i="34"/>
  <c r="P2179" i="34"/>
  <c r="P2080" i="34"/>
  <c r="R2076" i="34"/>
  <c r="Q2076" i="34"/>
  <c r="P2072" i="34"/>
  <c r="R2068" i="34"/>
  <c r="Q2068" i="34"/>
  <c r="Q2018" i="34"/>
  <c r="P2014" i="34"/>
  <c r="Q2010" i="34"/>
  <c r="P2006" i="34"/>
  <c r="Q2402" i="34"/>
  <c r="P2398" i="34"/>
  <c r="Q2398" i="34"/>
  <c r="R1946" i="34"/>
  <c r="Q1946" i="34"/>
  <c r="Q2283" i="34"/>
  <c r="P2279" i="34"/>
  <c r="Q2275" i="34"/>
  <c r="P2271" i="34"/>
  <c r="Q2267" i="34"/>
  <c r="P2263" i="34"/>
  <c r="Q2259" i="34"/>
  <c r="R2176" i="34"/>
  <c r="Q2176" i="34"/>
  <c r="P2172" i="34"/>
  <c r="R2168" i="34"/>
  <c r="Q2168" i="34"/>
  <c r="P2164" i="34"/>
  <c r="R2160" i="34"/>
  <c r="Q2160" i="34"/>
  <c r="P2156" i="34"/>
  <c r="R2152" i="34"/>
  <c r="Q2152" i="34"/>
  <c r="Q2062" i="34"/>
  <c r="P2058" i="34"/>
  <c r="Q2054" i="34"/>
  <c r="P2050" i="34"/>
  <c r="Q2002" i="34"/>
  <c r="P1998" i="34"/>
  <c r="Q1994" i="34"/>
  <c r="P1990" i="34"/>
  <c r="P2739" i="34"/>
  <c r="R2743" i="34"/>
  <c r="Q2743" i="34"/>
  <c r="P2747" i="34"/>
  <c r="P2545" i="34"/>
  <c r="Q2549" i="34"/>
  <c r="P2553" i="34"/>
  <c r="Q2557" i="34"/>
  <c r="P2561" i="34"/>
  <c r="Q2565" i="34"/>
  <c r="P2569" i="34"/>
  <c r="Q2573" i="34"/>
  <c r="P2577" i="34"/>
  <c r="P2626" i="34"/>
  <c r="Q2630" i="34"/>
  <c r="P2634" i="34"/>
  <c r="Q2522" i="34"/>
  <c r="P2526" i="34"/>
  <c r="Q2530" i="34"/>
  <c r="P2534" i="34"/>
  <c r="Q2538" i="34"/>
  <c r="P2542" i="34"/>
  <c r="P2613" i="34"/>
  <c r="Q2617" i="34"/>
  <c r="P2621" i="34"/>
  <c r="Q2713" i="34"/>
  <c r="P2602" i="34"/>
  <c r="P2671" i="34"/>
  <c r="R2675" i="34"/>
  <c r="Q2675" i="34"/>
  <c r="P2679" i="34"/>
  <c r="R2683" i="34"/>
  <c r="Q2683" i="34"/>
  <c r="P2687" i="34"/>
  <c r="R2691" i="34"/>
  <c r="Q2691" i="34"/>
  <c r="P2695" i="34"/>
  <c r="R2699" i="34"/>
  <c r="Q2699" i="34"/>
  <c r="P2703" i="34"/>
  <c r="R2707" i="34"/>
  <c r="Q2707" i="34"/>
  <c r="Q2410" i="34"/>
  <c r="Q2440" i="34"/>
  <c r="R2418" i="34"/>
  <c r="R2453" i="34"/>
  <c r="P2790" i="34"/>
  <c r="Q2457" i="34"/>
  <c r="P2465" i="34"/>
  <c r="Q2469" i="34"/>
  <c r="P2473" i="34"/>
  <c r="Q2477" i="34"/>
  <c r="P2481" i="34"/>
  <c r="Q2485" i="34"/>
  <c r="P2489" i="34"/>
  <c r="Q2493" i="34"/>
  <c r="P2497" i="34"/>
  <c r="Q2581" i="34"/>
  <c r="R2591" i="34"/>
  <c r="Q2591" i="34"/>
  <c r="P2595" i="34"/>
  <c r="R2599" i="34"/>
  <c r="Q2599" i="34"/>
  <c r="Q2518" i="34"/>
  <c r="P2514" i="34"/>
  <c r="Q2421" i="34"/>
  <c r="P2665" i="34"/>
  <c r="Q2661" i="34"/>
  <c r="P2657" i="34"/>
  <c r="Q2653" i="34"/>
  <c r="P2649" i="34"/>
  <c r="Q2645" i="34"/>
  <c r="P2641" i="34"/>
  <c r="Q2609" i="34"/>
  <c r="P2605" i="34"/>
  <c r="Q2510" i="34"/>
  <c r="P2506" i="34"/>
  <c r="Q2502" i="34"/>
  <c r="P2461" i="34"/>
  <c r="P2297" i="34"/>
  <c r="R2293" i="34"/>
  <c r="P2289" i="34"/>
  <c r="R2199" i="34"/>
  <c r="R2191" i="34"/>
  <c r="R2183" i="34"/>
  <c r="R2018" i="34"/>
  <c r="R2010" i="34"/>
  <c r="R2402" i="34"/>
  <c r="P2345" i="34"/>
  <c r="R2283" i="34"/>
  <c r="R2275" i="34"/>
  <c r="R2267" i="34"/>
  <c r="R2259" i="34"/>
  <c r="R2062" i="34"/>
  <c r="R2054" i="34"/>
  <c r="R2002" i="34"/>
  <c r="R1994" i="34"/>
  <c r="R2549" i="34"/>
  <c r="R2557" i="34"/>
  <c r="R2565" i="34"/>
  <c r="R2573" i="34"/>
  <c r="P2588" i="34"/>
  <c r="R2630" i="34"/>
  <c r="R2522" i="34"/>
  <c r="R2530" i="34"/>
  <c r="R2538" i="34"/>
  <c r="P2584" i="34"/>
  <c r="R2617" i="34"/>
  <c r="R2713" i="34"/>
  <c r="R2410" i="34"/>
  <c r="R2440" i="34"/>
  <c r="R2457" i="34"/>
  <c r="R2469" i="34"/>
  <c r="R2477" i="34"/>
  <c r="R2485" i="34"/>
  <c r="R2493" i="34"/>
  <c r="R2581" i="34"/>
  <c r="R2518" i="34"/>
  <c r="R2421" i="34"/>
  <c r="R2661" i="34"/>
  <c r="R2653" i="34"/>
  <c r="R2645" i="34"/>
  <c r="R2609" i="34"/>
  <c r="R2510" i="34"/>
  <c r="R2502" i="34"/>
  <c r="P2452" i="34"/>
  <c r="R2448" i="34"/>
  <c r="P2444" i="34"/>
  <c r="R2436" i="34"/>
  <c r="P2432" i="34"/>
  <c r="R2428" i="34"/>
  <c r="R2733" i="34"/>
  <c r="R2725" i="34"/>
  <c r="R2717" i="34"/>
  <c r="R2198" i="34"/>
  <c r="R2190" i="34"/>
  <c r="R2182" i="34"/>
  <c r="R2079" i="34"/>
  <c r="R2071" i="34"/>
  <c r="R2017" i="34"/>
  <c r="P2013" i="34"/>
  <c r="R2009" i="34"/>
  <c r="P2005" i="34"/>
  <c r="R2286" i="34"/>
  <c r="R2278" i="34"/>
  <c r="R2270" i="34"/>
  <c r="R2262" i="34"/>
  <c r="R2175" i="34"/>
  <c r="R2167" i="34"/>
  <c r="R2159" i="34"/>
  <c r="R2151" i="34"/>
  <c r="R2061" i="34"/>
  <c r="P2057" i="34"/>
  <c r="R2053" i="34"/>
  <c r="P2049" i="34"/>
  <c r="R2001" i="34"/>
  <c r="P1997" i="34"/>
  <c r="R1993" i="34"/>
  <c r="P1989" i="34"/>
  <c r="R2740" i="34"/>
  <c r="P2744" i="34"/>
  <c r="R2748" i="34"/>
  <c r="R2546" i="34"/>
  <c r="R2554" i="34"/>
  <c r="R2562" i="34"/>
  <c r="R2570" i="34"/>
  <c r="R2578" i="34"/>
  <c r="R2749" i="34"/>
  <c r="Q2448" i="34"/>
  <c r="Q2444" i="34"/>
  <c r="Q2436" i="34"/>
  <c r="Q2432" i="34"/>
  <c r="Q2428" i="34"/>
  <c r="R2415" i="34"/>
  <c r="Q2415" i="34"/>
  <c r="Q2737" i="34"/>
  <c r="P2729" i="34"/>
  <c r="Q2721" i="34"/>
  <c r="P2067" i="34"/>
  <c r="P2198" i="34"/>
  <c r="Q2190" i="34"/>
  <c r="P2182" i="34"/>
  <c r="Q2079" i="34"/>
  <c r="P2071" i="34"/>
  <c r="P2348" i="34"/>
  <c r="R2344" i="34"/>
  <c r="Q2344" i="34"/>
  <c r="Q2286" i="34"/>
  <c r="P2278" i="34"/>
  <c r="Q2270" i="34"/>
  <c r="P2262" i="34"/>
  <c r="Q2175" i="34"/>
  <c r="P2167" i="34"/>
  <c r="Q2159" i="34"/>
  <c r="P2151" i="34"/>
  <c r="P2748" i="34"/>
  <c r="P2550" i="34"/>
  <c r="Q2554" i="34"/>
  <c r="Q2566" i="34"/>
  <c r="P2570" i="34"/>
  <c r="R2574" i="34"/>
  <c r="R2623" i="34"/>
  <c r="Q2623" i="34"/>
  <c r="P2627" i="34"/>
  <c r="R2631" i="34"/>
  <c r="Q2631" i="34"/>
  <c r="Q2749" i="34"/>
  <c r="R2614" i="34"/>
  <c r="R2622" i="34"/>
  <c r="R2654" i="34"/>
  <c r="R2672" i="34"/>
  <c r="P2676" i="34"/>
  <c r="R2680" i="34"/>
  <c r="P2684" i="34"/>
  <c r="R2688" i="34"/>
  <c r="P2692" i="34"/>
  <c r="R2696" i="34"/>
  <c r="P2700" i="34"/>
  <c r="R2704" i="34"/>
  <c r="P2708" i="34"/>
  <c r="R2441" i="34"/>
  <c r="P2454" i="34"/>
  <c r="P2791" i="34"/>
  <c r="R2419" i="34"/>
  <c r="Q2419" i="34"/>
  <c r="Q2466" i="34"/>
  <c r="P2470" i="34"/>
  <c r="Q2474" i="34"/>
  <c r="P2478" i="34"/>
  <c r="Q2482" i="34"/>
  <c r="P2486" i="34"/>
  <c r="Q2490" i="34"/>
  <c r="P2494" i="34"/>
  <c r="Q2498" i="34"/>
  <c r="P2582" i="34"/>
  <c r="Q2596" i="34"/>
  <c r="P2517" i="34"/>
  <c r="Q2513" i="34"/>
  <c r="P2462" i="34"/>
  <c r="Q2660" i="34"/>
  <c r="Q2652" i="34"/>
  <c r="Q2644" i="34"/>
  <c r="Q2608" i="34"/>
  <c r="P2509" i="34"/>
  <c r="Q2505" i="34"/>
  <c r="P2501" i="34"/>
  <c r="R2451" i="34"/>
  <c r="Q2451" i="34"/>
  <c r="P2447" i="34"/>
  <c r="R2443" i="34"/>
  <c r="Q2443" i="34"/>
  <c r="P2439" i="34"/>
  <c r="R2435" i="34"/>
  <c r="Q2435" i="34"/>
  <c r="P2431" i="34"/>
  <c r="R2427" i="34"/>
  <c r="Q2427" i="34"/>
  <c r="Q2414" i="34"/>
  <c r="Q2736" i="34"/>
  <c r="Q2728" i="34"/>
  <c r="Q2720" i="34"/>
  <c r="P2166" i="34"/>
  <c r="Q2295" i="34"/>
  <c r="P2291" i="34"/>
  <c r="Q2287" i="34"/>
  <c r="Q2201" i="34"/>
  <c r="Q2193" i="34"/>
  <c r="Q2185" i="34"/>
  <c r="P2082" i="34"/>
  <c r="Q2078" i="34"/>
  <c r="P2074" i="34"/>
  <c r="Q2070" i="34"/>
  <c r="P2066" i="34"/>
  <c r="P2016" i="34"/>
  <c r="R2012" i="34"/>
  <c r="Q2012" i="34"/>
  <c r="P2008" i="34"/>
  <c r="R2004" i="34"/>
  <c r="Q2004" i="34"/>
  <c r="P2347" i="34"/>
  <c r="Q2343" i="34"/>
  <c r="Q2285" i="34"/>
  <c r="Q2277" i="34"/>
  <c r="Q2269" i="34"/>
  <c r="Q2261" i="34"/>
  <c r="P2174" i="34"/>
  <c r="Q2170" i="34"/>
  <c r="P2162" i="34"/>
  <c r="Q2158" i="34"/>
  <c r="P2154" i="34"/>
  <c r="P2064" i="34"/>
  <c r="R2060" i="34"/>
  <c r="Q2060" i="34"/>
  <c r="P2056" i="34"/>
  <c r="R2052" i="34"/>
  <c r="Q2052" i="34"/>
  <c r="P2048" i="34"/>
  <c r="R2000" i="34"/>
  <c r="Q2000" i="34"/>
  <c r="P1996" i="34"/>
  <c r="Q2733" i="34"/>
  <c r="P2725" i="34"/>
  <c r="Q2717" i="34"/>
  <c r="R2296" i="34"/>
  <c r="Q2296" i="34"/>
  <c r="P2292" i="34"/>
  <c r="R2288" i="34"/>
  <c r="Q2288" i="34"/>
  <c r="Q2202" i="34"/>
  <c r="P2194" i="34"/>
  <c r="Q2186" i="34"/>
  <c r="P2178" i="34"/>
  <c r="Q2075" i="34"/>
  <c r="Q2017" i="34"/>
  <c r="Q2013" i="34"/>
  <c r="Q2009" i="34"/>
  <c r="Q2005" i="34"/>
  <c r="P2401" i="34"/>
  <c r="Q2282" i="34"/>
  <c r="P2274" i="34"/>
  <c r="Q2266" i="34"/>
  <c r="P2258" i="34"/>
  <c r="Q2171" i="34"/>
  <c r="P2163" i="34"/>
  <c r="Q2155" i="34"/>
  <c r="Q2061" i="34"/>
  <c r="Q2057" i="34"/>
  <c r="Q2053" i="34"/>
  <c r="Q2049" i="34"/>
  <c r="Q2001" i="34"/>
  <c r="Q1997" i="34"/>
  <c r="Q1993" i="34"/>
  <c r="Q1989" i="34"/>
  <c r="Q2740" i="34"/>
  <c r="Q2744" i="34"/>
  <c r="Q2546" i="34"/>
  <c r="Q2558" i="34"/>
  <c r="P2562" i="34"/>
  <c r="R2566" i="34"/>
  <c r="P2574" i="34"/>
  <c r="Q2578" i="34"/>
  <c r="P2523" i="34"/>
  <c r="R2527" i="34"/>
  <c r="Q2527" i="34"/>
  <c r="P2531" i="34"/>
  <c r="R2535" i="34"/>
  <c r="Q2535" i="34"/>
  <c r="P2539" i="34"/>
  <c r="R2543" i="34"/>
  <c r="Q2543" i="34"/>
  <c r="Q2585" i="34"/>
  <c r="P2614" i="34"/>
  <c r="Q2618" i="34"/>
  <c r="P2622" i="34"/>
  <c r="Q2714" i="34"/>
  <c r="P2654" i="34"/>
  <c r="Q2676" i="34"/>
  <c r="Q2684" i="34"/>
  <c r="Q2692" i="34"/>
  <c r="Q2700" i="34"/>
  <c r="Q2708" i="34"/>
  <c r="Q2409" i="34"/>
  <c r="P2441" i="34"/>
  <c r="Q2423" i="34"/>
  <c r="R2466" i="34"/>
  <c r="R2474" i="34"/>
  <c r="R2482" i="34"/>
  <c r="R2490" i="34"/>
  <c r="R2498" i="34"/>
  <c r="P2592" i="34"/>
  <c r="R2596" i="34"/>
  <c r="P2600" i="34"/>
  <c r="R2513" i="34"/>
  <c r="P2664" i="34"/>
  <c r="R2660" i="34"/>
  <c r="P2656" i="34"/>
  <c r="R2652" i="34"/>
  <c r="P2648" i="34"/>
  <c r="R2644" i="34"/>
  <c r="P2640" i="34"/>
  <c r="R2608" i="34"/>
  <c r="P2604" i="34"/>
  <c r="R2505" i="34"/>
  <c r="P2460" i="34"/>
  <c r="R2414" i="34"/>
  <c r="R2736" i="34"/>
  <c r="P2732" i="34"/>
  <c r="R2728" i="34"/>
  <c r="P2724" i="34"/>
  <c r="R2720" i="34"/>
  <c r="P2716" i="34"/>
  <c r="R2295" i="34"/>
  <c r="R2287" i="34"/>
  <c r="R2201" i="34"/>
  <c r="P2197" i="34"/>
  <c r="R2193" i="34"/>
  <c r="P2189" i="34"/>
  <c r="R2185" i="34"/>
  <c r="P2181" i="34"/>
  <c r="R2078" i="34"/>
  <c r="R2070" i="34"/>
  <c r="P2400" i="34"/>
  <c r="R2343" i="34"/>
  <c r="R2285" i="34"/>
  <c r="P2281" i="34"/>
  <c r="R2277" i="34"/>
  <c r="P2273" i="34"/>
  <c r="R2269" i="34"/>
  <c r="P2265" i="34"/>
  <c r="R2261" i="34"/>
  <c r="P2257" i="34"/>
  <c r="R2170" i="34"/>
  <c r="R2158" i="34"/>
  <c r="R2745" i="34"/>
  <c r="R2586" i="34"/>
  <c r="R2624" i="34"/>
  <c r="P2628" i="34"/>
  <c r="R2632" i="34"/>
  <c r="P2520" i="34"/>
  <c r="R2524" i="34"/>
  <c r="P2528" i="34"/>
  <c r="R2532" i="34"/>
  <c r="P2536" i="34"/>
  <c r="R2540" i="34"/>
  <c r="P2544" i="34"/>
  <c r="P2415" i="34"/>
  <c r="P2737" i="34"/>
  <c r="Q2729" i="34"/>
  <c r="P2721" i="34"/>
  <c r="Q2067" i="34"/>
  <c r="Q2198" i="34"/>
  <c r="P2190" i="34"/>
  <c r="Q2182" i="34"/>
  <c r="P2079" i="34"/>
  <c r="Q2071" i="34"/>
  <c r="R2348" i="34"/>
  <c r="Q2348" i="34"/>
  <c r="P2344" i="34"/>
  <c r="P2286" i="34"/>
  <c r="Q2278" i="34"/>
  <c r="P2270" i="34"/>
  <c r="Q2262" i="34"/>
  <c r="P2175" i="34"/>
  <c r="Q2167" i="34"/>
  <c r="P2159" i="34"/>
  <c r="Q2151" i="34"/>
  <c r="R2744" i="34"/>
  <c r="Q2748" i="34"/>
  <c r="Q2550" i="34"/>
  <c r="P2554" i="34"/>
  <c r="R2558" i="34"/>
  <c r="P2566" i="34"/>
  <c r="Q2570" i="34"/>
  <c r="P2623" i="34"/>
  <c r="R2627" i="34"/>
  <c r="Q2627" i="34"/>
  <c r="P2631" i="34"/>
  <c r="P2749" i="34"/>
  <c r="R2585" i="34"/>
  <c r="R2618" i="34"/>
  <c r="R2714" i="34"/>
  <c r="P2672" i="34"/>
  <c r="R2676" i="34"/>
  <c r="P2680" i="34"/>
  <c r="R2684" i="34"/>
  <c r="P2688" i="34"/>
  <c r="R2692" i="34"/>
  <c r="P2696" i="34"/>
  <c r="R2700" i="34"/>
  <c r="P2704" i="34"/>
  <c r="R2708" i="34"/>
  <c r="R2409" i="34"/>
  <c r="P2423" i="34"/>
  <c r="Q2454" i="34"/>
  <c r="R2791" i="34"/>
  <c r="Q2791" i="34"/>
  <c r="P2419" i="34"/>
  <c r="P2466" i="34"/>
  <c r="Q2470" i="34"/>
  <c r="P2474" i="34"/>
  <c r="Q2478" i="34"/>
  <c r="P2482" i="34"/>
  <c r="Q2486" i="34"/>
  <c r="P2490" i="34"/>
  <c r="Q2494" i="34"/>
  <c r="P2498" i="34"/>
  <c r="Q2582" i="34"/>
  <c r="Q2592" i="34"/>
  <c r="Q2600" i="34"/>
  <c r="Q2517" i="34"/>
  <c r="P2513" i="34"/>
  <c r="Q2462" i="34"/>
  <c r="Q2664" i="34"/>
  <c r="Q2656" i="34"/>
  <c r="Q2648" i="34"/>
  <c r="Q2640" i="34"/>
  <c r="Q2604" i="34"/>
  <c r="Q2509" i="34"/>
  <c r="P2505" i="34"/>
  <c r="Q2501" i="34"/>
  <c r="Q2460" i="34"/>
  <c r="P2451" i="34"/>
  <c r="R2447" i="34"/>
  <c r="Q2447" i="34"/>
  <c r="P2443" i="34"/>
  <c r="R2439" i="34"/>
  <c r="Q2439" i="34"/>
  <c r="P2435" i="34"/>
  <c r="R2431" i="34"/>
  <c r="Q2431" i="34"/>
  <c r="P2427" i="34"/>
  <c r="P2414" i="34"/>
  <c r="Q2732" i="34"/>
  <c r="Q2724" i="34"/>
  <c r="Q2716" i="34"/>
  <c r="Q2166" i="34"/>
  <c r="P2295" i="34"/>
  <c r="Q2291" i="34"/>
  <c r="P2287" i="34"/>
  <c r="Q2197" i="34"/>
  <c r="Q2189" i="34"/>
  <c r="Q2181" i="34"/>
  <c r="Q2082" i="34"/>
  <c r="P2078" i="34"/>
  <c r="Q2074" i="34"/>
  <c r="P2070" i="34"/>
  <c r="Q2066" i="34"/>
  <c r="R2016" i="34"/>
  <c r="Q2016" i="34"/>
  <c r="P2012" i="34"/>
  <c r="R2008" i="34"/>
  <c r="Q2008" i="34"/>
  <c r="P2004" i="34"/>
  <c r="Q2400" i="34"/>
  <c r="Q2347" i="34"/>
  <c r="P2343" i="34"/>
  <c r="Q2281" i="34"/>
  <c r="Q2273" i="34"/>
  <c r="Q2265" i="34"/>
  <c r="Q2257" i="34"/>
  <c r="Q2174" i="34"/>
  <c r="P2170" i="34"/>
  <c r="Q2162" i="34"/>
  <c r="P2158" i="34"/>
  <c r="Q2154" i="34"/>
  <c r="R2064" i="34"/>
  <c r="Q2064" i="34"/>
  <c r="P2060" i="34"/>
  <c r="R2056" i="34"/>
  <c r="Q2056" i="34"/>
  <c r="P2052" i="34"/>
  <c r="R2048" i="34"/>
  <c r="Q2048" i="34"/>
  <c r="P2000" i="34"/>
  <c r="P2733" i="34"/>
  <c r="Q2725" i="34"/>
  <c r="P2717" i="34"/>
  <c r="P2296" i="34"/>
  <c r="R2292" i="34"/>
  <c r="Q2292" i="34"/>
  <c r="P2288" i="34"/>
  <c r="P2202" i="34"/>
  <c r="Q2194" i="34"/>
  <c r="P2186" i="34"/>
  <c r="Q2178" i="34"/>
  <c r="P2075" i="34"/>
  <c r="Q2401" i="34"/>
  <c r="P2282" i="34"/>
  <c r="Q2274" i="34"/>
  <c r="P2266" i="34"/>
  <c r="Q2258" i="34"/>
  <c r="P2171" i="34"/>
  <c r="Q2163" i="34"/>
  <c r="P2155" i="34"/>
  <c r="P2546" i="34"/>
  <c r="R2550" i="34"/>
  <c r="P2558" i="34"/>
  <c r="Q2562" i="34"/>
  <c r="Q2574" i="34"/>
  <c r="P2578" i="34"/>
  <c r="R2523" i="34"/>
  <c r="Q2523" i="34"/>
  <c r="P2527" i="34"/>
  <c r="R2531" i="34"/>
  <c r="Q2531" i="34"/>
  <c r="P2535" i="34"/>
  <c r="R2539" i="34"/>
  <c r="Q2539" i="34"/>
  <c r="P2543" i="34"/>
  <c r="P2585" i="34"/>
  <c r="Q2614" i="34"/>
  <c r="P2618" i="34"/>
  <c r="Q2622" i="34"/>
  <c r="P2714" i="34"/>
  <c r="Q2654" i="34"/>
  <c r="Q2672" i="34"/>
  <c r="Q2680" i="34"/>
  <c r="Q2688" i="34"/>
  <c r="Q2696" i="34"/>
  <c r="Q2704" i="34"/>
  <c r="P2409" i="34"/>
  <c r="Q2441" i="34"/>
  <c r="R2423" i="34"/>
  <c r="R2454" i="34"/>
  <c r="R2470" i="34"/>
  <c r="R2478" i="34"/>
  <c r="R2486" i="34"/>
  <c r="R2494" i="34"/>
  <c r="R2582" i="34"/>
  <c r="R2592" i="34"/>
  <c r="P2596" i="34"/>
  <c r="R2600" i="34"/>
  <c r="R2517" i="34"/>
  <c r="R2462" i="34"/>
  <c r="R2664" i="34"/>
  <c r="P2660" i="34"/>
  <c r="R2656" i="34"/>
  <c r="P2652" i="34"/>
  <c r="R2648" i="34"/>
  <c r="P2644" i="34"/>
  <c r="R2640" i="34"/>
  <c r="P2608" i="34"/>
  <c r="R2604" i="34"/>
  <c r="R2509" i="34"/>
  <c r="R2501" i="34"/>
  <c r="R2460" i="34"/>
  <c r="P2736" i="34"/>
  <c r="R2732" i="34"/>
  <c r="P2728" i="34"/>
  <c r="R2724" i="34"/>
  <c r="P2720" i="34"/>
  <c r="R2716" i="34"/>
  <c r="R2166" i="34"/>
  <c r="R2291" i="34"/>
  <c r="P2201" i="34"/>
  <c r="R2197" i="34"/>
  <c r="P2193" i="34"/>
  <c r="R2189" i="34"/>
  <c r="P2185" i="34"/>
  <c r="R2181" i="34"/>
  <c r="R2082" i="34"/>
  <c r="R2074" i="34"/>
  <c r="R2066" i="34"/>
  <c r="R2400" i="34"/>
  <c r="R2347" i="34"/>
  <c r="P2285" i="34"/>
  <c r="R2281" i="34"/>
  <c r="P2277" i="34"/>
  <c r="R2273" i="34"/>
  <c r="P2269" i="34"/>
  <c r="R2265" i="34"/>
  <c r="P2261" i="34"/>
  <c r="R2257" i="34"/>
  <c r="R2174" i="34"/>
  <c r="R2162" i="34"/>
  <c r="R2154" i="34"/>
  <c r="R2741" i="34"/>
  <c r="P2624" i="34"/>
  <c r="R2628" i="34"/>
  <c r="P2632" i="34"/>
  <c r="R2520" i="34"/>
  <c r="P2524" i="34"/>
  <c r="R2528" i="34"/>
  <c r="P2532" i="34"/>
  <c r="R2536" i="34"/>
  <c r="P2540" i="34"/>
  <c r="R2544" i="34"/>
  <c r="R2668" i="34"/>
  <c r="R2673" i="34"/>
  <c r="R2681" i="34"/>
  <c r="R2689" i="34"/>
  <c r="R2697" i="34"/>
  <c r="R2705" i="34"/>
  <c r="P2424" i="34"/>
  <c r="P2792" i="34"/>
  <c r="R2420" i="34"/>
  <c r="R2593" i="34"/>
  <c r="R2601" i="34"/>
  <c r="R2516" i="34"/>
  <c r="P2512" i="34"/>
  <c r="R2508" i="34"/>
  <c r="P2504" i="34"/>
  <c r="R2500" i="34"/>
  <c r="R2446" i="34"/>
  <c r="R2434" i="34"/>
  <c r="R2426" i="34"/>
  <c r="R2294" i="34"/>
  <c r="R2081" i="34"/>
  <c r="P2077" i="34"/>
  <c r="R2073" i="34"/>
  <c r="P2069" i="34"/>
  <c r="R2065" i="34"/>
  <c r="R2015" i="34"/>
  <c r="R2007" i="34"/>
  <c r="R2342" i="34"/>
  <c r="P2177" i="34"/>
  <c r="R2173" i="34"/>
  <c r="P2169" i="34"/>
  <c r="R2165" i="34"/>
  <c r="P2161" i="34"/>
  <c r="R2157" i="34"/>
  <c r="P2153" i="34"/>
  <c r="R2059" i="34"/>
  <c r="R2051" i="34"/>
  <c r="R1999" i="34"/>
  <c r="R1991" i="34"/>
  <c r="R2742" i="34"/>
  <c r="R2422" i="34"/>
  <c r="R2548" i="34"/>
  <c r="P2552" i="34"/>
  <c r="R2556" i="34"/>
  <c r="P2560" i="34"/>
  <c r="R2564" i="34"/>
  <c r="P2568" i="34"/>
  <c r="R2572" i="34"/>
  <c r="P2576" i="34"/>
  <c r="R2625" i="34"/>
  <c r="R2633" i="34"/>
  <c r="R2525" i="34"/>
  <c r="R2533" i="34"/>
  <c r="R2541" i="34"/>
  <c r="P2612" i="34"/>
  <c r="R2616" i="34"/>
  <c r="P2620" i="34"/>
  <c r="R1992" i="34"/>
  <c r="Q1992" i="34"/>
  <c r="P1988" i="34"/>
  <c r="P2741" i="34"/>
  <c r="P2463" i="34"/>
  <c r="R2547" i="34"/>
  <c r="Q2547" i="34"/>
  <c r="P2551" i="34"/>
  <c r="R2555" i="34"/>
  <c r="Q2555" i="34"/>
  <c r="P2559" i="34"/>
  <c r="R2563" i="34"/>
  <c r="Q2563" i="34"/>
  <c r="P2567" i="34"/>
  <c r="R2571" i="34"/>
  <c r="Q2571" i="34"/>
  <c r="P2575" i="34"/>
  <c r="P2586" i="34"/>
  <c r="P2673" i="34"/>
  <c r="R2677" i="34"/>
  <c r="P2685" i="34"/>
  <c r="Q2689" i="34"/>
  <c r="Q2701" i="34"/>
  <c r="P2705" i="34"/>
  <c r="R2709" i="34"/>
  <c r="R2442" i="34"/>
  <c r="R2424" i="34"/>
  <c r="R2455" i="34"/>
  <c r="Q2455" i="34"/>
  <c r="R2467" i="34"/>
  <c r="Q2467" i="34"/>
  <c r="P2471" i="34"/>
  <c r="R2475" i="34"/>
  <c r="Q2475" i="34"/>
  <c r="P2479" i="34"/>
  <c r="R2483" i="34"/>
  <c r="Q2483" i="34"/>
  <c r="P2487" i="34"/>
  <c r="R2491" i="34"/>
  <c r="Q2491" i="34"/>
  <c r="P2495" i="34"/>
  <c r="R2579" i="34"/>
  <c r="Q2579" i="34"/>
  <c r="Q2589" i="34"/>
  <c r="P2593" i="34"/>
  <c r="R2597" i="34"/>
  <c r="Q2516" i="34"/>
  <c r="P2667" i="34"/>
  <c r="R2663" i="34"/>
  <c r="Q2663" i="34"/>
  <c r="P2659" i="34"/>
  <c r="R2655" i="34"/>
  <c r="Q2655" i="34"/>
  <c r="P2651" i="34"/>
  <c r="R2647" i="34"/>
  <c r="Q2647" i="34"/>
  <c r="P2643" i="34"/>
  <c r="Q2639" i="34"/>
  <c r="P2607" i="34"/>
  <c r="R2603" i="34"/>
  <c r="Q2603" i="34"/>
  <c r="P2508" i="34"/>
  <c r="R2504" i="34"/>
  <c r="Q2500" i="34"/>
  <c r="Q2438" i="34"/>
  <c r="P2434" i="34"/>
  <c r="R2430" i="34"/>
  <c r="P2413" i="34"/>
  <c r="P2735" i="34"/>
  <c r="Q2731" i="34"/>
  <c r="R2723" i="34"/>
  <c r="P2719" i="34"/>
  <c r="Q2294" i="34"/>
  <c r="P2346" i="34"/>
  <c r="R2169" i="34"/>
  <c r="P2157" i="34"/>
  <c r="P2063" i="34"/>
  <c r="Q2047" i="34"/>
  <c r="Q2742" i="34"/>
  <c r="R2552" i="34"/>
  <c r="R2568" i="34"/>
  <c r="P2625" i="34"/>
  <c r="Q2537" i="34"/>
  <c r="Q2616" i="34"/>
  <c r="P2674" i="34"/>
  <c r="P2682" i="34"/>
  <c r="P2690" i="34"/>
  <c r="P2698" i="34"/>
  <c r="P2706" i="34"/>
  <c r="P2433" i="34"/>
  <c r="Q2480" i="34"/>
  <c r="P2590" i="34"/>
  <c r="P2598" i="34"/>
  <c r="R2515" i="34"/>
  <c r="P2666" i="34"/>
  <c r="Q2662" i="34"/>
  <c r="Q2650" i="34"/>
  <c r="P2610" i="34"/>
  <c r="R2507" i="34"/>
  <c r="R2499" i="34"/>
  <c r="Q2458" i="34"/>
  <c r="P2437" i="34"/>
  <c r="Q2416" i="34"/>
  <c r="P2722" i="34"/>
  <c r="Q2511" i="34"/>
  <c r="P2642" i="34"/>
  <c r="Q2610" i="34"/>
  <c r="R2503" i="34"/>
  <c r="P2445" i="34"/>
  <c r="P2429" i="34"/>
  <c r="P2730" i="34"/>
  <c r="P2745" i="34"/>
  <c r="Q2624" i="34"/>
  <c r="Q2628" i="34"/>
  <c r="Q2632" i="34"/>
  <c r="Q2520" i="34"/>
  <c r="Q2524" i="34"/>
  <c r="Q2528" i="34"/>
  <c r="Q2532" i="34"/>
  <c r="Q2536" i="34"/>
  <c r="Q2540" i="34"/>
  <c r="Q2544" i="34"/>
  <c r="R2611" i="34"/>
  <c r="Q2611" i="34"/>
  <c r="P2615" i="34"/>
  <c r="R2619" i="34"/>
  <c r="Q2619" i="34"/>
  <c r="P2711" i="34"/>
  <c r="R2715" i="34"/>
  <c r="Q2715" i="34"/>
  <c r="P2668" i="34"/>
  <c r="P2677" i="34"/>
  <c r="Q2681" i="34"/>
  <c r="Q2693" i="34"/>
  <c r="P2697" i="34"/>
  <c r="R2701" i="34"/>
  <c r="P2709" i="34"/>
  <c r="P2411" i="34"/>
  <c r="P2442" i="34"/>
  <c r="P2420" i="34"/>
  <c r="R2589" i="34"/>
  <c r="P2597" i="34"/>
  <c r="Q2601" i="34"/>
  <c r="Q2512" i="34"/>
  <c r="R2459" i="34"/>
  <c r="Q2459" i="34"/>
  <c r="Q2450" i="34"/>
  <c r="P2446" i="34"/>
  <c r="R2438" i="34"/>
  <c r="P2430" i="34"/>
  <c r="Q2426" i="34"/>
  <c r="Q2290" i="34"/>
  <c r="R2204" i="34"/>
  <c r="Q2204" i="34"/>
  <c r="P2200" i="34"/>
  <c r="R2196" i="34"/>
  <c r="Q2196" i="34"/>
  <c r="P2192" i="34"/>
  <c r="R2188" i="34"/>
  <c r="Q2188" i="34"/>
  <c r="P2184" i="34"/>
  <c r="R2180" i="34"/>
  <c r="Q2180" i="34"/>
  <c r="P2081" i="34"/>
  <c r="R2077" i="34"/>
  <c r="Q2073" i="34"/>
  <c r="P2065" i="34"/>
  <c r="P2011" i="34"/>
  <c r="Q2007" i="34"/>
  <c r="P2284" i="34"/>
  <c r="R2280" i="34"/>
  <c r="Q2280" i="34"/>
  <c r="P2276" i="34"/>
  <c r="R2272" i="34"/>
  <c r="Q2272" i="34"/>
  <c r="P2268" i="34"/>
  <c r="R2264" i="34"/>
  <c r="Q2264" i="34"/>
  <c r="P2260" i="34"/>
  <c r="Q2177" i="34"/>
  <c r="Q2161" i="34"/>
  <c r="Q2055" i="34"/>
  <c r="P2051" i="34"/>
  <c r="R2047" i="34"/>
  <c r="P1995" i="34"/>
  <c r="Q1991" i="34"/>
  <c r="Q2746" i="34"/>
  <c r="P2422" i="34"/>
  <c r="Q2560" i="34"/>
  <c r="Q2576" i="34"/>
  <c r="P2629" i="34"/>
  <c r="Q2633" i="34"/>
  <c r="Q2529" i="34"/>
  <c r="P2533" i="34"/>
  <c r="R2537" i="34"/>
  <c r="R2583" i="34"/>
  <c r="Q2583" i="34"/>
  <c r="Q2620" i="34"/>
  <c r="P2712" i="34"/>
  <c r="R2669" i="34"/>
  <c r="R2678" i="34"/>
  <c r="R2686" i="34"/>
  <c r="R2694" i="34"/>
  <c r="R2702" i="34"/>
  <c r="R2710" i="34"/>
  <c r="Q2417" i="34"/>
  <c r="Q2425" i="34"/>
  <c r="R2635" i="34"/>
  <c r="P2456" i="34"/>
  <c r="R2464" i="34"/>
  <c r="P2468" i="34"/>
  <c r="R2472" i="34"/>
  <c r="P2476" i="34"/>
  <c r="R2480" i="34"/>
  <c r="P2484" i="34"/>
  <c r="R2488" i="34"/>
  <c r="P2492" i="34"/>
  <c r="R2496" i="34"/>
  <c r="P2580" i="34"/>
  <c r="R2594" i="34"/>
  <c r="R2662" i="34"/>
  <c r="R2650" i="34"/>
  <c r="R2642" i="34"/>
  <c r="R2606" i="34"/>
  <c r="R2458" i="34"/>
  <c r="R2445" i="34"/>
  <c r="R2429" i="34"/>
  <c r="R2416" i="34"/>
  <c r="P2412" i="34"/>
  <c r="Q2658" i="34"/>
  <c r="P2507" i="34"/>
  <c r="P2458" i="34"/>
  <c r="Q2738" i="34"/>
  <c r="P2718" i="34"/>
  <c r="Q1996" i="34"/>
  <c r="P1992" i="34"/>
  <c r="R1988" i="34"/>
  <c r="Q1988" i="34"/>
  <c r="Q2741" i="34"/>
  <c r="R2463" i="34"/>
  <c r="Q2463" i="34"/>
  <c r="P2547" i="34"/>
  <c r="R2551" i="34"/>
  <c r="Q2551" i="34"/>
  <c r="P2555" i="34"/>
  <c r="R2559" i="34"/>
  <c r="Q2559" i="34"/>
  <c r="P2563" i="34"/>
  <c r="R2567" i="34"/>
  <c r="Q2567" i="34"/>
  <c r="P2571" i="34"/>
  <c r="R2575" i="34"/>
  <c r="Q2575" i="34"/>
  <c r="Q2586" i="34"/>
  <c r="Q2673" i="34"/>
  <c r="Q2685" i="34"/>
  <c r="P2689" i="34"/>
  <c r="R2693" i="34"/>
  <c r="P2701" i="34"/>
  <c r="Q2705" i="34"/>
  <c r="P2455" i="34"/>
  <c r="Q2792" i="34"/>
  <c r="P2467" i="34"/>
  <c r="R2471" i="34"/>
  <c r="Q2471" i="34"/>
  <c r="P2475" i="34"/>
  <c r="R2479" i="34"/>
  <c r="Q2479" i="34"/>
  <c r="P2483" i="34"/>
  <c r="R2487" i="34"/>
  <c r="Q2487" i="34"/>
  <c r="P2491" i="34"/>
  <c r="R2495" i="34"/>
  <c r="Q2495" i="34"/>
  <c r="P2579" i="34"/>
  <c r="P2589" i="34"/>
  <c r="Q2593" i="34"/>
  <c r="P2516" i="34"/>
  <c r="R2512" i="34"/>
  <c r="R2667" i="34"/>
  <c r="Q2667" i="34"/>
  <c r="P2663" i="34"/>
  <c r="R2659" i="34"/>
  <c r="Q2659" i="34"/>
  <c r="P2655" i="34"/>
  <c r="R2651" i="34"/>
  <c r="Q2651" i="34"/>
  <c r="P2647" i="34"/>
  <c r="R2643" i="34"/>
  <c r="Q2643" i="34"/>
  <c r="P2639" i="34"/>
  <c r="R2607" i="34"/>
  <c r="Q2607" i="34"/>
  <c r="P2603" i="34"/>
  <c r="Q2508" i="34"/>
  <c r="P2500" i="34"/>
  <c r="R2450" i="34"/>
  <c r="P2438" i="34"/>
  <c r="Q2434" i="34"/>
  <c r="Q2413" i="34"/>
  <c r="R2735" i="34"/>
  <c r="Q2735" i="34"/>
  <c r="P2731" i="34"/>
  <c r="R2727" i="34"/>
  <c r="Q2727" i="34"/>
  <c r="P2723" i="34"/>
  <c r="R2719" i="34"/>
  <c r="Q2719" i="34"/>
  <c r="Q1987" i="34"/>
  <c r="P2294" i="34"/>
  <c r="R2290" i="34"/>
  <c r="Q2069" i="34"/>
  <c r="Q2015" i="34"/>
  <c r="Q2003" i="34"/>
  <c r="R2399" i="34"/>
  <c r="Q2399" i="34"/>
  <c r="Q2346" i="34"/>
  <c r="P2342" i="34"/>
  <c r="R2177" i="34"/>
  <c r="Q2173" i="34"/>
  <c r="P2165" i="34"/>
  <c r="R2161" i="34"/>
  <c r="Q2157" i="34"/>
  <c r="Q2063" i="34"/>
  <c r="P2059" i="34"/>
  <c r="R2055" i="34"/>
  <c r="P2047" i="34"/>
  <c r="Q1999" i="34"/>
  <c r="Q2734" i="34"/>
  <c r="P2742" i="34"/>
  <c r="R2746" i="34"/>
  <c r="Q2548" i="34"/>
  <c r="P2556" i="34"/>
  <c r="R2560" i="34"/>
  <c r="Q2564" i="34"/>
  <c r="P2572" i="34"/>
  <c r="R2576" i="34"/>
  <c r="R2587" i="34"/>
  <c r="Q2587" i="34"/>
  <c r="Q2625" i="34"/>
  <c r="Q2521" i="34"/>
  <c r="P2525" i="34"/>
  <c r="R2529" i="34"/>
  <c r="P2537" i="34"/>
  <c r="Q2541" i="34"/>
  <c r="P2616" i="34"/>
  <c r="R2620" i="34"/>
  <c r="Q2712" i="34"/>
  <c r="Q2726" i="34"/>
  <c r="P2669" i="34"/>
  <c r="Q2674" i="34"/>
  <c r="P2678" i="34"/>
  <c r="Q2682" i="34"/>
  <c r="P2686" i="34"/>
  <c r="Q2690" i="34"/>
  <c r="P2694" i="34"/>
  <c r="Q2698" i="34"/>
  <c r="P2702" i="34"/>
  <c r="Q2706" i="34"/>
  <c r="P2710" i="34"/>
  <c r="Q2433" i="34"/>
  <c r="P2417" i="34"/>
  <c r="R2425" i="34"/>
  <c r="Q2456" i="34"/>
  <c r="Q2468" i="34"/>
  <c r="Q2476" i="34"/>
  <c r="Q2484" i="34"/>
  <c r="Q2492" i="34"/>
  <c r="Q2580" i="34"/>
  <c r="Q2590" i="34"/>
  <c r="P2594" i="34"/>
  <c r="Q2598" i="34"/>
  <c r="R2519" i="34"/>
  <c r="Q2519" i="34"/>
  <c r="P2515" i="34"/>
  <c r="R2511" i="34"/>
  <c r="P2662" i="34"/>
  <c r="P2650" i="34"/>
  <c r="P2499" i="34"/>
  <c r="Q2437" i="34"/>
  <c r="R1996" i="34"/>
  <c r="Q2745" i="34"/>
  <c r="P2611" i="34"/>
  <c r="R2615" i="34"/>
  <c r="Q2615" i="34"/>
  <c r="P2619" i="34"/>
  <c r="R2711" i="34"/>
  <c r="Q2711" i="34"/>
  <c r="P2715" i="34"/>
  <c r="Q2668" i="34"/>
  <c r="Q2677" i="34"/>
  <c r="P2681" i="34"/>
  <c r="R2685" i="34"/>
  <c r="P2693" i="34"/>
  <c r="Q2697" i="34"/>
  <c r="Q2709" i="34"/>
  <c r="R2411" i="34"/>
  <c r="Q2411" i="34"/>
  <c r="Q2442" i="34"/>
  <c r="Q2424" i="34"/>
  <c r="R2792" i="34"/>
  <c r="Q2420" i="34"/>
  <c r="Q2597" i="34"/>
  <c r="P2601" i="34"/>
  <c r="Q2504" i="34"/>
  <c r="P2459" i="34"/>
  <c r="P2450" i="34"/>
  <c r="Q2446" i="34"/>
  <c r="Q2430" i="34"/>
  <c r="P2426" i="34"/>
  <c r="R2413" i="34"/>
  <c r="R1987" i="34"/>
  <c r="P2290" i="34"/>
  <c r="P2204" i="34"/>
  <c r="R2200" i="34"/>
  <c r="Q2200" i="34"/>
  <c r="P2196" i="34"/>
  <c r="R2192" i="34"/>
  <c r="Q2192" i="34"/>
  <c r="P2188" i="34"/>
  <c r="R2184" i="34"/>
  <c r="Q2184" i="34"/>
  <c r="P2180" i="34"/>
  <c r="Q2081" i="34"/>
  <c r="P2073" i="34"/>
  <c r="R2069" i="34"/>
  <c r="Q2065" i="34"/>
  <c r="Q2011" i="34"/>
  <c r="P2007" i="34"/>
  <c r="R2003" i="34"/>
  <c r="R2346" i="34"/>
  <c r="R2284" i="34"/>
  <c r="Q2284" i="34"/>
  <c r="P2280" i="34"/>
  <c r="R2276" i="34"/>
  <c r="Q2276" i="34"/>
  <c r="P2272" i="34"/>
  <c r="R2268" i="34"/>
  <c r="Q2268" i="34"/>
  <c r="P2264" i="34"/>
  <c r="R2260" i="34"/>
  <c r="Q2260" i="34"/>
  <c r="Q2169" i="34"/>
  <c r="Q2153" i="34"/>
  <c r="R2063" i="34"/>
  <c r="P2055" i="34"/>
  <c r="Q2051" i="34"/>
  <c r="Q1995" i="34"/>
  <c r="P1991" i="34"/>
  <c r="R2734" i="34"/>
  <c r="P2746" i="34"/>
  <c r="Q2422" i="34"/>
  <c r="Q2552" i="34"/>
  <c r="Q2568" i="34"/>
  <c r="Q2629" i="34"/>
  <c r="P2633" i="34"/>
  <c r="R2521" i="34"/>
  <c r="P2529" i="34"/>
  <c r="Q2533" i="34"/>
  <c r="P2583" i="34"/>
  <c r="Q2612" i="34"/>
  <c r="R2712" i="34"/>
  <c r="R2726" i="34"/>
  <c r="R2674" i="34"/>
  <c r="R2682" i="34"/>
  <c r="R2690" i="34"/>
  <c r="R2698" i="34"/>
  <c r="R2706" i="34"/>
  <c r="R2433" i="34"/>
  <c r="R2417" i="34"/>
  <c r="P2425" i="34"/>
  <c r="Q2635" i="34"/>
  <c r="R2456" i="34"/>
  <c r="P2464" i="34"/>
  <c r="R2468" i="34"/>
  <c r="P2472" i="34"/>
  <c r="R2476" i="34"/>
  <c r="P2480" i="34"/>
  <c r="R2484" i="34"/>
  <c r="P2488" i="34"/>
  <c r="R2492" i="34"/>
  <c r="P2496" i="34"/>
  <c r="R2580" i="34"/>
  <c r="R2590" i="34"/>
  <c r="R2598" i="34"/>
  <c r="R2666" i="34"/>
  <c r="R2658" i="34"/>
  <c r="R2646" i="34"/>
  <c r="R2610" i="34"/>
  <c r="R2449" i="34"/>
  <c r="R2437" i="34"/>
  <c r="P2416" i="34"/>
  <c r="R2412" i="34"/>
  <c r="R2738" i="34"/>
  <c r="R2722" i="34"/>
  <c r="R2639" i="34"/>
  <c r="R2731" i="34"/>
  <c r="P2727" i="34"/>
  <c r="Q2723" i="34"/>
  <c r="P1987" i="34"/>
  <c r="Q2077" i="34"/>
  <c r="P2015" i="34"/>
  <c r="R2011" i="34"/>
  <c r="P2003" i="34"/>
  <c r="P2399" i="34"/>
  <c r="Q2342" i="34"/>
  <c r="P2173" i="34"/>
  <c r="Q2165" i="34"/>
  <c r="R2153" i="34"/>
  <c r="Q2059" i="34"/>
  <c r="P1999" i="34"/>
  <c r="R1995" i="34"/>
  <c r="P2734" i="34"/>
  <c r="P2548" i="34"/>
  <c r="Q2556" i="34"/>
  <c r="P2564" i="34"/>
  <c r="Q2572" i="34"/>
  <c r="P2587" i="34"/>
  <c r="R2629" i="34"/>
  <c r="P2521" i="34"/>
  <c r="Q2525" i="34"/>
  <c r="P2541" i="34"/>
  <c r="R2612" i="34"/>
  <c r="P2726" i="34"/>
  <c r="Q2669" i="34"/>
  <c r="Q2678" i="34"/>
  <c r="Q2686" i="34"/>
  <c r="Q2694" i="34"/>
  <c r="Q2702" i="34"/>
  <c r="Q2710" i="34"/>
  <c r="P2635" i="34"/>
  <c r="Q2464" i="34"/>
  <c r="Q2472" i="34"/>
  <c r="Q2488" i="34"/>
  <c r="Q2496" i="34"/>
  <c r="Q2594" i="34"/>
  <c r="P2519" i="34"/>
  <c r="Q2515" i="34"/>
  <c r="P2511" i="34"/>
  <c r="P2658" i="34"/>
  <c r="P2646" i="34"/>
  <c r="Q2642" i="34"/>
  <c r="Q2606" i="34"/>
  <c r="Q2507" i="34"/>
  <c r="P2503" i="34"/>
  <c r="Q2499" i="34"/>
  <c r="P2449" i="34"/>
  <c r="Q2445" i="34"/>
  <c r="Q2429" i="34"/>
  <c r="P2738" i="34"/>
  <c r="Q2730" i="34"/>
  <c r="Q2718" i="34"/>
  <c r="R2730" i="34"/>
  <c r="R2718" i="34"/>
  <c r="Q2666" i="34"/>
  <c r="Q2646" i="34"/>
  <c r="P2606" i="34"/>
  <c r="Q2503" i="34"/>
  <c r="Q2449" i="34"/>
  <c r="Q2412" i="34"/>
  <c r="Q2722" i="34"/>
  <c r="P1828" i="34"/>
  <c r="Q1860" i="34"/>
  <c r="P1868" i="34"/>
  <c r="Q1892" i="34"/>
  <c r="Q2377" i="34"/>
  <c r="Q1866" i="34"/>
  <c r="Q1864" i="34"/>
  <c r="R1893" i="34"/>
  <c r="Q1893" i="34"/>
  <c r="P1827" i="34"/>
  <c r="Q1867" i="34"/>
  <c r="R1865" i="34"/>
  <c r="Q1865" i="34"/>
  <c r="R1829" i="34"/>
  <c r="Q1829" i="34"/>
  <c r="P1896" i="34"/>
  <c r="Q1891" i="34"/>
  <c r="Q1894" i="34"/>
  <c r="Q1928" i="34"/>
  <c r="P1863" i="34"/>
  <c r="Q1895" i="34"/>
  <c r="R1860" i="34"/>
  <c r="R1892" i="34"/>
  <c r="R2377" i="34"/>
  <c r="P1826" i="34"/>
  <c r="R1866" i="34"/>
  <c r="R1864" i="34"/>
  <c r="P2788" i="34"/>
  <c r="R1867" i="34"/>
  <c r="P1870" i="34"/>
  <c r="P1862" i="34"/>
  <c r="R1891" i="34"/>
  <c r="R1894" i="34"/>
  <c r="R1928" i="34"/>
  <c r="R1895" i="34"/>
  <c r="Q1828" i="34"/>
  <c r="P1860" i="34"/>
  <c r="Q1868" i="34"/>
  <c r="P1892" i="34"/>
  <c r="Q1826" i="34"/>
  <c r="P1864" i="34"/>
  <c r="P1893" i="34"/>
  <c r="Q2788" i="34"/>
  <c r="Q1827" i="34"/>
  <c r="P1867" i="34"/>
  <c r="P1865" i="34"/>
  <c r="Q1870" i="34"/>
  <c r="P1829" i="34"/>
  <c r="Q1862" i="34"/>
  <c r="Q1896" i="34"/>
  <c r="P1891" i="34"/>
  <c r="P1928" i="34"/>
  <c r="Q1863" i="34"/>
  <c r="P1895" i="34"/>
  <c r="R1828" i="34"/>
  <c r="R1868" i="34"/>
  <c r="P2377" i="34"/>
  <c r="R1826" i="34"/>
  <c r="P1866" i="34"/>
  <c r="R2788" i="34"/>
  <c r="R1827" i="34"/>
  <c r="R1870" i="34"/>
  <c r="R1862" i="34"/>
  <c r="R1896" i="34"/>
  <c r="P1894" i="34"/>
  <c r="R1863" i="34"/>
  <c r="P2046" i="34"/>
  <c r="Q2114" i="34"/>
  <c r="P2126" i="34"/>
  <c r="P2040" i="34"/>
  <c r="P2115" i="34"/>
  <c r="Q2123" i="34"/>
  <c r="P2131" i="34"/>
  <c r="Q2139" i="34"/>
  <c r="P2227" i="34"/>
  <c r="Q2231" i="34"/>
  <c r="P2235" i="34"/>
  <c r="Q2239" i="34"/>
  <c r="P2243" i="34"/>
  <c r="Q2247" i="34"/>
  <c r="P2251" i="34"/>
  <c r="Q2255" i="34"/>
  <c r="P2334" i="34"/>
  <c r="Q2338" i="34"/>
  <c r="Q2391" i="34"/>
  <c r="P2395" i="34"/>
  <c r="P1940" i="34"/>
  <c r="Q1940" i="34"/>
  <c r="R1944" i="34"/>
  <c r="P1952" i="34"/>
  <c r="Q1952" i="34"/>
  <c r="R1956" i="34"/>
  <c r="P1960" i="34"/>
  <c r="Q1960" i="34"/>
  <c r="R1964" i="34"/>
  <c r="P2019" i="34"/>
  <c r="Q2023" i="34"/>
  <c r="P2027" i="34"/>
  <c r="Q2093" i="34"/>
  <c r="Q2101" i="34"/>
  <c r="Q2109" i="34"/>
  <c r="Q1843" i="34"/>
  <c r="P1872" i="34"/>
  <c r="Q1876" i="34"/>
  <c r="P1880" i="34"/>
  <c r="Q1903" i="34"/>
  <c r="P1907" i="34"/>
  <c r="Q1748" i="34"/>
  <c r="P1795" i="34"/>
  <c r="Q1799" i="34"/>
  <c r="P1803" i="34"/>
  <c r="P1849" i="34"/>
  <c r="R1853" i="34"/>
  <c r="Q1853" i="34"/>
  <c r="P1857" i="34"/>
  <c r="Q1882" i="34"/>
  <c r="Q1890" i="34"/>
  <c r="Q1911" i="34"/>
  <c r="P1915" i="34"/>
  <c r="R1948" i="34"/>
  <c r="Q2083" i="34"/>
  <c r="P2324" i="34"/>
  <c r="Q2330" i="34"/>
  <c r="R2356" i="34"/>
  <c r="Q2356" i="34"/>
  <c r="Q2360" i="34"/>
  <c r="P2373" i="34"/>
  <c r="R1971" i="34"/>
  <c r="R1979" i="34"/>
  <c r="P1736" i="34"/>
  <c r="Q1808" i="34"/>
  <c r="R1764" i="34"/>
  <c r="R1898" i="34"/>
  <c r="P1918" i="34"/>
  <c r="R1727" i="34"/>
  <c r="R1735" i="34"/>
  <c r="R1742" i="34"/>
  <c r="P1746" i="34"/>
  <c r="R1750" i="34"/>
  <c r="P1754" i="34"/>
  <c r="R1532" i="34"/>
  <c r="P1534" i="34"/>
  <c r="R1536" i="34"/>
  <c r="R1538" i="34"/>
  <c r="R1567" i="34"/>
  <c r="P1622" i="34"/>
  <c r="P1626" i="34"/>
  <c r="R1647" i="34"/>
  <c r="R1651" i="34"/>
  <c r="R2121" i="34"/>
  <c r="R2118" i="34"/>
  <c r="R2138" i="34"/>
  <c r="R2119" i="34"/>
  <c r="R2135" i="34"/>
  <c r="R2041" i="34"/>
  <c r="P2045" i="34"/>
  <c r="R2335" i="34"/>
  <c r="P2392" i="34"/>
  <c r="P1945" i="34"/>
  <c r="P1957" i="34"/>
  <c r="P1965" i="34"/>
  <c r="R2086" i="34"/>
  <c r="R2094" i="34"/>
  <c r="R2102" i="34"/>
  <c r="R2110" i="34"/>
  <c r="R1900" i="34"/>
  <c r="R1919" i="34"/>
  <c r="R1796" i="34"/>
  <c r="P1846" i="34"/>
  <c r="R1850" i="34"/>
  <c r="P1854" i="34"/>
  <c r="R1858" i="34"/>
  <c r="R1883" i="34"/>
  <c r="R1908" i="34"/>
  <c r="P1949" i="34"/>
  <c r="R2114" i="34"/>
  <c r="R2123" i="34"/>
  <c r="R2139" i="34"/>
  <c r="R2231" i="34"/>
  <c r="R2239" i="34"/>
  <c r="R2247" i="34"/>
  <c r="R2255" i="34"/>
  <c r="R2338" i="34"/>
  <c r="R2391" i="34"/>
  <c r="Q2395" i="34"/>
  <c r="R2023" i="34"/>
  <c r="P2089" i="34"/>
  <c r="R2093" i="34"/>
  <c r="P2097" i="34"/>
  <c r="R2101" i="34"/>
  <c r="P2105" i="34"/>
  <c r="R2109" i="34"/>
  <c r="R1843" i="34"/>
  <c r="R1876" i="34"/>
  <c r="R1903" i="34"/>
  <c r="R1748" i="34"/>
  <c r="R1799" i="34"/>
  <c r="R1882" i="34"/>
  <c r="P1886" i="34"/>
  <c r="R1890" i="34"/>
  <c r="R1911" i="34"/>
  <c r="P2083" i="34"/>
  <c r="R2324" i="34"/>
  <c r="R2330" i="34"/>
  <c r="P2360" i="34"/>
  <c r="P2364" i="34"/>
  <c r="Q2373" i="34"/>
  <c r="P2380" i="34"/>
  <c r="R2384" i="34"/>
  <c r="Q2384" i="34"/>
  <c r="P2388" i="34"/>
  <c r="Q1971" i="34"/>
  <c r="P1975" i="34"/>
  <c r="P1979" i="34"/>
  <c r="Q1983" i="34"/>
  <c r="R2028" i="34"/>
  <c r="Q2028" i="34"/>
  <c r="P2032" i="34"/>
  <c r="R2036" i="34"/>
  <c r="Q2036" i="34"/>
  <c r="Q1699" i="34"/>
  <c r="R2376" i="34"/>
  <c r="Q2376" i="34"/>
  <c r="P1705" i="34"/>
  <c r="R1713" i="34"/>
  <c r="Q1713" i="34"/>
  <c r="R1736" i="34"/>
  <c r="P1808" i="34"/>
  <c r="R1813" i="34"/>
  <c r="Q1813" i="34"/>
  <c r="Q1925" i="34"/>
  <c r="P1932" i="34"/>
  <c r="Q1932" i="34"/>
  <c r="Q1760" i="34"/>
  <c r="P1764" i="34"/>
  <c r="Q1768" i="34"/>
  <c r="R1817" i="34"/>
  <c r="Q1817" i="34"/>
  <c r="P1821" i="34"/>
  <c r="R1825" i="34"/>
  <c r="Q1825" i="34"/>
  <c r="Q1918" i="34"/>
  <c r="Q1719" i="34"/>
  <c r="R1737" i="34"/>
  <c r="Q1737" i="34"/>
  <c r="Q1723" i="34"/>
  <c r="P1727" i="34"/>
  <c r="Q1731" i="34"/>
  <c r="P1735" i="34"/>
  <c r="Q1746" i="34"/>
  <c r="P1773" i="34"/>
  <c r="R1777" i="34"/>
  <c r="Q1777" i="34"/>
  <c r="Q1754" i="34"/>
  <c r="Q1831" i="34"/>
  <c r="R1781" i="34"/>
  <c r="Q1781" i="34"/>
  <c r="P1785" i="34"/>
  <c r="R1789" i="34"/>
  <c r="Q1789" i="34"/>
  <c r="P1833" i="34"/>
  <c r="R1837" i="34"/>
  <c r="Q1837" i="34"/>
  <c r="P1841" i="34"/>
  <c r="R1459" i="34"/>
  <c r="Q1459" i="34"/>
  <c r="Q1461" i="34"/>
  <c r="R1463" i="34"/>
  <c r="Q1463" i="34"/>
  <c r="Q1465" i="34"/>
  <c r="Q1532" i="34"/>
  <c r="Q1534" i="34"/>
  <c r="P1536" i="34"/>
  <c r="P1567" i="34"/>
  <c r="Q1591" i="34"/>
  <c r="R1593" i="34"/>
  <c r="Q1593" i="34"/>
  <c r="Q1595" i="34"/>
  <c r="R1597" i="34"/>
  <c r="Q1597" i="34"/>
  <c r="Q1620" i="34"/>
  <c r="Q1622" i="34"/>
  <c r="Q1624" i="34"/>
  <c r="Q1626" i="34"/>
  <c r="P1645" i="34"/>
  <c r="P1647" i="34"/>
  <c r="P1649" i="34"/>
  <c r="P1651" i="34"/>
  <c r="Q1679" i="34"/>
  <c r="R1681" i="34"/>
  <c r="Q1681" i="34"/>
  <c r="Q1683" i="34"/>
  <c r="R1685" i="34"/>
  <c r="Q1685" i="34"/>
  <c r="Q1687" i="34"/>
  <c r="R1689" i="34"/>
  <c r="Q1689" i="34"/>
  <c r="P2118" i="34"/>
  <c r="Q2130" i="34"/>
  <c r="P2138" i="34"/>
  <c r="P2044" i="34"/>
  <c r="P2119" i="34"/>
  <c r="Q2127" i="34"/>
  <c r="P2135" i="34"/>
  <c r="Q2045" i="34"/>
  <c r="Q2046" i="34"/>
  <c r="P2114" i="34"/>
  <c r="Q2126" i="34"/>
  <c r="R2040" i="34"/>
  <c r="Q2040" i="34"/>
  <c r="Q2115" i="34"/>
  <c r="P2123" i="34"/>
  <c r="Q2131" i="34"/>
  <c r="P2139" i="34"/>
  <c r="Q2227" i="34"/>
  <c r="P2231" i="34"/>
  <c r="Q2235" i="34"/>
  <c r="P2239" i="34"/>
  <c r="Q2243" i="34"/>
  <c r="P2247" i="34"/>
  <c r="Q2251" i="34"/>
  <c r="P2255" i="34"/>
  <c r="Q2334" i="34"/>
  <c r="P2338" i="34"/>
  <c r="R2395" i="34"/>
  <c r="R1940" i="34"/>
  <c r="P1944" i="34"/>
  <c r="Q1944" i="34"/>
  <c r="R1952" i="34"/>
  <c r="P1956" i="34"/>
  <c r="Q1956" i="34"/>
  <c r="R1960" i="34"/>
  <c r="P1964" i="34"/>
  <c r="Q1964" i="34"/>
  <c r="Q2019" i="34"/>
  <c r="P2023" i="34"/>
  <c r="Q2027" i="34"/>
  <c r="Q2089" i="34"/>
  <c r="Q2097" i="34"/>
  <c r="Q2105" i="34"/>
  <c r="P1843" i="34"/>
  <c r="Q1872" i="34"/>
  <c r="P1876" i="34"/>
  <c r="Q1880" i="34"/>
  <c r="P1903" i="34"/>
  <c r="Q1907" i="34"/>
  <c r="P1748" i="34"/>
  <c r="Q1795" i="34"/>
  <c r="P1799" i="34"/>
  <c r="Q1803" i="34"/>
  <c r="R1849" i="34"/>
  <c r="Q1849" i="34"/>
  <c r="P1853" i="34"/>
  <c r="R1857" i="34"/>
  <c r="Q1857" i="34"/>
  <c r="Q1886" i="34"/>
  <c r="P1911" i="34"/>
  <c r="Q1915" i="34"/>
  <c r="P1948" i="34"/>
  <c r="Q1948" i="34"/>
  <c r="R2083" i="34"/>
  <c r="P2330" i="34"/>
  <c r="P2356" i="34"/>
  <c r="R2360" i="34"/>
  <c r="R2373" i="34"/>
  <c r="R1975" i="34"/>
  <c r="R1983" i="34"/>
  <c r="R1699" i="34"/>
  <c r="R1808" i="34"/>
  <c r="R1925" i="34"/>
  <c r="R1760" i="34"/>
  <c r="R1768" i="34"/>
  <c r="P1898" i="34"/>
  <c r="R1918" i="34"/>
  <c r="R1719" i="34"/>
  <c r="R1723" i="34"/>
  <c r="R1731" i="34"/>
  <c r="P1742" i="34"/>
  <c r="R1746" i="34"/>
  <c r="P1750" i="34"/>
  <c r="R1754" i="34"/>
  <c r="R1831" i="34"/>
  <c r="R1461" i="34"/>
  <c r="R1465" i="34"/>
  <c r="P1532" i="34"/>
  <c r="P1538" i="34"/>
  <c r="R1591" i="34"/>
  <c r="R1595" i="34"/>
  <c r="R1620" i="34"/>
  <c r="R1622" i="34"/>
  <c r="R1624" i="34"/>
  <c r="R1626" i="34"/>
  <c r="R1679" i="34"/>
  <c r="R1683" i="34"/>
  <c r="R1687" i="34"/>
  <c r="P2121" i="34"/>
  <c r="R2130" i="34"/>
  <c r="R2127" i="34"/>
  <c r="P2041" i="34"/>
  <c r="R2045" i="34"/>
  <c r="R2339" i="34"/>
  <c r="P2396" i="34"/>
  <c r="P1941" i="34"/>
  <c r="P1953" i="34"/>
  <c r="P1961" i="34"/>
  <c r="R2090" i="34"/>
  <c r="R2098" i="34"/>
  <c r="R2106" i="34"/>
  <c r="R1844" i="34"/>
  <c r="R1904" i="34"/>
  <c r="R1792" i="34"/>
  <c r="R1800" i="34"/>
  <c r="R1846" i="34"/>
  <c r="P1850" i="34"/>
  <c r="R1854" i="34"/>
  <c r="P1858" i="34"/>
  <c r="R1887" i="34"/>
  <c r="R1912" i="34"/>
  <c r="R2046" i="34"/>
  <c r="R2126" i="34"/>
  <c r="R2115" i="34"/>
  <c r="R2131" i="34"/>
  <c r="R2227" i="34"/>
  <c r="R2235" i="34"/>
  <c r="R2243" i="34"/>
  <c r="R2251" i="34"/>
  <c r="R2334" i="34"/>
  <c r="P2391" i="34"/>
  <c r="R2019" i="34"/>
  <c r="R2027" i="34"/>
  <c r="R2089" i="34"/>
  <c r="P2093" i="34"/>
  <c r="R2097" i="34"/>
  <c r="P2101" i="34"/>
  <c r="R2105" i="34"/>
  <c r="P2109" i="34"/>
  <c r="R1872" i="34"/>
  <c r="R1880" i="34"/>
  <c r="R1907" i="34"/>
  <c r="R1795" i="34"/>
  <c r="R1803" i="34"/>
  <c r="P1882" i="34"/>
  <c r="R1886" i="34"/>
  <c r="P1890" i="34"/>
  <c r="R1915" i="34"/>
  <c r="Q2324" i="34"/>
  <c r="R2364" i="34"/>
  <c r="Q2364" i="34"/>
  <c r="R2380" i="34"/>
  <c r="Q2380" i="34"/>
  <c r="P2384" i="34"/>
  <c r="R2388" i="34"/>
  <c r="Q2388" i="34"/>
  <c r="P1971" i="34"/>
  <c r="Q1975" i="34"/>
  <c r="Q1979" i="34"/>
  <c r="P1983" i="34"/>
  <c r="P2028" i="34"/>
  <c r="R2032" i="34"/>
  <c r="Q2032" i="34"/>
  <c r="P2036" i="34"/>
  <c r="P1699" i="34"/>
  <c r="P2376" i="34"/>
  <c r="R1705" i="34"/>
  <c r="Q1705" i="34"/>
  <c r="P1713" i="34"/>
  <c r="Q1736" i="34"/>
  <c r="P1813" i="34"/>
  <c r="P1925" i="34"/>
  <c r="R1932" i="34"/>
  <c r="P1760" i="34"/>
  <c r="Q1764" i="34"/>
  <c r="P1768" i="34"/>
  <c r="P1817" i="34"/>
  <c r="R1821" i="34"/>
  <c r="Q1821" i="34"/>
  <c r="P1825" i="34"/>
  <c r="Q1898" i="34"/>
  <c r="P1719" i="34"/>
  <c r="P1737" i="34"/>
  <c r="P1723" i="34"/>
  <c r="Q1727" i="34"/>
  <c r="P1731" i="34"/>
  <c r="Q1735" i="34"/>
  <c r="Q1742" i="34"/>
  <c r="R1773" i="34"/>
  <c r="Q1773" i="34"/>
  <c r="P1777" i="34"/>
  <c r="Q1750" i="34"/>
  <c r="P1831" i="34"/>
  <c r="P1781" i="34"/>
  <c r="R1785" i="34"/>
  <c r="Q1785" i="34"/>
  <c r="P1789" i="34"/>
  <c r="R1833" i="34"/>
  <c r="Q1833" i="34"/>
  <c r="P1837" i="34"/>
  <c r="R1841" i="34"/>
  <c r="Q1841" i="34"/>
  <c r="P1459" i="34"/>
  <c r="P1461" i="34"/>
  <c r="P1463" i="34"/>
  <c r="P1465" i="34"/>
  <c r="R1534" i="34"/>
  <c r="Q1536" i="34"/>
  <c r="Q1538" i="34"/>
  <c r="Q1567" i="34"/>
  <c r="P1591" i="34"/>
  <c r="P1593" i="34"/>
  <c r="P1595" i="34"/>
  <c r="P1597" i="34"/>
  <c r="P1620" i="34"/>
  <c r="P1624" i="34"/>
  <c r="R1645" i="34"/>
  <c r="Q1645" i="34"/>
  <c r="Q1647" i="34"/>
  <c r="R1649" i="34"/>
  <c r="Q1649" i="34"/>
  <c r="Q1651" i="34"/>
  <c r="P1679" i="34"/>
  <c r="P1681" i="34"/>
  <c r="P1683" i="34"/>
  <c r="P1685" i="34"/>
  <c r="P1687" i="34"/>
  <c r="P1689" i="34"/>
  <c r="Q2121" i="34"/>
  <c r="Q2118" i="34"/>
  <c r="P2130" i="34"/>
  <c r="Q2138" i="34"/>
  <c r="R2044" i="34"/>
  <c r="Q2044" i="34"/>
  <c r="Q2119" i="34"/>
  <c r="P2127" i="34"/>
  <c r="Q2135" i="34"/>
  <c r="Q2041" i="34"/>
  <c r="R2116" i="34"/>
  <c r="Q2116" i="34"/>
  <c r="P2120" i="34"/>
  <c r="R2124" i="34"/>
  <c r="Q2124" i="34"/>
  <c r="P2128" i="34"/>
  <c r="R2132" i="34"/>
  <c r="Q2132" i="34"/>
  <c r="P2136" i="34"/>
  <c r="R2140" i="34"/>
  <c r="Q2140" i="34"/>
  <c r="P2228" i="34"/>
  <c r="R2232" i="34"/>
  <c r="Q2232" i="34"/>
  <c r="P2236" i="34"/>
  <c r="R2240" i="34"/>
  <c r="Q2240" i="34"/>
  <c r="P2244" i="34"/>
  <c r="R2248" i="34"/>
  <c r="Q2248" i="34"/>
  <c r="P2252" i="34"/>
  <c r="Q2120" i="34"/>
  <c r="P2132" i="34"/>
  <c r="R2228" i="34"/>
  <c r="Q2236" i="34"/>
  <c r="P2248" i="34"/>
  <c r="R2256" i="34"/>
  <c r="Q2256" i="34"/>
  <c r="Q2335" i="34"/>
  <c r="R2392" i="34"/>
  <c r="R1945" i="34"/>
  <c r="Q1953" i="34"/>
  <c r="R1965" i="34"/>
  <c r="R2020" i="34"/>
  <c r="Q2020" i="34"/>
  <c r="P2024" i="34"/>
  <c r="P2086" i="34"/>
  <c r="Q2094" i="34"/>
  <c r="P2102" i="34"/>
  <c r="Q2110" i="34"/>
  <c r="R1873" i="34"/>
  <c r="Q1873" i="34"/>
  <c r="P1877" i="34"/>
  <c r="P1900" i="34"/>
  <c r="Q1919" i="34"/>
  <c r="P1796" i="34"/>
  <c r="Q1883" i="34"/>
  <c r="P1908" i="34"/>
  <c r="P1921" i="34"/>
  <c r="Q1949" i="34"/>
  <c r="P2325" i="34"/>
  <c r="P2331" i="34"/>
  <c r="Q2361" i="34"/>
  <c r="Q2370" i="34"/>
  <c r="P2374" i="34"/>
  <c r="Q2385" i="34"/>
  <c r="P1972" i="34"/>
  <c r="Q1972" i="34"/>
  <c r="R1976" i="34"/>
  <c r="R1980" i="34"/>
  <c r="Q1980" i="34"/>
  <c r="P1984" i="34"/>
  <c r="Q2029" i="34"/>
  <c r="Q2037" i="34"/>
  <c r="Q1700" i="34"/>
  <c r="P2378" i="34"/>
  <c r="Q1714" i="34"/>
  <c r="R1804" i="34"/>
  <c r="R1810" i="34"/>
  <c r="P1814" i="34"/>
  <c r="P1818" i="34"/>
  <c r="R1822" i="34"/>
  <c r="R1703" i="34"/>
  <c r="P1738" i="34"/>
  <c r="R1728" i="34"/>
  <c r="R1739" i="34"/>
  <c r="P1770" i="34"/>
  <c r="R1774" i="34"/>
  <c r="P1778" i="34"/>
  <c r="R1755" i="34"/>
  <c r="R1710" i="34"/>
  <c r="P1782" i="34"/>
  <c r="R1786" i="34"/>
  <c r="P1790" i="34"/>
  <c r="R1834" i="34"/>
  <c r="P1838" i="34"/>
  <c r="R1842" i="34"/>
  <c r="P2117" i="34"/>
  <c r="R2125" i="34"/>
  <c r="P2129" i="34"/>
  <c r="R2133" i="34"/>
  <c r="P2137" i="34"/>
  <c r="R2141" i="34"/>
  <c r="P2229" i="34"/>
  <c r="R2233" i="34"/>
  <c r="P2237" i="34"/>
  <c r="R2241" i="34"/>
  <c r="P2245" i="34"/>
  <c r="R2249" i="34"/>
  <c r="P2253" i="34"/>
  <c r="P1935" i="34"/>
  <c r="R2393" i="34"/>
  <c r="P2397" i="34"/>
  <c r="P2021" i="34"/>
  <c r="R2025" i="34"/>
  <c r="R2087" i="34"/>
  <c r="R2095" i="34"/>
  <c r="R2103" i="34"/>
  <c r="R2111" i="34"/>
  <c r="P1874" i="34"/>
  <c r="R1878" i="34"/>
  <c r="R1920" i="34"/>
  <c r="R1847" i="34"/>
  <c r="R1855" i="34"/>
  <c r="R1884" i="34"/>
  <c r="P1922" i="34"/>
  <c r="Q2085" i="34"/>
  <c r="R2358" i="34"/>
  <c r="R2371" i="34"/>
  <c r="R2382" i="34"/>
  <c r="R2390" i="34"/>
  <c r="R1977" i="34"/>
  <c r="R1981" i="34"/>
  <c r="P1985" i="34"/>
  <c r="R2034" i="34"/>
  <c r="P1927" i="34"/>
  <c r="R1707" i="34"/>
  <c r="P1805" i="34"/>
  <c r="Q1811" i="34"/>
  <c r="P1923" i="34"/>
  <c r="R1923" i="34"/>
  <c r="R1758" i="34"/>
  <c r="P1762" i="34"/>
  <c r="R1766" i="34"/>
  <c r="R1815" i="34"/>
  <c r="R1823" i="34"/>
  <c r="R1916" i="34"/>
  <c r="R1708" i="34"/>
  <c r="R1744" i="34"/>
  <c r="R1775" i="34"/>
  <c r="R1752" i="34"/>
  <c r="R1747" i="34"/>
  <c r="R1787" i="34"/>
  <c r="R1835" i="34"/>
  <c r="R1460" i="34"/>
  <c r="R1462" i="34"/>
  <c r="R1464" i="34"/>
  <c r="R1497" i="34"/>
  <c r="R1535" i="34"/>
  <c r="R1539" i="34"/>
  <c r="R1590" i="34"/>
  <c r="R1592" i="34"/>
  <c r="R1594" i="34"/>
  <c r="R1596" i="34"/>
  <c r="R1598" i="34"/>
  <c r="P1646" i="34"/>
  <c r="P1650" i="34"/>
  <c r="R1680" i="34"/>
  <c r="R1682" i="34"/>
  <c r="R1684" i="34"/>
  <c r="R1686" i="34"/>
  <c r="R1688" i="34"/>
  <c r="R2043" i="34"/>
  <c r="R2134" i="34"/>
  <c r="R2230" i="34"/>
  <c r="R2238" i="34"/>
  <c r="R2246" i="34"/>
  <c r="R2254" i="34"/>
  <c r="P2337" i="34"/>
  <c r="R2341" i="34"/>
  <c r="R2394" i="34"/>
  <c r="P1939" i="34"/>
  <c r="P1951" i="34"/>
  <c r="P1959" i="34"/>
  <c r="P1967" i="34"/>
  <c r="R2120" i="34"/>
  <c r="Q2128" i="34"/>
  <c r="P2140" i="34"/>
  <c r="R2236" i="34"/>
  <c r="Q2244" i="34"/>
  <c r="Q2339" i="34"/>
  <c r="R2396" i="34"/>
  <c r="R1953" i="34"/>
  <c r="Q1957" i="34"/>
  <c r="P2090" i="34"/>
  <c r="Q2098" i="34"/>
  <c r="P2106" i="34"/>
  <c r="Q1844" i="34"/>
  <c r="P1904" i="34"/>
  <c r="Q1792" i="34"/>
  <c r="P1800" i="34"/>
  <c r="Q1887" i="34"/>
  <c r="P1912" i="34"/>
  <c r="R1949" i="34"/>
  <c r="R2084" i="34"/>
  <c r="Q2084" i="34"/>
  <c r="R2325" i="34"/>
  <c r="P2357" i="34"/>
  <c r="R2361" i="34"/>
  <c r="R2370" i="34"/>
  <c r="P2381" i="34"/>
  <c r="R2385" i="34"/>
  <c r="P2389" i="34"/>
  <c r="R2029" i="34"/>
  <c r="P2033" i="34"/>
  <c r="R2037" i="34"/>
  <c r="R1700" i="34"/>
  <c r="P1706" i="34"/>
  <c r="R1714" i="34"/>
  <c r="Q1814" i="34"/>
  <c r="P1926" i="34"/>
  <c r="R1757" i="34"/>
  <c r="Q1757" i="34"/>
  <c r="P1761" i="34"/>
  <c r="R1765" i="34"/>
  <c r="Q1765" i="34"/>
  <c r="P1769" i="34"/>
  <c r="Q1818" i="34"/>
  <c r="R1861" i="34"/>
  <c r="Q1861" i="34"/>
  <c r="Q1899" i="34"/>
  <c r="P1703" i="34"/>
  <c r="Q1720" i="34"/>
  <c r="Q1738" i="34"/>
  <c r="Q1724" i="34"/>
  <c r="P1728" i="34"/>
  <c r="Q1732" i="34"/>
  <c r="P1739" i="34"/>
  <c r="Q1743" i="34"/>
  <c r="Q1770" i="34"/>
  <c r="Q1778" i="34"/>
  <c r="Q1751" i="34"/>
  <c r="P1755" i="34"/>
  <c r="Q1782" i="34"/>
  <c r="Q1790" i="34"/>
  <c r="Q1838" i="34"/>
  <c r="Q2117" i="34"/>
  <c r="Q2129" i="34"/>
  <c r="Q2137" i="34"/>
  <c r="Q2229" i="34"/>
  <c r="Q2237" i="34"/>
  <c r="Q2245" i="34"/>
  <c r="Q2253" i="34"/>
  <c r="R1935" i="34"/>
  <c r="R2336" i="34"/>
  <c r="Q2336" i="34"/>
  <c r="P2340" i="34"/>
  <c r="Q2393" i="34"/>
  <c r="R2397" i="34"/>
  <c r="R1942" i="34"/>
  <c r="Q1942" i="34"/>
  <c r="P1950" i="34"/>
  <c r="R1954" i="34"/>
  <c r="Q1954" i="34"/>
  <c r="P1958" i="34"/>
  <c r="R1962" i="34"/>
  <c r="Q1962" i="34"/>
  <c r="P1966" i="34"/>
  <c r="Q2021" i="34"/>
  <c r="P2087" i="34"/>
  <c r="Q2091" i="34"/>
  <c r="P2095" i="34"/>
  <c r="Q2099" i="34"/>
  <c r="P2103" i="34"/>
  <c r="Q2107" i="34"/>
  <c r="P2111" i="34"/>
  <c r="P1845" i="34"/>
  <c r="Q1874" i="34"/>
  <c r="R1901" i="34"/>
  <c r="Q1901" i="34"/>
  <c r="P1905" i="34"/>
  <c r="P1920" i="34"/>
  <c r="P1793" i="34"/>
  <c r="R1797" i="34"/>
  <c r="Q1797" i="34"/>
  <c r="P1801" i="34"/>
  <c r="P1847" i="34"/>
  <c r="Q1851" i="34"/>
  <c r="P1855" i="34"/>
  <c r="Q1859" i="34"/>
  <c r="P1884" i="34"/>
  <c r="Q1888" i="34"/>
  <c r="R1909" i="34"/>
  <c r="Q1909" i="34"/>
  <c r="P1913" i="34"/>
  <c r="Q1922" i="34"/>
  <c r="R2085" i="34"/>
  <c r="Q2326" i="34"/>
  <c r="P2332" i="34"/>
  <c r="P2358" i="34"/>
  <c r="Q2362" i="34"/>
  <c r="P2371" i="34"/>
  <c r="Q2375" i="34"/>
  <c r="P2382" i="34"/>
  <c r="Q2386" i="34"/>
  <c r="P2390" i="34"/>
  <c r="P1973" i="34"/>
  <c r="Q1977" i="34"/>
  <c r="Q1985" i="34"/>
  <c r="Q2030" i="34"/>
  <c r="P2034" i="34"/>
  <c r="Q2038" i="34"/>
  <c r="Q1927" i="34"/>
  <c r="P2787" i="34"/>
  <c r="P1707" i="34"/>
  <c r="Q1715" i="34"/>
  <c r="R1805" i="34"/>
  <c r="R1811" i="34"/>
  <c r="R1930" i="34"/>
  <c r="Q1930" i="34"/>
  <c r="Q1762" i="34"/>
  <c r="P1815" i="34"/>
  <c r="Q1819" i="34"/>
  <c r="P1823" i="34"/>
  <c r="P1869" i="34"/>
  <c r="P1916" i="34"/>
  <c r="Q1704" i="34"/>
  <c r="P1708" i="34"/>
  <c r="P1721" i="34"/>
  <c r="R1725" i="34"/>
  <c r="Q1725" i="34"/>
  <c r="P1729" i="34"/>
  <c r="R1733" i="34"/>
  <c r="Q1733" i="34"/>
  <c r="Q1740" i="34"/>
  <c r="P1744" i="34"/>
  <c r="Q1771" i="34"/>
  <c r="P1775" i="34"/>
  <c r="Q1779" i="34"/>
  <c r="P1752" i="34"/>
  <c r="Q1756" i="34"/>
  <c r="P1747" i="34"/>
  <c r="Q1783" i="34"/>
  <c r="P1787" i="34"/>
  <c r="Q1791" i="34"/>
  <c r="P1835" i="34"/>
  <c r="Q1839" i="34"/>
  <c r="P2116" i="34"/>
  <c r="R2128" i="34"/>
  <c r="Q2136" i="34"/>
  <c r="P2232" i="34"/>
  <c r="R2244" i="34"/>
  <c r="Q2252" i="34"/>
  <c r="P2256" i="34"/>
  <c r="P2335" i="34"/>
  <c r="Q2392" i="34"/>
  <c r="Q1941" i="34"/>
  <c r="R1957" i="34"/>
  <c r="Q1961" i="34"/>
  <c r="P2020" i="34"/>
  <c r="R2024" i="34"/>
  <c r="Q2024" i="34"/>
  <c r="Q2086" i="34"/>
  <c r="P2094" i="34"/>
  <c r="Q2102" i="34"/>
  <c r="P2110" i="34"/>
  <c r="P1873" i="34"/>
  <c r="R1877" i="34"/>
  <c r="Q1877" i="34"/>
  <c r="Q1900" i="34"/>
  <c r="P1919" i="34"/>
  <c r="Q1796" i="34"/>
  <c r="Q1846" i="34"/>
  <c r="Q1850" i="34"/>
  <c r="Q1854" i="34"/>
  <c r="Q1858" i="34"/>
  <c r="P1883" i="34"/>
  <c r="Q1908" i="34"/>
  <c r="R1921" i="34"/>
  <c r="Q1921" i="34"/>
  <c r="Q2331" i="34"/>
  <c r="Q2357" i="34"/>
  <c r="P2370" i="34"/>
  <c r="Q2374" i="34"/>
  <c r="Q2381" i="34"/>
  <c r="Q2389" i="34"/>
  <c r="R1972" i="34"/>
  <c r="P1976" i="34"/>
  <c r="Q1976" i="34"/>
  <c r="P1980" i="34"/>
  <c r="R1984" i="34"/>
  <c r="Q1984" i="34"/>
  <c r="Q2033" i="34"/>
  <c r="P1700" i="34"/>
  <c r="Q2378" i="34"/>
  <c r="Q1706" i="34"/>
  <c r="Q1804" i="34"/>
  <c r="P1810" i="34"/>
  <c r="R1814" i="34"/>
  <c r="R1818" i="34"/>
  <c r="P1822" i="34"/>
  <c r="R1899" i="34"/>
  <c r="R1720" i="34"/>
  <c r="R1738" i="34"/>
  <c r="R1724" i="34"/>
  <c r="R1732" i="34"/>
  <c r="R1743" i="34"/>
  <c r="R1770" i="34"/>
  <c r="P1774" i="34"/>
  <c r="R1778" i="34"/>
  <c r="R1751" i="34"/>
  <c r="P1710" i="34"/>
  <c r="R1782" i="34"/>
  <c r="P1786" i="34"/>
  <c r="R1790" i="34"/>
  <c r="P1834" i="34"/>
  <c r="R1838" i="34"/>
  <c r="P1842" i="34"/>
  <c r="R2117" i="34"/>
  <c r="P2125" i="34"/>
  <c r="R2129" i="34"/>
  <c r="P2133" i="34"/>
  <c r="R2137" i="34"/>
  <c r="P2141" i="34"/>
  <c r="R2229" i="34"/>
  <c r="P2233" i="34"/>
  <c r="R2237" i="34"/>
  <c r="P2241" i="34"/>
  <c r="R2245" i="34"/>
  <c r="P2249" i="34"/>
  <c r="R2253" i="34"/>
  <c r="P2393" i="34"/>
  <c r="R2021" i="34"/>
  <c r="P2025" i="34"/>
  <c r="R2091" i="34"/>
  <c r="R2099" i="34"/>
  <c r="R2107" i="34"/>
  <c r="R1874" i="34"/>
  <c r="P1878" i="34"/>
  <c r="R1851" i="34"/>
  <c r="R1859" i="34"/>
  <c r="R1888" i="34"/>
  <c r="R1922" i="34"/>
  <c r="R1968" i="34"/>
  <c r="Q1968" i="34"/>
  <c r="P2326" i="34"/>
  <c r="R2362" i="34"/>
  <c r="R2375" i="34"/>
  <c r="R2386" i="34"/>
  <c r="R1973" i="34"/>
  <c r="P1981" i="34"/>
  <c r="R1985" i="34"/>
  <c r="R2030" i="34"/>
  <c r="R2038" i="34"/>
  <c r="R1927" i="34"/>
  <c r="R1715" i="34"/>
  <c r="P1811" i="34"/>
  <c r="Q1923" i="34"/>
  <c r="P1758" i="34"/>
  <c r="R1762" i="34"/>
  <c r="P1766" i="34"/>
  <c r="R1819" i="34"/>
  <c r="R1704" i="34"/>
  <c r="R1740" i="34"/>
  <c r="R1771" i="34"/>
  <c r="R1779" i="34"/>
  <c r="R1756" i="34"/>
  <c r="R1783" i="34"/>
  <c r="R1791" i="34"/>
  <c r="R1839" i="34"/>
  <c r="P1460" i="34"/>
  <c r="P1464" i="34"/>
  <c r="P1590" i="34"/>
  <c r="P1594" i="34"/>
  <c r="P1598" i="34"/>
  <c r="R1623" i="34"/>
  <c r="R1627" i="34"/>
  <c r="R1646" i="34"/>
  <c r="R1648" i="34"/>
  <c r="R1650" i="34"/>
  <c r="R1652" i="34"/>
  <c r="P1682" i="34"/>
  <c r="P1686" i="34"/>
  <c r="R2042" i="34"/>
  <c r="R2122" i="34"/>
  <c r="R2226" i="34"/>
  <c r="R2234" i="34"/>
  <c r="R2242" i="34"/>
  <c r="R2250" i="34"/>
  <c r="R2337" i="34"/>
  <c r="P2341" i="34"/>
  <c r="P1943" i="34"/>
  <c r="P1955" i="34"/>
  <c r="P1963" i="34"/>
  <c r="P2124" i="34"/>
  <c r="R2136" i="34"/>
  <c r="Q2228" i="34"/>
  <c r="P2240" i="34"/>
  <c r="R2252" i="34"/>
  <c r="P2339" i="34"/>
  <c r="Q2396" i="34"/>
  <c r="R1941" i="34"/>
  <c r="Q1945" i="34"/>
  <c r="R1961" i="34"/>
  <c r="Q1965" i="34"/>
  <c r="Q2090" i="34"/>
  <c r="P2098" i="34"/>
  <c r="Q2106" i="34"/>
  <c r="P1844" i="34"/>
  <c r="Q1904" i="34"/>
  <c r="P1792" i="34"/>
  <c r="Q1800" i="34"/>
  <c r="P1887" i="34"/>
  <c r="Q1912" i="34"/>
  <c r="P2084" i="34"/>
  <c r="Q2325" i="34"/>
  <c r="R2331" i="34"/>
  <c r="R2357" i="34"/>
  <c r="P2361" i="34"/>
  <c r="R2374" i="34"/>
  <c r="R2381" i="34"/>
  <c r="P2385" i="34"/>
  <c r="R2389" i="34"/>
  <c r="P2029" i="34"/>
  <c r="R2033" i="34"/>
  <c r="P2037" i="34"/>
  <c r="R2378" i="34"/>
  <c r="R1706" i="34"/>
  <c r="P1714" i="34"/>
  <c r="P1804" i="34"/>
  <c r="Q1810" i="34"/>
  <c r="R1926" i="34"/>
  <c r="Q1926" i="34"/>
  <c r="P1757" i="34"/>
  <c r="R1761" i="34"/>
  <c r="Q1761" i="34"/>
  <c r="P1765" i="34"/>
  <c r="R1769" i="34"/>
  <c r="Q1769" i="34"/>
  <c r="Q1822" i="34"/>
  <c r="P1861" i="34"/>
  <c r="P1899" i="34"/>
  <c r="Q1703" i="34"/>
  <c r="P1720" i="34"/>
  <c r="P1724" i="34"/>
  <c r="Q1728" i="34"/>
  <c r="P1732" i="34"/>
  <c r="Q1739" i="34"/>
  <c r="P1743" i="34"/>
  <c r="Q1774" i="34"/>
  <c r="P1751" i="34"/>
  <c r="Q1755" i="34"/>
  <c r="Q1710" i="34"/>
  <c r="Q1786" i="34"/>
  <c r="Q1834" i="34"/>
  <c r="Q1842" i="34"/>
  <c r="Q2125" i="34"/>
  <c r="Q2133" i="34"/>
  <c r="Q2141" i="34"/>
  <c r="Q2233" i="34"/>
  <c r="Q2241" i="34"/>
  <c r="Q2249" i="34"/>
  <c r="Q1935" i="34"/>
  <c r="P2336" i="34"/>
  <c r="R2340" i="34"/>
  <c r="Q2340" i="34"/>
  <c r="Q2397" i="34"/>
  <c r="P1942" i="34"/>
  <c r="R1950" i="34"/>
  <c r="Q1950" i="34"/>
  <c r="P1954" i="34"/>
  <c r="R1958" i="34"/>
  <c r="Q1958" i="34"/>
  <c r="P1962" i="34"/>
  <c r="R1966" i="34"/>
  <c r="Q1966" i="34"/>
  <c r="Q2025" i="34"/>
  <c r="Q2087" i="34"/>
  <c r="P2091" i="34"/>
  <c r="Q2095" i="34"/>
  <c r="P2099" i="34"/>
  <c r="Q2103" i="34"/>
  <c r="P2107" i="34"/>
  <c r="Q2111" i="34"/>
  <c r="R1845" i="34"/>
  <c r="Q1845" i="34"/>
  <c r="Q1878" i="34"/>
  <c r="P1901" i="34"/>
  <c r="R1905" i="34"/>
  <c r="Q1905" i="34"/>
  <c r="Q1920" i="34"/>
  <c r="R1793" i="34"/>
  <c r="Q1793" i="34"/>
  <c r="P1797" i="34"/>
  <c r="R1801" i="34"/>
  <c r="Q1801" i="34"/>
  <c r="Q1847" i="34"/>
  <c r="P1851" i="34"/>
  <c r="Q1855" i="34"/>
  <c r="P1859" i="34"/>
  <c r="Q1884" i="34"/>
  <c r="P1888" i="34"/>
  <c r="P1909" i="34"/>
  <c r="R1913" i="34"/>
  <c r="Q1913" i="34"/>
  <c r="P1968" i="34"/>
  <c r="P2085" i="34"/>
  <c r="R2326" i="34"/>
  <c r="R2332" i="34"/>
  <c r="Q2332" i="34"/>
  <c r="Q2358" i="34"/>
  <c r="P2362" i="34"/>
  <c r="Q2371" i="34"/>
  <c r="P2375" i="34"/>
  <c r="Q2382" i="34"/>
  <c r="P2386" i="34"/>
  <c r="Q2390" i="34"/>
  <c r="Q1973" i="34"/>
  <c r="P1977" i="34"/>
  <c r="Q1981" i="34"/>
  <c r="P2030" i="34"/>
  <c r="Q2034" i="34"/>
  <c r="P2038" i="34"/>
  <c r="R2787" i="34"/>
  <c r="Q2787" i="34"/>
  <c r="Q1707" i="34"/>
  <c r="P1715" i="34"/>
  <c r="Q1805" i="34"/>
  <c r="P1930" i="34"/>
  <c r="Q1758" i="34"/>
  <c r="Q1766" i="34"/>
  <c r="Q1815" i="34"/>
  <c r="P1819" i="34"/>
  <c r="Q1823" i="34"/>
  <c r="R1869" i="34"/>
  <c r="Q1869" i="34"/>
  <c r="Q1916" i="34"/>
  <c r="P1704" i="34"/>
  <c r="Q1708" i="34"/>
  <c r="R1721" i="34"/>
  <c r="Q1721" i="34"/>
  <c r="P1725" i="34"/>
  <c r="R1729" i="34"/>
  <c r="Q1729" i="34"/>
  <c r="P1733" i="34"/>
  <c r="P1740" i="34"/>
  <c r="Q1744" i="34"/>
  <c r="P1771" i="34"/>
  <c r="Q1775" i="34"/>
  <c r="P1779" i="34"/>
  <c r="Q1752" i="34"/>
  <c r="P1756" i="34"/>
  <c r="Q1747" i="34"/>
  <c r="P1783" i="34"/>
  <c r="Q1787" i="34"/>
  <c r="P1791" i="34"/>
  <c r="Q1835" i="34"/>
  <c r="P1839" i="34"/>
  <c r="Q1460" i="34"/>
  <c r="Q1462" i="34"/>
  <c r="Q1464" i="34"/>
  <c r="Q1497" i="34"/>
  <c r="P1533" i="34"/>
  <c r="Q1533" i="34"/>
  <c r="Q1535" i="34"/>
  <c r="R1537" i="34"/>
  <c r="Q1537" i="34"/>
  <c r="Q1539" i="34"/>
  <c r="Q1590" i="34"/>
  <c r="Q1592" i="34"/>
  <c r="Q1594" i="34"/>
  <c r="Q1596" i="34"/>
  <c r="Q1598" i="34"/>
  <c r="P1621" i="34"/>
  <c r="P1623" i="34"/>
  <c r="P1625" i="34"/>
  <c r="P1627" i="34"/>
  <c r="P1648" i="34"/>
  <c r="P1652" i="34"/>
  <c r="Q1680" i="34"/>
  <c r="Q1682" i="34"/>
  <c r="Q1684" i="34"/>
  <c r="Q1686" i="34"/>
  <c r="Q1688" i="34"/>
  <c r="P2042" i="34"/>
  <c r="Q2043" i="34"/>
  <c r="P2122" i="34"/>
  <c r="Q2134" i="34"/>
  <c r="P2226" i="34"/>
  <c r="Q2230" i="34"/>
  <c r="P2234" i="34"/>
  <c r="Q2238" i="34"/>
  <c r="P2242" i="34"/>
  <c r="Q2246" i="34"/>
  <c r="P2250" i="34"/>
  <c r="Q2254" i="34"/>
  <c r="P1936" i="34"/>
  <c r="Q1936" i="34"/>
  <c r="Q2341" i="34"/>
  <c r="Q2394" i="34"/>
  <c r="Q1939" i="34"/>
  <c r="R1943" i="34"/>
  <c r="Q1951" i="34"/>
  <c r="P1497" i="34"/>
  <c r="P1535" i="34"/>
  <c r="P1539" i="34"/>
  <c r="Q1652" i="34"/>
  <c r="R2088" i="34"/>
  <c r="Q2096" i="34"/>
  <c r="R2104" i="34"/>
  <c r="P2108" i="34"/>
  <c r="Q2112" i="34"/>
  <c r="P1875" i="34"/>
  <c r="Q1902" i="34"/>
  <c r="P1856" i="34"/>
  <c r="R1885" i="34"/>
  <c r="Q1885" i="34"/>
  <c r="Q1910" i="34"/>
  <c r="Q1934" i="34"/>
  <c r="R2328" i="34"/>
  <c r="R2363" i="34"/>
  <c r="R2789" i="34"/>
  <c r="P1716" i="34"/>
  <c r="Q1924" i="34"/>
  <c r="P1767" i="34"/>
  <c r="Q1824" i="34"/>
  <c r="P1917" i="34"/>
  <c r="P1709" i="34"/>
  <c r="Q1741" i="34"/>
  <c r="P1772" i="34"/>
  <c r="R1749" i="34"/>
  <c r="P1753" i="34"/>
  <c r="P1784" i="34"/>
  <c r="P1832" i="34"/>
  <c r="P1840" i="34"/>
  <c r="P1788" i="34"/>
  <c r="P1462" i="34"/>
  <c r="R1533" i="34"/>
  <c r="P1537" i="34"/>
  <c r="R1621" i="34"/>
  <c r="Q1625" i="34"/>
  <c r="P1688" i="34"/>
  <c r="P2043" i="34"/>
  <c r="P2134" i="34"/>
  <c r="P2230" i="34"/>
  <c r="P2238" i="34"/>
  <c r="P2246" i="34"/>
  <c r="P2254" i="34"/>
  <c r="Q2337" i="34"/>
  <c r="R1955" i="34"/>
  <c r="Q1959" i="34"/>
  <c r="R2026" i="34"/>
  <c r="R1871" i="34"/>
  <c r="R1879" i="34"/>
  <c r="R1902" i="34"/>
  <c r="P1906" i="34"/>
  <c r="P1794" i="34"/>
  <c r="R1798" i="34"/>
  <c r="P1802" i="34"/>
  <c r="R1852" i="34"/>
  <c r="R1910" i="34"/>
  <c r="P1914" i="34"/>
  <c r="R1969" i="34"/>
  <c r="P1969" i="34"/>
  <c r="R2113" i="34"/>
  <c r="Q2333" i="34"/>
  <c r="Q2359" i="34"/>
  <c r="P2363" i="34"/>
  <c r="P2372" i="34"/>
  <c r="P2379" i="34"/>
  <c r="Q2383" i="34"/>
  <c r="P2387" i="34"/>
  <c r="P1970" i="34"/>
  <c r="R1974" i="34"/>
  <c r="Q1974" i="34"/>
  <c r="Q1978" i="34"/>
  <c r="P1982" i="34"/>
  <c r="Q1986" i="34"/>
  <c r="P2031" i="34"/>
  <c r="Q2035" i="34"/>
  <c r="P2039" i="34"/>
  <c r="Q1929" i="34"/>
  <c r="P2789" i="34"/>
  <c r="R1712" i="34"/>
  <c r="Q1812" i="34"/>
  <c r="P1924" i="34"/>
  <c r="P1931" i="34"/>
  <c r="R1763" i="34"/>
  <c r="R1816" i="34"/>
  <c r="R1824" i="34"/>
  <c r="R1718" i="34"/>
  <c r="R1722" i="34"/>
  <c r="P1726" i="34"/>
  <c r="R1730" i="34"/>
  <c r="P1734" i="34"/>
  <c r="R1776" i="34"/>
  <c r="R1830" i="34"/>
  <c r="R1780" i="34"/>
  <c r="P1596" i="34"/>
  <c r="R1625" i="34"/>
  <c r="P1684" i="34"/>
  <c r="Q2042" i="34"/>
  <c r="Q2122" i="34"/>
  <c r="Q2226" i="34"/>
  <c r="Q2234" i="34"/>
  <c r="Q2242" i="34"/>
  <c r="Q2250" i="34"/>
  <c r="R1936" i="34"/>
  <c r="R1959" i="34"/>
  <c r="Q1963" i="34"/>
  <c r="Q2022" i="34"/>
  <c r="P2026" i="34"/>
  <c r="P2088" i="34"/>
  <c r="R2092" i="34"/>
  <c r="Q2092" i="34"/>
  <c r="P2096" i="34"/>
  <c r="R2100" i="34"/>
  <c r="Q2100" i="34"/>
  <c r="P2104" i="34"/>
  <c r="R2108" i="34"/>
  <c r="Q2108" i="34"/>
  <c r="P2112" i="34"/>
  <c r="P1871" i="34"/>
  <c r="Q1875" i="34"/>
  <c r="P1879" i="34"/>
  <c r="Q1906" i="34"/>
  <c r="Q1711" i="34"/>
  <c r="Q1794" i="34"/>
  <c r="Q1802" i="34"/>
  <c r="Q1848" i="34"/>
  <c r="P1852" i="34"/>
  <c r="Q1856" i="34"/>
  <c r="R1881" i="34"/>
  <c r="Q1881" i="34"/>
  <c r="P1885" i="34"/>
  <c r="R1889" i="34"/>
  <c r="Q1889" i="34"/>
  <c r="Q1914" i="34"/>
  <c r="P1934" i="34"/>
  <c r="Q2328" i="34"/>
  <c r="R2333" i="34"/>
  <c r="R2359" i="34"/>
  <c r="R2383" i="34"/>
  <c r="R1978" i="34"/>
  <c r="R1986" i="34"/>
  <c r="R2035" i="34"/>
  <c r="R1929" i="34"/>
  <c r="Q1716" i="34"/>
  <c r="Q1806" i="34"/>
  <c r="R1812" i="34"/>
  <c r="R1924" i="34"/>
  <c r="Q1931" i="34"/>
  <c r="Q1759" i="34"/>
  <c r="P1763" i="34"/>
  <c r="Q1767" i="34"/>
  <c r="P1816" i="34"/>
  <c r="Q1820" i="34"/>
  <c r="P1824" i="34"/>
  <c r="P1897" i="34"/>
  <c r="R1917" i="34"/>
  <c r="Q1917" i="34"/>
  <c r="R1709" i="34"/>
  <c r="Q1709" i="34"/>
  <c r="Q1726" i="34"/>
  <c r="Q1734" i="34"/>
  <c r="P1741" i="34"/>
  <c r="R1745" i="34"/>
  <c r="Q1745" i="34"/>
  <c r="Q1772" i="34"/>
  <c r="P1776" i="34"/>
  <c r="P1749" i="34"/>
  <c r="R1753" i="34"/>
  <c r="Q1753" i="34"/>
  <c r="P1780" i="34"/>
  <c r="Q1784" i="34"/>
  <c r="Q1832" i="34"/>
  <c r="P1836" i="34"/>
  <c r="P1592" i="34"/>
  <c r="Q1623" i="34"/>
  <c r="Q1646" i="34"/>
  <c r="Q1650" i="34"/>
  <c r="P1680" i="34"/>
  <c r="R1963" i="34"/>
  <c r="Q1967" i="34"/>
  <c r="R2022" i="34"/>
  <c r="R1875" i="34"/>
  <c r="P1902" i="34"/>
  <c r="R1906" i="34"/>
  <c r="R1711" i="34"/>
  <c r="R1794" i="34"/>
  <c r="P1798" i="34"/>
  <c r="R1802" i="34"/>
  <c r="R1848" i="34"/>
  <c r="R1856" i="34"/>
  <c r="P1910" i="34"/>
  <c r="R1914" i="34"/>
  <c r="Q1969" i="34"/>
  <c r="Q2113" i="34"/>
  <c r="P2328" i="34"/>
  <c r="P2359" i="34"/>
  <c r="Q2363" i="34"/>
  <c r="R2372" i="34"/>
  <c r="Q2372" i="34"/>
  <c r="Q2379" i="34"/>
  <c r="P2383" i="34"/>
  <c r="Q2387" i="34"/>
  <c r="R1970" i="34"/>
  <c r="Q1970" i="34"/>
  <c r="P1974" i="34"/>
  <c r="P1978" i="34"/>
  <c r="Q1982" i="34"/>
  <c r="P1986" i="34"/>
  <c r="Q2031" i="34"/>
  <c r="P2035" i="34"/>
  <c r="Q2039" i="34"/>
  <c r="P1929" i="34"/>
  <c r="Q2789" i="34"/>
  <c r="Q1712" i="34"/>
  <c r="R1716" i="34"/>
  <c r="P1806" i="34"/>
  <c r="P1812" i="34"/>
  <c r="R1931" i="34"/>
  <c r="R1759" i="34"/>
  <c r="R1767" i="34"/>
  <c r="R1820" i="34"/>
  <c r="P1718" i="34"/>
  <c r="P1722" i="34"/>
  <c r="R1726" i="34"/>
  <c r="P1730" i="34"/>
  <c r="R1734" i="34"/>
  <c r="R1772" i="34"/>
  <c r="P1830" i="34"/>
  <c r="R1784" i="34"/>
  <c r="R1832" i="34"/>
  <c r="R1840" i="34"/>
  <c r="Q1621" i="34"/>
  <c r="Q1627" i="34"/>
  <c r="Q1648" i="34"/>
  <c r="P2394" i="34"/>
  <c r="R1939" i="34"/>
  <c r="Q1943" i="34"/>
  <c r="R1951" i="34"/>
  <c r="Q1955" i="34"/>
  <c r="R1967" i="34"/>
  <c r="P2022" i="34"/>
  <c r="Q2026" i="34"/>
  <c r="Q2088" i="34"/>
  <c r="P2092" i="34"/>
  <c r="R2096" i="34"/>
  <c r="P2100" i="34"/>
  <c r="Q2104" i="34"/>
  <c r="R2112" i="34"/>
  <c r="Q1871" i="34"/>
  <c r="Q1879" i="34"/>
  <c r="P1711" i="34"/>
  <c r="Q1798" i="34"/>
  <c r="P1848" i="34"/>
  <c r="Q1852" i="34"/>
  <c r="P1881" i="34"/>
  <c r="P1889" i="34"/>
  <c r="R1934" i="34"/>
  <c r="P2113" i="34"/>
  <c r="P2333" i="34"/>
  <c r="R2379" i="34"/>
  <c r="R2387" i="34"/>
  <c r="R1982" i="34"/>
  <c r="R2031" i="34"/>
  <c r="R2039" i="34"/>
  <c r="P1712" i="34"/>
  <c r="R1806" i="34"/>
  <c r="P1759" i="34"/>
  <c r="Q1763" i="34"/>
  <c r="Q1816" i="34"/>
  <c r="P1820" i="34"/>
  <c r="R1897" i="34"/>
  <c r="Q1897" i="34"/>
  <c r="Q1718" i="34"/>
  <c r="Q1722" i="34"/>
  <c r="Q1730" i="34"/>
  <c r="R1741" i="34"/>
  <c r="P1745" i="34"/>
  <c r="Q1776" i="34"/>
  <c r="Q1749" i="34"/>
  <c r="Q1830" i="34"/>
  <c r="Q1780" i="34"/>
  <c r="Q1788" i="34"/>
  <c r="Q1836" i="34"/>
  <c r="R1788" i="34"/>
  <c r="R1836" i="34"/>
  <c r="Q1840" i="34"/>
  <c r="P2766" i="34"/>
  <c r="Q2770" i="34"/>
  <c r="P2774" i="34"/>
  <c r="Q2778" i="34"/>
  <c r="P2782" i="34"/>
  <c r="Q2786" i="34"/>
  <c r="Q1702" i="34"/>
  <c r="Q2404" i="34"/>
  <c r="R2408" i="34"/>
  <c r="R2757" i="34"/>
  <c r="R2323" i="34"/>
  <c r="R2211" i="34"/>
  <c r="R2219" i="34"/>
  <c r="P2317" i="34"/>
  <c r="R2321" i="34"/>
  <c r="P1674" i="34"/>
  <c r="R1678" i="34"/>
  <c r="R2143" i="34"/>
  <c r="P2205" i="34"/>
  <c r="R1586" i="34"/>
  <c r="R1612" i="34"/>
  <c r="R1668" i="34"/>
  <c r="R1452" i="34"/>
  <c r="P1456" i="34"/>
  <c r="R1524" i="34"/>
  <c r="P1528" i="34"/>
  <c r="R1566" i="34"/>
  <c r="R1611" i="34"/>
  <c r="R1550" i="34"/>
  <c r="P1546" i="34"/>
  <c r="R1509" i="34"/>
  <c r="R1488" i="34"/>
  <c r="P1484" i="34"/>
  <c r="R1480" i="34"/>
  <c r="R2354" i="34"/>
  <c r="R2750" i="34"/>
  <c r="R2758" i="34"/>
  <c r="P2365" i="34"/>
  <c r="R2369" i="34"/>
  <c r="P2301" i="34"/>
  <c r="R2305" i="34"/>
  <c r="P2309" i="34"/>
  <c r="R2313" i="34"/>
  <c r="R2318" i="34"/>
  <c r="R1675" i="34"/>
  <c r="R1583" i="34"/>
  <c r="P1638" i="34"/>
  <c r="R1642" i="34"/>
  <c r="R1457" i="34"/>
  <c r="R1529" i="34"/>
  <c r="R1610" i="34"/>
  <c r="R1564" i="34"/>
  <c r="P1512" i="34"/>
  <c r="R1508" i="34"/>
  <c r="R1470" i="34"/>
  <c r="R2768" i="34"/>
  <c r="P2772" i="34"/>
  <c r="R2776" i="34"/>
  <c r="P2780" i="34"/>
  <c r="R2784" i="34"/>
  <c r="R2355" i="34"/>
  <c r="R2366" i="34"/>
  <c r="R2770" i="34"/>
  <c r="R2778" i="34"/>
  <c r="R2786" i="34"/>
  <c r="R1702" i="34"/>
  <c r="P2353" i="34"/>
  <c r="R2404" i="34"/>
  <c r="Q2753" i="34"/>
  <c r="P2757" i="34"/>
  <c r="Q2761" i="34"/>
  <c r="P2323" i="34"/>
  <c r="P2368" i="34"/>
  <c r="R2300" i="34"/>
  <c r="Q2300" i="34"/>
  <c r="P2304" i="34"/>
  <c r="R2308" i="34"/>
  <c r="Q2308" i="34"/>
  <c r="P2312" i="34"/>
  <c r="R2316" i="34"/>
  <c r="Q2316" i="34"/>
  <c r="Q2207" i="34"/>
  <c r="P2211" i="34"/>
  <c r="Q2215" i="34"/>
  <c r="P2219" i="34"/>
  <c r="Q2223" i="34"/>
  <c r="Q2317" i="34"/>
  <c r="Q1674" i="34"/>
  <c r="P2143" i="34"/>
  <c r="Q2147" i="34"/>
  <c r="Q2205" i="34"/>
  <c r="P1612" i="34"/>
  <c r="Q1616" i="34"/>
  <c r="R1637" i="34"/>
  <c r="Q1637" i="34"/>
  <c r="P1641" i="34"/>
  <c r="P1668" i="34"/>
  <c r="Q1456" i="34"/>
  <c r="Q1528" i="34"/>
  <c r="P1611" i="34"/>
  <c r="P1565" i="34"/>
  <c r="R1561" i="34"/>
  <c r="Q1561" i="34"/>
  <c r="Q1546" i="34"/>
  <c r="Q1513" i="34"/>
  <c r="P1509" i="34"/>
  <c r="Q1484" i="34"/>
  <c r="R1475" i="34"/>
  <c r="Q1475" i="34"/>
  <c r="P1471" i="34"/>
  <c r="P2767" i="34"/>
  <c r="R2771" i="34"/>
  <c r="Q2771" i="34"/>
  <c r="P2775" i="34"/>
  <c r="R2779" i="34"/>
  <c r="Q2779" i="34"/>
  <c r="P2783" i="34"/>
  <c r="R1701" i="34"/>
  <c r="Q1701" i="34"/>
  <c r="Q2350" i="34"/>
  <c r="P2354" i="34"/>
  <c r="Q2405" i="34"/>
  <c r="P2750" i="34"/>
  <c r="Q2754" i="34"/>
  <c r="P2758" i="34"/>
  <c r="Q2762" i="34"/>
  <c r="Q2365" i="34"/>
  <c r="Q2301" i="34"/>
  <c r="Q2309" i="34"/>
  <c r="Q1947" i="34"/>
  <c r="P2208" i="34"/>
  <c r="R2212" i="34"/>
  <c r="Q2212" i="34"/>
  <c r="P2216" i="34"/>
  <c r="R2220" i="34"/>
  <c r="Q2220" i="34"/>
  <c r="P2224" i="34"/>
  <c r="P2318" i="34"/>
  <c r="Q2322" i="34"/>
  <c r="P1675" i="34"/>
  <c r="R2144" i="34"/>
  <c r="Q2144" i="34"/>
  <c r="P2148" i="34"/>
  <c r="P1583" i="34"/>
  <c r="Q1587" i="34"/>
  <c r="R1613" i="34"/>
  <c r="Q1613" i="34"/>
  <c r="P1617" i="34"/>
  <c r="Q1638" i="34"/>
  <c r="R1669" i="34"/>
  <c r="Q1669" i="34"/>
  <c r="Q1453" i="34"/>
  <c r="P1457" i="34"/>
  <c r="Q1525" i="34"/>
  <c r="P1529" i="34"/>
  <c r="P1581" i="34"/>
  <c r="P1564" i="34"/>
  <c r="Q1560" i="34"/>
  <c r="R1549" i="34"/>
  <c r="Q1549" i="34"/>
  <c r="P1545" i="34"/>
  <c r="Q1512" i="34"/>
  <c r="R1487" i="34"/>
  <c r="Q1487" i="34"/>
  <c r="P1483" i="34"/>
  <c r="R1479" i="34"/>
  <c r="Q1479" i="34"/>
  <c r="Q1474" i="34"/>
  <c r="P1470" i="34"/>
  <c r="Q2766" i="34"/>
  <c r="P2770" i="34"/>
  <c r="Q2774" i="34"/>
  <c r="P2778" i="34"/>
  <c r="Q2782" i="34"/>
  <c r="P2786" i="34"/>
  <c r="Q2353" i="34"/>
  <c r="Q2408" i="34"/>
  <c r="R2753" i="34"/>
  <c r="R2761" i="34"/>
  <c r="R2207" i="34"/>
  <c r="R2215" i="34"/>
  <c r="R2223" i="34"/>
  <c r="R2317" i="34"/>
  <c r="P2321" i="34"/>
  <c r="R1674" i="34"/>
  <c r="P1678" i="34"/>
  <c r="R2147" i="34"/>
  <c r="R2205" i="34"/>
  <c r="P1586" i="34"/>
  <c r="R1616" i="34"/>
  <c r="P1452" i="34"/>
  <c r="R1456" i="34"/>
  <c r="P1524" i="34"/>
  <c r="R1528" i="34"/>
  <c r="P1566" i="34"/>
  <c r="P1550" i="34"/>
  <c r="R1546" i="34"/>
  <c r="R1513" i="34"/>
  <c r="P1488" i="34"/>
  <c r="R1484" i="34"/>
  <c r="P1480" i="34"/>
  <c r="R2350" i="34"/>
  <c r="R2405" i="34"/>
  <c r="R2754" i="34"/>
  <c r="R2762" i="34"/>
  <c r="R2365" i="34"/>
  <c r="P2369" i="34"/>
  <c r="R2301" i="34"/>
  <c r="P2305" i="34"/>
  <c r="R2309" i="34"/>
  <c r="P2313" i="34"/>
  <c r="P1947" i="34"/>
  <c r="R2322" i="34"/>
  <c r="R1587" i="34"/>
  <c r="R1638" i="34"/>
  <c r="P1642" i="34"/>
  <c r="R1453" i="34"/>
  <c r="R1525" i="34"/>
  <c r="P1610" i="34"/>
  <c r="R1560" i="34"/>
  <c r="R1512" i="34"/>
  <c r="P1508" i="34"/>
  <c r="R1474" i="34"/>
  <c r="P2768" i="34"/>
  <c r="R2772" i="34"/>
  <c r="P2776" i="34"/>
  <c r="R2780" i="34"/>
  <c r="P2784" i="34"/>
  <c r="P1933" i="34"/>
  <c r="R2351" i="34"/>
  <c r="R2406" i="34"/>
  <c r="R2766" i="34"/>
  <c r="R2774" i="34"/>
  <c r="R2782" i="34"/>
  <c r="P1702" i="34"/>
  <c r="R2353" i="34"/>
  <c r="P2404" i="34"/>
  <c r="P2408" i="34"/>
  <c r="P2753" i="34"/>
  <c r="Q2757" i="34"/>
  <c r="P2761" i="34"/>
  <c r="Q2323" i="34"/>
  <c r="R2368" i="34"/>
  <c r="Q2368" i="34"/>
  <c r="P2300" i="34"/>
  <c r="R2304" i="34"/>
  <c r="Q2304" i="34"/>
  <c r="P2308" i="34"/>
  <c r="R2312" i="34"/>
  <c r="Q2312" i="34"/>
  <c r="P2316" i="34"/>
  <c r="P2207" i="34"/>
  <c r="Q2211" i="34"/>
  <c r="P2215" i="34"/>
  <c r="Q2219" i="34"/>
  <c r="P2223" i="34"/>
  <c r="Q2321" i="34"/>
  <c r="Q1678" i="34"/>
  <c r="Q2143" i="34"/>
  <c r="P2147" i="34"/>
  <c r="Q1586" i="34"/>
  <c r="Q1612" i="34"/>
  <c r="P1616" i="34"/>
  <c r="P1637" i="34"/>
  <c r="R1641" i="34"/>
  <c r="Q1641" i="34"/>
  <c r="Q1668" i="34"/>
  <c r="Q1452" i="34"/>
  <c r="Q1524" i="34"/>
  <c r="Q1566" i="34"/>
  <c r="Q1611" i="34"/>
  <c r="R1565" i="34"/>
  <c r="Q1565" i="34"/>
  <c r="P1561" i="34"/>
  <c r="Q1550" i="34"/>
  <c r="P1513" i="34"/>
  <c r="Q1509" i="34"/>
  <c r="Q1488" i="34"/>
  <c r="Q1480" i="34"/>
  <c r="P1475" i="34"/>
  <c r="R1471" i="34"/>
  <c r="Q1471" i="34"/>
  <c r="R2767" i="34"/>
  <c r="Q2767" i="34"/>
  <c r="P2771" i="34"/>
  <c r="R2775" i="34"/>
  <c r="Q2775" i="34"/>
  <c r="P2779" i="34"/>
  <c r="R2783" i="34"/>
  <c r="Q2783" i="34"/>
  <c r="P1701" i="34"/>
  <c r="P2350" i="34"/>
  <c r="Q2354" i="34"/>
  <c r="P2405" i="34"/>
  <c r="Q2750" i="34"/>
  <c r="P2754" i="34"/>
  <c r="Q2758" i="34"/>
  <c r="P2762" i="34"/>
  <c r="Q2369" i="34"/>
  <c r="Q2305" i="34"/>
  <c r="Q2313" i="34"/>
  <c r="R1947" i="34"/>
  <c r="R2208" i="34"/>
  <c r="Q2208" i="34"/>
  <c r="P2212" i="34"/>
  <c r="R2216" i="34"/>
  <c r="Q2216" i="34"/>
  <c r="P2220" i="34"/>
  <c r="R2224" i="34"/>
  <c r="Q2224" i="34"/>
  <c r="Q2318" i="34"/>
  <c r="P2322" i="34"/>
  <c r="Q1675" i="34"/>
  <c r="P2144" i="34"/>
  <c r="R2148" i="34"/>
  <c r="Q2148" i="34"/>
  <c r="Q1583" i="34"/>
  <c r="P1587" i="34"/>
  <c r="P1613" i="34"/>
  <c r="R1617" i="34"/>
  <c r="Q1617" i="34"/>
  <c r="Q1642" i="34"/>
  <c r="P1669" i="34"/>
  <c r="P1453" i="34"/>
  <c r="Q1457" i="34"/>
  <c r="P1525" i="34"/>
  <c r="Q1529" i="34"/>
  <c r="R1581" i="34"/>
  <c r="Q1581" i="34"/>
  <c r="Q1610" i="34"/>
  <c r="Q1564" i="34"/>
  <c r="P1560" i="34"/>
  <c r="P1549" i="34"/>
  <c r="R1545" i="34"/>
  <c r="Q1545" i="34"/>
  <c r="Q1508" i="34"/>
  <c r="P1487" i="34"/>
  <c r="R1483" i="34"/>
  <c r="Q1483" i="34"/>
  <c r="P1479" i="34"/>
  <c r="P1474" i="34"/>
  <c r="Q1470" i="34"/>
  <c r="R1933" i="34"/>
  <c r="P2351" i="34"/>
  <c r="Q2406" i="34"/>
  <c r="P2298" i="34"/>
  <c r="Q2302" i="34"/>
  <c r="P2306" i="34"/>
  <c r="Q2310" i="34"/>
  <c r="P2314" i="34"/>
  <c r="Q2209" i="34"/>
  <c r="Q2217" i="34"/>
  <c r="Q2225" i="34"/>
  <c r="Q2319" i="34"/>
  <c r="P1672" i="34"/>
  <c r="Q1676" i="34"/>
  <c r="Q2149" i="34"/>
  <c r="Q1584" i="34"/>
  <c r="P1588" i="34"/>
  <c r="Q1618" i="34"/>
  <c r="Q1639" i="34"/>
  <c r="P1643" i="34"/>
  <c r="P1454" i="34"/>
  <c r="Q1458" i="34"/>
  <c r="P1526" i="34"/>
  <c r="Q1530" i="34"/>
  <c r="Q1582" i="34"/>
  <c r="R1609" i="34"/>
  <c r="Q1609" i="34"/>
  <c r="Q1563" i="34"/>
  <c r="P1559" i="34"/>
  <c r="Q1548" i="34"/>
  <c r="P1544" i="34"/>
  <c r="P1511" i="34"/>
  <c r="R1507" i="34"/>
  <c r="Q1507" i="34"/>
  <c r="Q1486" i="34"/>
  <c r="P1482" i="34"/>
  <c r="Q1477" i="34"/>
  <c r="P1473" i="34"/>
  <c r="Q1469" i="34"/>
  <c r="Q2765" i="34"/>
  <c r="P2769" i="34"/>
  <c r="Q2773" i="34"/>
  <c r="P2777" i="34"/>
  <c r="Q2781" i="34"/>
  <c r="P2785" i="34"/>
  <c r="P1717" i="34"/>
  <c r="R2352" i="34"/>
  <c r="Q2352" i="34"/>
  <c r="P2403" i="34"/>
  <c r="Q2407" i="34"/>
  <c r="Q2756" i="34"/>
  <c r="Q2764" i="34"/>
  <c r="Q2367" i="34"/>
  <c r="P2299" i="34"/>
  <c r="Q2303" i="34"/>
  <c r="P2307" i="34"/>
  <c r="Q2311" i="34"/>
  <c r="P2315" i="34"/>
  <c r="Q2206" i="34"/>
  <c r="P2210" i="34"/>
  <c r="Q2214" i="34"/>
  <c r="P2218" i="34"/>
  <c r="Q2222" i="34"/>
  <c r="R1938" i="34"/>
  <c r="P2320" i="34"/>
  <c r="Q1673" i="34"/>
  <c r="Q2146" i="34"/>
  <c r="R1589" i="34"/>
  <c r="P1619" i="34"/>
  <c r="P1644" i="34"/>
  <c r="Q1455" i="34"/>
  <c r="Q1527" i="34"/>
  <c r="Q1547" i="34"/>
  <c r="Q1510" i="34"/>
  <c r="Q1485" i="34"/>
  <c r="Q1472" i="34"/>
  <c r="P2355" i="34"/>
  <c r="P2751" i="34"/>
  <c r="R2755" i="34"/>
  <c r="Q2755" i="34"/>
  <c r="P2759" i="34"/>
  <c r="R2763" i="34"/>
  <c r="Q2763" i="34"/>
  <c r="Q2366" i="34"/>
  <c r="R2302" i="34"/>
  <c r="R2310" i="34"/>
  <c r="P2349" i="34"/>
  <c r="R2209" i="34"/>
  <c r="P2213" i="34"/>
  <c r="R2217" i="34"/>
  <c r="P2221" i="34"/>
  <c r="R2225" i="34"/>
  <c r="R2319" i="34"/>
  <c r="R1676" i="34"/>
  <c r="P2145" i="34"/>
  <c r="R2149" i="34"/>
  <c r="R1584" i="34"/>
  <c r="P1614" i="34"/>
  <c r="R1618" i="34"/>
  <c r="R1639" i="34"/>
  <c r="P1670" i="34"/>
  <c r="R1458" i="34"/>
  <c r="R1530" i="34"/>
  <c r="R1582" i="34"/>
  <c r="R1563" i="34"/>
  <c r="R1548" i="34"/>
  <c r="R1486" i="34"/>
  <c r="R1477" i="34"/>
  <c r="R1469" i="34"/>
  <c r="R2765" i="34"/>
  <c r="R2773" i="34"/>
  <c r="R2781" i="34"/>
  <c r="P2752" i="34"/>
  <c r="R2756" i="34"/>
  <c r="P2760" i="34"/>
  <c r="R2764" i="34"/>
  <c r="R2367" i="34"/>
  <c r="R2303" i="34"/>
  <c r="R2311" i="34"/>
  <c r="R2206" i="34"/>
  <c r="R2214" i="34"/>
  <c r="R2222" i="34"/>
  <c r="R2146" i="34"/>
  <c r="R1615" i="34"/>
  <c r="R1640" i="34"/>
  <c r="R1671" i="34"/>
  <c r="P1496" i="34"/>
  <c r="P1562" i="34"/>
  <c r="R1547" i="34"/>
  <c r="R1510" i="34"/>
  <c r="R1485" i="34"/>
  <c r="P1476" i="34"/>
  <c r="R1472" i="34"/>
  <c r="Q2351" i="34"/>
  <c r="P2406" i="34"/>
  <c r="Q2298" i="34"/>
  <c r="P2302" i="34"/>
  <c r="Q2306" i="34"/>
  <c r="P2310" i="34"/>
  <c r="Q2314" i="34"/>
  <c r="Q2349" i="34"/>
  <c r="Q2213" i="34"/>
  <c r="Q2221" i="34"/>
  <c r="P2319" i="34"/>
  <c r="Q1672" i="34"/>
  <c r="P1676" i="34"/>
  <c r="Q2145" i="34"/>
  <c r="P1584" i="34"/>
  <c r="Q1588" i="34"/>
  <c r="Q1614" i="34"/>
  <c r="P1639" i="34"/>
  <c r="Q1643" i="34"/>
  <c r="Q1670" i="34"/>
  <c r="Q1454" i="34"/>
  <c r="P1458" i="34"/>
  <c r="Q1526" i="34"/>
  <c r="P1530" i="34"/>
  <c r="P1609" i="34"/>
  <c r="P1563" i="34"/>
  <c r="Q1559" i="34"/>
  <c r="P1548" i="34"/>
  <c r="Q1544" i="34"/>
  <c r="R1511" i="34"/>
  <c r="Q1511" i="34"/>
  <c r="P1507" i="34"/>
  <c r="P1486" i="34"/>
  <c r="Q1482" i="34"/>
  <c r="P1477" i="34"/>
  <c r="Q1473" i="34"/>
  <c r="P1469" i="34"/>
  <c r="P2765" i="34"/>
  <c r="Q2769" i="34"/>
  <c r="P2773" i="34"/>
  <c r="Q2777" i="34"/>
  <c r="P2781" i="34"/>
  <c r="Q2785" i="34"/>
  <c r="R1717" i="34"/>
  <c r="Q1717" i="34"/>
  <c r="P2352" i="34"/>
  <c r="R2403" i="34"/>
  <c r="Q2403" i="34"/>
  <c r="P2407" i="34"/>
  <c r="Q2752" i="34"/>
  <c r="Q2760" i="34"/>
  <c r="P2367" i="34"/>
  <c r="Q2299" i="34"/>
  <c r="P2303" i="34"/>
  <c r="Q2307" i="34"/>
  <c r="P2311" i="34"/>
  <c r="Q2315" i="34"/>
  <c r="P2206" i="34"/>
  <c r="Q2210" i="34"/>
  <c r="P2214" i="34"/>
  <c r="Q2218" i="34"/>
  <c r="P2222" i="34"/>
  <c r="P1938" i="34"/>
  <c r="R2320" i="34"/>
  <c r="Q2320" i="34"/>
  <c r="P1673" i="34"/>
  <c r="R1677" i="34"/>
  <c r="Q1677" i="34"/>
  <c r="Q2142" i="34"/>
  <c r="P2146" i="34"/>
  <c r="Q2150" i="34"/>
  <c r="R1585" i="34"/>
  <c r="Q1585" i="34"/>
  <c r="P1589" i="34"/>
  <c r="P1615" i="34"/>
  <c r="Q1619" i="34"/>
  <c r="P1640" i="34"/>
  <c r="Q1644" i="34"/>
  <c r="P1671" i="34"/>
  <c r="P1455" i="34"/>
  <c r="Q1496" i="34"/>
  <c r="P1527" i="34"/>
  <c r="R1531" i="34"/>
  <c r="Q1531" i="34"/>
  <c r="Q1608" i="34"/>
  <c r="Q1562" i="34"/>
  <c r="Q1551" i="34"/>
  <c r="P1547" i="34"/>
  <c r="Q1514" i="34"/>
  <c r="P1510" i="34"/>
  <c r="Q1489" i="34"/>
  <c r="P1485" i="34"/>
  <c r="Q1481" i="34"/>
  <c r="Q1476" i="34"/>
  <c r="Q2768" i="34"/>
  <c r="Q2772" i="34"/>
  <c r="Q2776" i="34"/>
  <c r="Q2780" i="34"/>
  <c r="Q2784" i="34"/>
  <c r="Q1933" i="34"/>
  <c r="Q2355" i="34"/>
  <c r="R2751" i="34"/>
  <c r="Q2751" i="34"/>
  <c r="P2755" i="34"/>
  <c r="R2759" i="34"/>
  <c r="Q2759" i="34"/>
  <c r="P2763" i="34"/>
  <c r="P2366" i="34"/>
  <c r="R2298" i="34"/>
  <c r="R2306" i="34"/>
  <c r="R2314" i="34"/>
  <c r="R2349" i="34"/>
  <c r="P2209" i="34"/>
  <c r="R2213" i="34"/>
  <c r="P2217" i="34"/>
  <c r="R2221" i="34"/>
  <c r="P2225" i="34"/>
  <c r="R1672" i="34"/>
  <c r="R2145" i="34"/>
  <c r="P2149" i="34"/>
  <c r="R1588" i="34"/>
  <c r="R1614" i="34"/>
  <c r="P1618" i="34"/>
  <c r="R1643" i="34"/>
  <c r="R1670" i="34"/>
  <c r="R1454" i="34"/>
  <c r="R1526" i="34"/>
  <c r="P1582" i="34"/>
  <c r="R1559" i="34"/>
  <c r="R1544" i="34"/>
  <c r="R1482" i="34"/>
  <c r="R1473" i="34"/>
  <c r="R2769" i="34"/>
  <c r="R2777" i="34"/>
  <c r="R2785" i="34"/>
  <c r="R2752" i="34"/>
  <c r="P2756" i="34"/>
  <c r="R2760" i="34"/>
  <c r="P2764" i="34"/>
  <c r="R2299" i="34"/>
  <c r="R2307" i="34"/>
  <c r="R2315" i="34"/>
  <c r="R2210" i="34"/>
  <c r="R2218" i="34"/>
  <c r="R2142" i="34"/>
  <c r="R2150" i="34"/>
  <c r="R1619" i="34"/>
  <c r="R1644" i="34"/>
  <c r="R1496" i="34"/>
  <c r="R1608" i="34"/>
  <c r="R1562" i="34"/>
  <c r="R1551" i="34"/>
  <c r="R1514" i="34"/>
  <c r="R1489" i="34"/>
  <c r="R1481" i="34"/>
  <c r="R1476" i="34"/>
  <c r="P1472" i="34"/>
  <c r="R2407" i="34"/>
  <c r="Q1938" i="34"/>
  <c r="R1673" i="34"/>
  <c r="P1677" i="34"/>
  <c r="P2142" i="34"/>
  <c r="P2150" i="34"/>
  <c r="P1585" i="34"/>
  <c r="Q1589" i="34"/>
  <c r="Q1615" i="34"/>
  <c r="Q1640" i="34"/>
  <c r="Q1671" i="34"/>
  <c r="R1455" i="34"/>
  <c r="R1527" i="34"/>
  <c r="P1531" i="34"/>
  <c r="P1608" i="34"/>
  <c r="P1551" i="34"/>
  <c r="P1514" i="34"/>
  <c r="P1489" i="34"/>
  <c r="P1481" i="34"/>
  <c r="P1543" i="34"/>
  <c r="Q1540" i="34"/>
  <c r="P1692" i="34"/>
  <c r="P1541" i="34"/>
  <c r="P1555" i="34"/>
  <c r="R1466" i="34"/>
  <c r="Q1492" i="34"/>
  <c r="Q1554" i="34"/>
  <c r="Q1542" i="34"/>
  <c r="Q1552" i="34"/>
  <c r="Q1696" i="34"/>
  <c r="R1694" i="34"/>
  <c r="R1498" i="34"/>
  <c r="R1467" i="34"/>
  <c r="Q1467" i="34"/>
  <c r="Q1695" i="34"/>
  <c r="Q1490" i="34"/>
  <c r="P1499" i="34"/>
  <c r="Q1505" i="34"/>
  <c r="R1553" i="34"/>
  <c r="Q1553" i="34"/>
  <c r="R1568" i="34"/>
  <c r="P1468" i="34"/>
  <c r="R1690" i="34"/>
  <c r="R1491" i="34"/>
  <c r="Q1491" i="34"/>
  <c r="R1500" i="34"/>
  <c r="R1540" i="34"/>
  <c r="Q1691" i="34"/>
  <c r="P1693" i="34"/>
  <c r="P1466" i="34"/>
  <c r="R1492" i="34"/>
  <c r="Q1501" i="34"/>
  <c r="Q1697" i="34"/>
  <c r="R1554" i="34"/>
  <c r="R1542" i="34"/>
  <c r="R1552" i="34"/>
  <c r="P1696" i="34"/>
  <c r="Q1478" i="34"/>
  <c r="Q1503" i="34"/>
  <c r="R1695" i="34"/>
  <c r="P1490" i="34"/>
  <c r="R1499" i="34"/>
  <c r="R1505" i="34"/>
  <c r="Q1468" i="34"/>
  <c r="Q1543" i="34"/>
  <c r="P1540" i="34"/>
  <c r="Q1692" i="34"/>
  <c r="R1541" i="34"/>
  <c r="Q1541" i="34"/>
  <c r="Q1555" i="34"/>
  <c r="P1691" i="34"/>
  <c r="P1501" i="34"/>
  <c r="P1697" i="34"/>
  <c r="P1552" i="34"/>
  <c r="R1696" i="34"/>
  <c r="P1694" i="34"/>
  <c r="P1478" i="34"/>
  <c r="Q1498" i="34"/>
  <c r="P1503" i="34"/>
  <c r="P1467" i="34"/>
  <c r="P1695" i="34"/>
  <c r="R1490" i="34"/>
  <c r="P1505" i="34"/>
  <c r="P1553" i="34"/>
  <c r="Q1568" i="34"/>
  <c r="R1468" i="34"/>
  <c r="P1690" i="34"/>
  <c r="P1491" i="34"/>
  <c r="Q1500" i="34"/>
  <c r="R1543" i="34"/>
  <c r="R1692" i="34"/>
  <c r="R1555" i="34"/>
  <c r="R1691" i="34"/>
  <c r="R1693" i="34"/>
  <c r="Q1693" i="34"/>
  <c r="Q1466" i="34"/>
  <c r="P1492" i="34"/>
  <c r="R1501" i="34"/>
  <c r="R1697" i="34"/>
  <c r="P1554" i="34"/>
  <c r="P1542" i="34"/>
  <c r="Q1694" i="34"/>
  <c r="R1478" i="34"/>
  <c r="P1498" i="34"/>
  <c r="R1503" i="34"/>
  <c r="Q1499" i="34"/>
  <c r="P1568" i="34"/>
  <c r="Q1690" i="34"/>
  <c r="P1500" i="34"/>
  <c r="P1493" i="34"/>
  <c r="Q1556" i="34"/>
  <c r="R1653" i="34"/>
  <c r="Q1653" i="34"/>
  <c r="P1569" i="34"/>
  <c r="R1556" i="34"/>
  <c r="Q1569" i="34"/>
  <c r="Q1493" i="34"/>
  <c r="P1556" i="34"/>
  <c r="P1653" i="34"/>
  <c r="R1569" i="34"/>
  <c r="R149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A163" i="34" l="1"/>
  <c r="P163" i="34"/>
  <c r="X163" i="34"/>
  <c r="Q163" i="34"/>
  <c r="R163" i="34"/>
  <c r="V163" i="34"/>
  <c r="AA163" i="34"/>
  <c r="A124" i="34"/>
  <c r="Q124" i="34"/>
  <c r="R124" i="34"/>
  <c r="V124" i="34"/>
  <c r="AA124" i="34"/>
  <c r="P124" i="34"/>
  <c r="X124" i="34"/>
  <c r="A134" i="34"/>
  <c r="AA134" i="34"/>
  <c r="P134" i="34"/>
  <c r="X134" i="34"/>
  <c r="Q134" i="34"/>
  <c r="R134" i="34"/>
  <c r="V134" i="34"/>
  <c r="A135" i="34"/>
  <c r="R135" i="34"/>
  <c r="V135" i="34"/>
  <c r="AA135" i="34"/>
  <c r="P135" i="34"/>
  <c r="X135" i="34"/>
  <c r="Q135" i="34"/>
  <c r="A137" i="34"/>
  <c r="P137" i="34"/>
  <c r="X137" i="34"/>
  <c r="Q137" i="34"/>
  <c r="R137" i="34"/>
  <c r="V137" i="34"/>
  <c r="AA137" i="34"/>
  <c r="A133" i="34"/>
  <c r="P133" i="34"/>
  <c r="X133" i="34"/>
  <c r="Q133" i="34"/>
  <c r="R133" i="34"/>
  <c r="V133" i="34"/>
  <c r="AA133" i="34"/>
  <c r="A125" i="34"/>
  <c r="P125" i="34"/>
  <c r="X125" i="34"/>
  <c r="Q125" i="34"/>
  <c r="R125" i="34"/>
  <c r="V125" i="34"/>
  <c r="AA125" i="34"/>
  <c r="A136" i="34"/>
  <c r="Q136" i="34"/>
  <c r="R136" i="34"/>
  <c r="V136" i="34"/>
  <c r="AA136" i="34"/>
  <c r="P136" i="34"/>
  <c r="X136" i="34"/>
  <c r="A132" i="34"/>
  <c r="Q132" i="34"/>
  <c r="R132" i="34"/>
  <c r="V132" i="34"/>
  <c r="AA132" i="34"/>
  <c r="P132" i="34"/>
  <c r="X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A38" i="34" l="1"/>
  <c r="Q38" i="34"/>
  <c r="R38" i="34"/>
  <c r="V38" i="34"/>
  <c r="AA38" i="34"/>
  <c r="P38" i="34"/>
  <c r="X38" i="34"/>
  <c r="A186" i="34"/>
  <c r="AA186" i="34"/>
  <c r="P186" i="34"/>
  <c r="X186" i="34"/>
  <c r="Q186" i="34"/>
  <c r="R186" i="34"/>
  <c r="V186" i="34"/>
  <c r="A82" i="34"/>
  <c r="Q82" i="34"/>
  <c r="R82" i="34"/>
  <c r="V82" i="34"/>
  <c r="AA82" i="34"/>
  <c r="P82" i="34"/>
  <c r="X82" i="34"/>
  <c r="A32" i="34"/>
  <c r="AA32" i="34"/>
  <c r="P32" i="34"/>
  <c r="X32" i="34"/>
  <c r="Q32" i="34"/>
  <c r="R32" i="34"/>
  <c r="V32" i="34"/>
  <c r="A61" i="34"/>
  <c r="R61" i="34"/>
  <c r="V61" i="34"/>
  <c r="AA61" i="34"/>
  <c r="P61" i="34"/>
  <c r="X61" i="34"/>
  <c r="Q61" i="34"/>
  <c r="A28" i="34"/>
  <c r="AA28" i="34"/>
  <c r="P28" i="34"/>
  <c r="X28" i="34"/>
  <c r="Q28" i="34"/>
  <c r="R28" i="34"/>
  <c r="V28" i="34"/>
  <c r="A219" i="34"/>
  <c r="P219" i="34"/>
  <c r="X219" i="34"/>
  <c r="Q219" i="34"/>
  <c r="R219" i="34"/>
  <c r="V219" i="34"/>
  <c r="AA219" i="34"/>
  <c r="A87" i="34"/>
  <c r="P87" i="34"/>
  <c r="X87" i="34"/>
  <c r="Q87" i="34"/>
  <c r="R87" i="34"/>
  <c r="V87" i="34"/>
  <c r="AA87" i="34"/>
  <c r="A129" i="34"/>
  <c r="P129" i="34"/>
  <c r="X129" i="34"/>
  <c r="Q129" i="34"/>
  <c r="R129" i="34"/>
  <c r="V129" i="34"/>
  <c r="AA129" i="34"/>
  <c r="A77" i="34"/>
  <c r="R77" i="34"/>
  <c r="V77" i="34"/>
  <c r="AA77" i="34"/>
  <c r="P77" i="34"/>
  <c r="X77" i="34"/>
  <c r="Q77" i="34"/>
  <c r="A23" i="34"/>
  <c r="P23" i="34"/>
  <c r="X23" i="34"/>
  <c r="Q23" i="34"/>
  <c r="R23" i="34"/>
  <c r="V23" i="34"/>
  <c r="AA23" i="34"/>
  <c r="A37" i="34"/>
  <c r="R37" i="34"/>
  <c r="V37" i="34"/>
  <c r="AA37" i="34"/>
  <c r="P37" i="34"/>
  <c r="X37" i="34"/>
  <c r="Q37" i="34"/>
  <c r="A48" i="34"/>
  <c r="AA48" i="34"/>
  <c r="P48" i="34"/>
  <c r="X48" i="34"/>
  <c r="Q48" i="34"/>
  <c r="R48" i="34"/>
  <c r="V48" i="34"/>
  <c r="A44" i="34"/>
  <c r="AA44" i="34"/>
  <c r="P44" i="34"/>
  <c r="X44" i="34"/>
  <c r="Q44" i="34"/>
  <c r="R44" i="34"/>
  <c r="V44" i="34"/>
  <c r="A55" i="34"/>
  <c r="P55" i="34"/>
  <c r="X55" i="34"/>
  <c r="Q55" i="34"/>
  <c r="R55" i="34"/>
  <c r="V55" i="34"/>
  <c r="AA55" i="34"/>
  <c r="A60" i="34"/>
  <c r="AA60" i="34"/>
  <c r="P60" i="34"/>
  <c r="X60" i="34"/>
  <c r="Q60" i="34"/>
  <c r="R60" i="34"/>
  <c r="V60" i="34"/>
  <c r="A150" i="34"/>
  <c r="AA150" i="34"/>
  <c r="P150" i="34"/>
  <c r="X150" i="34"/>
  <c r="Q150" i="34"/>
  <c r="R150" i="34"/>
  <c r="V150" i="34"/>
  <c r="A74" i="34"/>
  <c r="Q74" i="34"/>
  <c r="R74" i="34"/>
  <c r="V74" i="34"/>
  <c r="AA74" i="34"/>
  <c r="P74" i="34"/>
  <c r="X74" i="34"/>
  <c r="A31" i="34"/>
  <c r="P31" i="34"/>
  <c r="X31" i="34"/>
  <c r="Q31" i="34"/>
  <c r="R31" i="34"/>
  <c r="V31" i="34"/>
  <c r="AA31" i="34"/>
  <c r="A27" i="34"/>
  <c r="P27" i="34"/>
  <c r="X27" i="34"/>
  <c r="Q27" i="34"/>
  <c r="R27" i="34"/>
  <c r="V27" i="34"/>
  <c r="AA27" i="34"/>
  <c r="A34" i="34"/>
  <c r="Q34" i="34"/>
  <c r="R34" i="34"/>
  <c r="V34" i="34"/>
  <c r="AA34" i="34"/>
  <c r="P34" i="34"/>
  <c r="X34" i="34"/>
  <c r="A175" i="34"/>
  <c r="P175" i="34"/>
  <c r="X175" i="34"/>
  <c r="Q175" i="34"/>
  <c r="R175" i="34"/>
  <c r="V175" i="34"/>
  <c r="AA175" i="34"/>
  <c r="A220" i="34"/>
  <c r="AA220" i="34"/>
  <c r="P220" i="34"/>
  <c r="X220" i="34"/>
  <c r="Q220" i="34"/>
  <c r="R220" i="34"/>
  <c r="V220" i="34"/>
  <c r="A100" i="34"/>
  <c r="AA100" i="34"/>
  <c r="P100" i="34"/>
  <c r="X100" i="34"/>
  <c r="Q100" i="34"/>
  <c r="R100" i="34"/>
  <c r="V100" i="34"/>
  <c r="A90" i="34"/>
  <c r="Q90" i="34"/>
  <c r="R90" i="34"/>
  <c r="V90" i="34"/>
  <c r="AA90" i="34"/>
  <c r="P90" i="34"/>
  <c r="X90" i="34"/>
  <c r="A85" i="34"/>
  <c r="R85" i="34"/>
  <c r="V85" i="34"/>
  <c r="AA85" i="34"/>
  <c r="P85" i="34"/>
  <c r="X85" i="34"/>
  <c r="Q85" i="34"/>
  <c r="A81" i="34"/>
  <c r="R81" i="34"/>
  <c r="V81" i="34"/>
  <c r="AA81" i="34"/>
  <c r="P81" i="34"/>
  <c r="X81" i="34"/>
  <c r="Q81" i="34"/>
  <c r="A128" i="34"/>
  <c r="Q128" i="34"/>
  <c r="R128" i="34"/>
  <c r="V128" i="34"/>
  <c r="AA128" i="34"/>
  <c r="P128" i="34"/>
  <c r="X128" i="34"/>
  <c r="A92" i="34"/>
  <c r="AA92" i="34"/>
  <c r="P92" i="34"/>
  <c r="X92" i="34"/>
  <c r="Q92" i="34"/>
  <c r="R92" i="34"/>
  <c r="V92" i="34"/>
  <c r="A71" i="34"/>
  <c r="P71" i="34"/>
  <c r="X71" i="34"/>
  <c r="Q71" i="34"/>
  <c r="R71" i="34"/>
  <c r="V71" i="34"/>
  <c r="AA71" i="34"/>
  <c r="A56" i="34"/>
  <c r="AA56" i="34"/>
  <c r="P56" i="34"/>
  <c r="X56" i="34"/>
  <c r="Q56" i="34"/>
  <c r="R56" i="34"/>
  <c r="V56" i="34"/>
  <c r="A138" i="34"/>
  <c r="AA138" i="34"/>
  <c r="P138" i="34"/>
  <c r="X138" i="34"/>
  <c r="Q138" i="34"/>
  <c r="R138" i="34"/>
  <c r="V138" i="34"/>
  <c r="A174" i="34"/>
  <c r="Q174" i="34"/>
  <c r="R174" i="34"/>
  <c r="V174" i="34"/>
  <c r="AA174" i="34"/>
  <c r="P174" i="34"/>
  <c r="X174" i="34"/>
  <c r="A80" i="34"/>
  <c r="AA80" i="34"/>
  <c r="P80" i="34"/>
  <c r="X80" i="34"/>
  <c r="Q80" i="34"/>
  <c r="R80" i="34"/>
  <c r="V80" i="34"/>
  <c r="A93" i="34"/>
  <c r="R93" i="34"/>
  <c r="V93" i="34"/>
  <c r="AA93" i="34"/>
  <c r="P93" i="34"/>
  <c r="X93" i="34"/>
  <c r="Q93" i="34"/>
  <c r="A69" i="34"/>
  <c r="R69" i="34"/>
  <c r="V69" i="34"/>
  <c r="AA69" i="34"/>
  <c r="P69" i="34"/>
  <c r="X69" i="34"/>
  <c r="Q69" i="34"/>
  <c r="A76" i="34"/>
  <c r="AA76" i="34"/>
  <c r="P76" i="34"/>
  <c r="X76" i="34"/>
  <c r="Q76" i="34"/>
  <c r="R76" i="34"/>
  <c r="V76" i="34"/>
  <c r="A22" i="34"/>
  <c r="Q22" i="34"/>
  <c r="R22" i="34"/>
  <c r="V22" i="34"/>
  <c r="AA22" i="34"/>
  <c r="P22" i="34"/>
  <c r="X22" i="34"/>
  <c r="A36" i="34"/>
  <c r="AA36" i="34"/>
  <c r="P36" i="34"/>
  <c r="X36" i="34"/>
  <c r="Q36" i="34"/>
  <c r="R36" i="34"/>
  <c r="V36" i="34"/>
  <c r="A47" i="34"/>
  <c r="P47" i="34"/>
  <c r="X47" i="34"/>
  <c r="Q47" i="34"/>
  <c r="R47" i="34"/>
  <c r="V47" i="34"/>
  <c r="AA47" i="34"/>
  <c r="A52" i="34"/>
  <c r="AA52" i="34"/>
  <c r="P52" i="34"/>
  <c r="X52" i="34"/>
  <c r="Q52" i="34"/>
  <c r="R52" i="34"/>
  <c r="V52" i="34"/>
  <c r="A54" i="34"/>
  <c r="Q54" i="34"/>
  <c r="R54" i="34"/>
  <c r="V54" i="34"/>
  <c r="AA54" i="34"/>
  <c r="P54" i="34"/>
  <c r="X54" i="34"/>
  <c r="A65" i="34"/>
  <c r="R65" i="34"/>
  <c r="V65" i="34"/>
  <c r="AA65" i="34"/>
  <c r="P65" i="34"/>
  <c r="X65" i="34"/>
  <c r="Q65" i="34"/>
  <c r="A149" i="34"/>
  <c r="P149" i="34"/>
  <c r="X149" i="34"/>
  <c r="Q149" i="34"/>
  <c r="R149" i="34"/>
  <c r="V149" i="34"/>
  <c r="AA149" i="34"/>
  <c r="A73" i="34"/>
  <c r="R73" i="34"/>
  <c r="V73" i="34"/>
  <c r="AA73" i="34"/>
  <c r="P73" i="34"/>
  <c r="X73" i="34"/>
  <c r="Q73" i="34"/>
  <c r="A30" i="34"/>
  <c r="Q30" i="34"/>
  <c r="R30" i="34"/>
  <c r="V30" i="34"/>
  <c r="AA30" i="34"/>
  <c r="P30" i="34"/>
  <c r="X30" i="34"/>
  <c r="A26" i="34"/>
  <c r="Q26" i="34"/>
  <c r="R26" i="34"/>
  <c r="V26" i="34"/>
  <c r="AA26" i="34"/>
  <c r="P26" i="34"/>
  <c r="X26" i="34"/>
  <c r="A40" i="34"/>
  <c r="AA40" i="34"/>
  <c r="P40" i="34"/>
  <c r="X40" i="34"/>
  <c r="Q40" i="34"/>
  <c r="R40" i="34"/>
  <c r="V40" i="34"/>
  <c r="A188" i="34"/>
  <c r="Q188" i="34"/>
  <c r="R188" i="34"/>
  <c r="V188" i="34"/>
  <c r="AA188" i="34"/>
  <c r="P188" i="34"/>
  <c r="X188" i="34"/>
  <c r="A221" i="34"/>
  <c r="R221" i="34"/>
  <c r="V221" i="34"/>
  <c r="AA221" i="34"/>
  <c r="P221" i="34"/>
  <c r="X221" i="34"/>
  <c r="Q221" i="34"/>
  <c r="A79" i="34"/>
  <c r="P79" i="34"/>
  <c r="X79" i="34"/>
  <c r="Q79" i="34"/>
  <c r="R79" i="34"/>
  <c r="V79" i="34"/>
  <c r="AA79" i="34"/>
  <c r="A89" i="34"/>
  <c r="R89" i="34"/>
  <c r="V89" i="34"/>
  <c r="AA89" i="34"/>
  <c r="P89" i="34"/>
  <c r="X89" i="34"/>
  <c r="Q89" i="34"/>
  <c r="A84" i="34"/>
  <c r="AA84" i="34"/>
  <c r="P84" i="34"/>
  <c r="X84" i="34"/>
  <c r="Q84" i="34"/>
  <c r="R84" i="34"/>
  <c r="V84" i="34"/>
  <c r="A131" i="34"/>
  <c r="R131" i="34"/>
  <c r="V131" i="34"/>
  <c r="AA131" i="34"/>
  <c r="P131" i="34"/>
  <c r="X131" i="34"/>
  <c r="Q131" i="34"/>
  <c r="A95" i="34"/>
  <c r="P95" i="34"/>
  <c r="X95" i="34"/>
  <c r="Q95" i="34"/>
  <c r="R95" i="34"/>
  <c r="V95" i="34"/>
  <c r="AA95" i="34"/>
  <c r="A91" i="34"/>
  <c r="P91" i="34"/>
  <c r="X91" i="34"/>
  <c r="Q91" i="34"/>
  <c r="R91" i="34"/>
  <c r="V91" i="34"/>
  <c r="AA91" i="34"/>
  <c r="A67" i="34"/>
  <c r="P67" i="34"/>
  <c r="X67" i="34"/>
  <c r="Q67" i="34"/>
  <c r="R67" i="34"/>
  <c r="V67" i="34"/>
  <c r="AA67" i="34"/>
  <c r="A45" i="34"/>
  <c r="R45" i="34"/>
  <c r="V45" i="34"/>
  <c r="AA45" i="34"/>
  <c r="P45" i="34"/>
  <c r="X45" i="34"/>
  <c r="Q45" i="34"/>
  <c r="A70" i="34"/>
  <c r="Q70" i="34"/>
  <c r="R70" i="34"/>
  <c r="V70" i="34"/>
  <c r="AA70" i="34"/>
  <c r="P70" i="34"/>
  <c r="X70" i="34"/>
  <c r="A35" i="34"/>
  <c r="P35" i="34"/>
  <c r="X35" i="34"/>
  <c r="Q35" i="34"/>
  <c r="R35" i="34"/>
  <c r="V35" i="34"/>
  <c r="AA35" i="34"/>
  <c r="A99" i="34"/>
  <c r="P99" i="34"/>
  <c r="X99" i="34"/>
  <c r="Q99" i="34"/>
  <c r="R99" i="34"/>
  <c r="V99" i="34"/>
  <c r="AA99" i="34"/>
  <c r="A68" i="34"/>
  <c r="AA68" i="34"/>
  <c r="P68" i="34"/>
  <c r="X68" i="34"/>
  <c r="Q68" i="34"/>
  <c r="R68" i="34"/>
  <c r="V68" i="34"/>
  <c r="A72" i="34"/>
  <c r="AA72" i="34"/>
  <c r="P72" i="34"/>
  <c r="X72" i="34"/>
  <c r="Q72" i="34"/>
  <c r="R72" i="34"/>
  <c r="V72" i="34"/>
  <c r="A39" i="34"/>
  <c r="P39" i="34"/>
  <c r="X39" i="34"/>
  <c r="Q39" i="34"/>
  <c r="R39" i="34"/>
  <c r="V39" i="34"/>
  <c r="AA39" i="34"/>
  <c r="A33" i="34"/>
  <c r="R33" i="34"/>
  <c r="V33" i="34"/>
  <c r="AA33" i="34"/>
  <c r="P33" i="34"/>
  <c r="X33" i="34"/>
  <c r="Q33" i="34"/>
  <c r="A46" i="34"/>
  <c r="Q46" i="34"/>
  <c r="R46" i="34"/>
  <c r="V46" i="34"/>
  <c r="AA46" i="34"/>
  <c r="P46" i="34"/>
  <c r="X46" i="34"/>
  <c r="A51" i="34"/>
  <c r="P51" i="34"/>
  <c r="X51" i="34"/>
  <c r="Q51" i="34"/>
  <c r="R51" i="34"/>
  <c r="V51" i="34"/>
  <c r="AA51" i="34"/>
  <c r="A53" i="34"/>
  <c r="R53" i="34"/>
  <c r="V53" i="34"/>
  <c r="AA53" i="34"/>
  <c r="P53" i="34"/>
  <c r="X53" i="34"/>
  <c r="Q53" i="34"/>
  <c r="A64" i="34"/>
  <c r="AA64" i="34"/>
  <c r="P64" i="34"/>
  <c r="X64" i="34"/>
  <c r="Q64" i="34"/>
  <c r="R64" i="34"/>
  <c r="V64" i="34"/>
  <c r="A139" i="34"/>
  <c r="R139" i="34"/>
  <c r="V139" i="34"/>
  <c r="AA139" i="34"/>
  <c r="P139" i="34"/>
  <c r="X139" i="34"/>
  <c r="Q139" i="34"/>
  <c r="A187" i="34"/>
  <c r="R187" i="34"/>
  <c r="V187" i="34"/>
  <c r="AA187" i="34"/>
  <c r="P187" i="34"/>
  <c r="X187" i="34"/>
  <c r="Q187" i="34"/>
  <c r="A29" i="34"/>
  <c r="R29" i="34"/>
  <c r="V29" i="34"/>
  <c r="AA29" i="34"/>
  <c r="P29" i="34"/>
  <c r="X29" i="34"/>
  <c r="Q29" i="34"/>
  <c r="A25" i="34"/>
  <c r="R25" i="34"/>
  <c r="V25" i="34"/>
  <c r="AA25" i="34"/>
  <c r="P25" i="34"/>
  <c r="X25" i="34"/>
  <c r="Q25" i="34"/>
  <c r="A151" i="34"/>
  <c r="R151" i="34"/>
  <c r="V151" i="34"/>
  <c r="AA151" i="34"/>
  <c r="P151" i="34"/>
  <c r="X151" i="34"/>
  <c r="Q151" i="34"/>
  <c r="A218" i="34"/>
  <c r="R218" i="34"/>
  <c r="V218" i="34"/>
  <c r="P218" i="34"/>
  <c r="Q218" i="34"/>
  <c r="AA218" i="34"/>
  <c r="X218" i="34"/>
  <c r="A222" i="34"/>
  <c r="Q222" i="34"/>
  <c r="R222" i="34"/>
  <c r="V222" i="34"/>
  <c r="AA222" i="34"/>
  <c r="P222" i="34"/>
  <c r="X222" i="34"/>
  <c r="A41" i="34"/>
  <c r="R41" i="34"/>
  <c r="V41" i="34"/>
  <c r="AA41" i="34"/>
  <c r="P41" i="34"/>
  <c r="X41" i="34"/>
  <c r="Q41" i="34"/>
  <c r="A88" i="34"/>
  <c r="AA88" i="34"/>
  <c r="P88" i="34"/>
  <c r="X88" i="34"/>
  <c r="Q88" i="34"/>
  <c r="R88" i="34"/>
  <c r="V88" i="34"/>
  <c r="A83" i="34"/>
  <c r="P83" i="34"/>
  <c r="X83" i="34"/>
  <c r="Q83" i="34"/>
  <c r="R83" i="34"/>
  <c r="V83" i="34"/>
  <c r="AA83" i="34"/>
  <c r="A130" i="34"/>
  <c r="AA130" i="34"/>
  <c r="P130" i="34"/>
  <c r="X130" i="34"/>
  <c r="Q130" i="34"/>
  <c r="R130" i="34"/>
  <c r="V130" i="34"/>
  <c r="A94" i="34"/>
  <c r="Q94" i="34"/>
  <c r="R94" i="34"/>
  <c r="V94" i="34"/>
  <c r="AA94" i="34"/>
  <c r="P94" i="34"/>
  <c r="X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A227" i="34" l="1"/>
  <c r="P227" i="34"/>
  <c r="X227" i="34"/>
  <c r="Q227" i="34"/>
  <c r="R227" i="34"/>
  <c r="V227" i="34"/>
  <c r="AA227" i="34"/>
  <c r="A634" i="34"/>
  <c r="R634" i="34"/>
  <c r="V634" i="34"/>
  <c r="X634" i="34"/>
  <c r="P634" i="34"/>
  <c r="Q634" i="34"/>
  <c r="AA634" i="34"/>
  <c r="A62" i="34"/>
  <c r="Q62" i="34"/>
  <c r="R62" i="34"/>
  <c r="V62" i="34"/>
  <c r="AA62" i="34"/>
  <c r="P62" i="34"/>
  <c r="X62" i="34"/>
  <c r="A582" i="34"/>
  <c r="AA582" i="34"/>
  <c r="P582" i="34"/>
  <c r="X582" i="34"/>
  <c r="Q582" i="34"/>
  <c r="R582" i="34"/>
  <c r="V582" i="34"/>
  <c r="A160" i="34"/>
  <c r="Q160" i="34"/>
  <c r="R160" i="34"/>
  <c r="V160" i="34"/>
  <c r="AA160" i="34"/>
  <c r="P160" i="34"/>
  <c r="X160" i="34"/>
  <c r="A604" i="34"/>
  <c r="Q604" i="34"/>
  <c r="R604" i="34"/>
  <c r="V604" i="34"/>
  <c r="AA604" i="34"/>
  <c r="P604" i="34"/>
  <c r="X604" i="34"/>
  <c r="A225" i="34"/>
  <c r="R225" i="34"/>
  <c r="V225" i="34"/>
  <c r="AA225" i="34"/>
  <c r="P225" i="34"/>
  <c r="X225" i="34"/>
  <c r="Q225" i="34"/>
  <c r="A605" i="34"/>
  <c r="P605" i="34"/>
  <c r="X605" i="34"/>
  <c r="Q605" i="34"/>
  <c r="R605" i="34"/>
  <c r="V605" i="34"/>
  <c r="AA605" i="34"/>
  <c r="A127" i="34"/>
  <c r="R127" i="34"/>
  <c r="V127" i="34"/>
  <c r="AA127" i="34"/>
  <c r="P127" i="34"/>
  <c r="X127" i="34"/>
  <c r="Q127" i="34"/>
  <c r="A113" i="34"/>
  <c r="AA113" i="34"/>
  <c r="P113" i="34"/>
  <c r="X113" i="34"/>
  <c r="Q113" i="34"/>
  <c r="R113" i="34"/>
  <c r="V113" i="34"/>
  <c r="A518" i="34"/>
  <c r="P518" i="34"/>
  <c r="X518" i="34"/>
  <c r="Q518" i="34"/>
  <c r="R518" i="34"/>
  <c r="V518" i="34"/>
  <c r="AA518" i="34"/>
  <c r="A112" i="34"/>
  <c r="P112" i="34"/>
  <c r="X112" i="34"/>
  <c r="Q112" i="34"/>
  <c r="R112" i="34"/>
  <c r="V112" i="34"/>
  <c r="AA112" i="34"/>
  <c r="A519" i="34"/>
  <c r="AA519" i="34"/>
  <c r="P519" i="34"/>
  <c r="X519" i="34"/>
  <c r="Q519" i="34"/>
  <c r="R519" i="34"/>
  <c r="V519" i="34"/>
  <c r="A126" i="34"/>
  <c r="AA126" i="34"/>
  <c r="P126" i="34"/>
  <c r="X126" i="34"/>
  <c r="Q126" i="34"/>
  <c r="R126" i="34"/>
  <c r="V126" i="34"/>
  <c r="A226" i="34"/>
  <c r="Q226" i="34"/>
  <c r="R226" i="34"/>
  <c r="V226" i="34"/>
  <c r="AA226" i="34"/>
  <c r="P226" i="34"/>
  <c r="X226" i="34"/>
  <c r="A581" i="34"/>
  <c r="P581" i="34"/>
  <c r="X581" i="34"/>
  <c r="Q581" i="34"/>
  <c r="R581" i="34"/>
  <c r="V581" i="34"/>
  <c r="AA581" i="34"/>
  <c r="A606" i="34"/>
  <c r="AA606" i="34"/>
  <c r="P606" i="34"/>
  <c r="X606" i="34"/>
  <c r="Q606" i="34"/>
  <c r="R606" i="34"/>
  <c r="V606" i="34"/>
  <c r="A14" i="71"/>
  <c r="E37" i="71" s="1"/>
  <c r="A19" i="71"/>
  <c r="A20" i="71"/>
  <c r="A17" i="71"/>
  <c r="B161" i="34"/>
  <c r="A18" i="71"/>
  <c r="B624" i="34"/>
  <c r="A16" i="71"/>
  <c r="A15" i="71"/>
  <c r="U10" i="34"/>
  <c r="A161" i="34" l="1"/>
  <c r="P161" i="34"/>
  <c r="X161" i="34"/>
  <c r="Q161" i="34"/>
  <c r="R161" i="34"/>
  <c r="V161" i="34"/>
  <c r="AA161" i="34"/>
  <c r="A624" i="34"/>
  <c r="Q624" i="34"/>
  <c r="R624" i="34"/>
  <c r="V624" i="34"/>
  <c r="AA624" i="34"/>
  <c r="P624" i="34"/>
  <c r="X624" i="34"/>
  <c r="A36" i="71"/>
  <c r="H2" i="71"/>
  <c r="S10" i="34"/>
  <c r="E6" i="43" l="1"/>
  <c r="O8" i="43"/>
  <c r="N8" i="43"/>
  <c r="T1197" i="34" l="1"/>
  <c r="S1197" i="34"/>
  <c r="U1197" i="34"/>
  <c r="U1162" i="34"/>
  <c r="S1162" i="34"/>
  <c r="T1162" i="34"/>
  <c r="U1219" i="34"/>
  <c r="U1185" i="34"/>
  <c r="T1219" i="34"/>
  <c r="T1185" i="34"/>
  <c r="T1183" i="34"/>
  <c r="S1219" i="34"/>
  <c r="S1185" i="34"/>
  <c r="S1183" i="34"/>
  <c r="U1183" i="34"/>
  <c r="T1161" i="34"/>
  <c r="T1164" i="34"/>
  <c r="T1166" i="34"/>
  <c r="T1168" i="34"/>
  <c r="T1170" i="34"/>
  <c r="T1172" i="34"/>
  <c r="T1174" i="34"/>
  <c r="T1176" i="34"/>
  <c r="T1178" i="34"/>
  <c r="T1180" i="34"/>
  <c r="T1182" i="34"/>
  <c r="T1186" i="34"/>
  <c r="T1188" i="34"/>
  <c r="T1190" i="34"/>
  <c r="T1192" i="34"/>
  <c r="T1194" i="34"/>
  <c r="T1196" i="34"/>
  <c r="T1200" i="34"/>
  <c r="T1202" i="34"/>
  <c r="T1204" i="34"/>
  <c r="T1206" i="34"/>
  <c r="T1208" i="34"/>
  <c r="T1210" i="34"/>
  <c r="T1212" i="34"/>
  <c r="T1214" i="34"/>
  <c r="T1216" i="34"/>
  <c r="T1218" i="34"/>
  <c r="T1221" i="34"/>
  <c r="T1223" i="34"/>
  <c r="T1225" i="34"/>
  <c r="T1227" i="34"/>
  <c r="T1229" i="34"/>
  <c r="T1231" i="34"/>
  <c r="T1233" i="34"/>
  <c r="T1235" i="34"/>
  <c r="S1160" i="34"/>
  <c r="S1163" i="34"/>
  <c r="U1164" i="34"/>
  <c r="S1165" i="34"/>
  <c r="S1167" i="34"/>
  <c r="U1168" i="34"/>
  <c r="U1170" i="34"/>
  <c r="U1172" i="34"/>
  <c r="S1175" i="34"/>
  <c r="U1176" i="34"/>
  <c r="U1178" i="34"/>
  <c r="S1181" i="34"/>
  <c r="S1184" i="34"/>
  <c r="U1186" i="34"/>
  <c r="U1188" i="34"/>
  <c r="U1190" i="34"/>
  <c r="S1193" i="34"/>
  <c r="U1194" i="34"/>
  <c r="S1199" i="34"/>
  <c r="U1200" i="34"/>
  <c r="S1203" i="34"/>
  <c r="U1204" i="34"/>
  <c r="U1206" i="34"/>
  <c r="U1208" i="34"/>
  <c r="S1211" i="34"/>
  <c r="U1212" i="34"/>
  <c r="U1214" i="34"/>
  <c r="S1217" i="34"/>
  <c r="U1218" i="34"/>
  <c r="S1222" i="34"/>
  <c r="U1223" i="34"/>
  <c r="S1226" i="34"/>
  <c r="S1228" i="34"/>
  <c r="U1229" i="34"/>
  <c r="S1232" i="34"/>
  <c r="S1234" i="34"/>
  <c r="S1236" i="34"/>
  <c r="U1161" i="34"/>
  <c r="U1166" i="34"/>
  <c r="S1169" i="34"/>
  <c r="S1171" i="34"/>
  <c r="S1173" i="34"/>
  <c r="U1174" i="34"/>
  <c r="S1177" i="34"/>
  <c r="S1179" i="34"/>
  <c r="U1180" i="34"/>
  <c r="U1182" i="34"/>
  <c r="S1187" i="34"/>
  <c r="S1189" i="34"/>
  <c r="S1191" i="34"/>
  <c r="U1192" i="34"/>
  <c r="S1195" i="34"/>
  <c r="U1196" i="34"/>
  <c r="S1201" i="34"/>
  <c r="U1202" i="34"/>
  <c r="S1205" i="34"/>
  <c r="S1207" i="34"/>
  <c r="S1209" i="34"/>
  <c r="U1210" i="34"/>
  <c r="S1213" i="34"/>
  <c r="S1215" i="34"/>
  <c r="U1216" i="34"/>
  <c r="S1220" i="34"/>
  <c r="U1221" i="34"/>
  <c r="S1224" i="34"/>
  <c r="U1225" i="34"/>
  <c r="U1227" i="34"/>
  <c r="S1230" i="34"/>
  <c r="U1231" i="34"/>
  <c r="U1233" i="34"/>
  <c r="U1235" i="34"/>
  <c r="T1160" i="34"/>
  <c r="T1163" i="34"/>
  <c r="T1165" i="34"/>
  <c r="T1167" i="34"/>
  <c r="T1169" i="34"/>
  <c r="T1171" i="34"/>
  <c r="T1173" i="34"/>
  <c r="T1175" i="34"/>
  <c r="T1177" i="34"/>
  <c r="T1179" i="34"/>
  <c r="T1181" i="34"/>
  <c r="T1184" i="34"/>
  <c r="T1187" i="34"/>
  <c r="T1189" i="34"/>
  <c r="T1191" i="34"/>
  <c r="T1193" i="34"/>
  <c r="T1195" i="34"/>
  <c r="T1199" i="34"/>
  <c r="T1201" i="34"/>
  <c r="T1203" i="34"/>
  <c r="T1205" i="34"/>
  <c r="T1207" i="34"/>
  <c r="T1209" i="34"/>
  <c r="T1211" i="34"/>
  <c r="T1213" i="34"/>
  <c r="T1215" i="34"/>
  <c r="T1217" i="34"/>
  <c r="T1220" i="34"/>
  <c r="T1222" i="34"/>
  <c r="T1224" i="34"/>
  <c r="T1226" i="34"/>
  <c r="T1228" i="34"/>
  <c r="T1230" i="34"/>
  <c r="T1232" i="34"/>
  <c r="T1234" i="34"/>
  <c r="T1236" i="34"/>
  <c r="U1160" i="34"/>
  <c r="U1163" i="34"/>
  <c r="U1165" i="34"/>
  <c r="U1167" i="34"/>
  <c r="S1170" i="34"/>
  <c r="U1171" i="34"/>
  <c r="U1173" i="34"/>
  <c r="U1175" i="34"/>
  <c r="U1177" i="34"/>
  <c r="U1179" i="34"/>
  <c r="U1181" i="34"/>
  <c r="S1186" i="34"/>
  <c r="U1187" i="34"/>
  <c r="U1189" i="34"/>
  <c r="U1191" i="34"/>
  <c r="U1193" i="34"/>
  <c r="U1195" i="34"/>
  <c r="S1200" i="34"/>
  <c r="S1202" i="34"/>
  <c r="U1203" i="34"/>
  <c r="U1205" i="34"/>
  <c r="U1207" i="34"/>
  <c r="U1209" i="34"/>
  <c r="U1211" i="34"/>
  <c r="S1214" i="34"/>
  <c r="U1215" i="34"/>
  <c r="U1217" i="34"/>
  <c r="U1220" i="34"/>
  <c r="U1222" i="34"/>
  <c r="S1225" i="34"/>
  <c r="U1226" i="34"/>
  <c r="U1228" i="34"/>
  <c r="U1230" i="34"/>
  <c r="U1232" i="34"/>
  <c r="S1235" i="34"/>
  <c r="U1236" i="34"/>
  <c r="S1161" i="34"/>
  <c r="S1164" i="34"/>
  <c r="S1166" i="34"/>
  <c r="S1168" i="34"/>
  <c r="U1169" i="34"/>
  <c r="S1172" i="34"/>
  <c r="S1174" i="34"/>
  <c r="S1176" i="34"/>
  <c r="S1178" i="34"/>
  <c r="S1180" i="34"/>
  <c r="S1182" i="34"/>
  <c r="U1184" i="34"/>
  <c r="S1188" i="34"/>
  <c r="S1190" i="34"/>
  <c r="S1192" i="34"/>
  <c r="S1194" i="34"/>
  <c r="S1196" i="34"/>
  <c r="U1199" i="34"/>
  <c r="U1201" i="34"/>
  <c r="S1204" i="34"/>
  <c r="S1206" i="34"/>
  <c r="S1208" i="34"/>
  <c r="S1210" i="34"/>
  <c r="S1212" i="34"/>
  <c r="U1213" i="34"/>
  <c r="S1216" i="34"/>
  <c r="S1218" i="34"/>
  <c r="S1221" i="34"/>
  <c r="S1223" i="34"/>
  <c r="U1224" i="34"/>
  <c r="S1227" i="34"/>
  <c r="S1229" i="34"/>
  <c r="S1231" i="34"/>
  <c r="S1233" i="34"/>
  <c r="U1234" i="34"/>
  <c r="D13" i="15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A13" i="43" l="1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A623" i="34"/>
  <c r="R623" i="34"/>
  <c r="V623" i="34"/>
  <c r="AA623" i="34"/>
  <c r="P623" i="34"/>
  <c r="X623" i="34"/>
  <c r="Q623" i="34"/>
  <c r="A533" i="34"/>
  <c r="AA533" i="34"/>
  <c r="P533" i="34"/>
  <c r="X533" i="34"/>
  <c r="Q533" i="34"/>
  <c r="R533" i="34"/>
  <c r="V533" i="34"/>
  <c r="A198" i="34"/>
  <c r="AA198" i="34"/>
  <c r="P198" i="34"/>
  <c r="X198" i="34"/>
  <c r="Q198" i="34"/>
  <c r="R198" i="34"/>
  <c r="V198" i="34"/>
  <c r="A603" i="34"/>
  <c r="R603" i="34"/>
  <c r="V603" i="34"/>
  <c r="AA603" i="34"/>
  <c r="P603" i="34"/>
  <c r="X603" i="34"/>
  <c r="Q603" i="34"/>
  <c r="A515" i="34"/>
  <c r="AA515" i="34"/>
  <c r="P515" i="34"/>
  <c r="X515" i="34"/>
  <c r="Q515" i="34"/>
  <c r="R515" i="34"/>
  <c r="V515" i="34"/>
  <c r="A75" i="34"/>
  <c r="P75" i="34"/>
  <c r="X75" i="34"/>
  <c r="Q75" i="34"/>
  <c r="R75" i="34"/>
  <c r="V75" i="34"/>
  <c r="AA75" i="34"/>
  <c r="A42" i="34"/>
  <c r="Q42" i="34"/>
  <c r="R42" i="34"/>
  <c r="V42" i="34"/>
  <c r="AA42" i="34"/>
  <c r="P42" i="34"/>
  <c r="X42" i="34"/>
  <c r="A589" i="34"/>
  <c r="P589" i="34"/>
  <c r="X589" i="34"/>
  <c r="Q589" i="34"/>
  <c r="R589" i="34"/>
  <c r="V589" i="34"/>
  <c r="AA589" i="34"/>
  <c r="A505" i="34"/>
  <c r="Q505" i="34"/>
  <c r="R505" i="34"/>
  <c r="V505" i="34"/>
  <c r="AA505" i="34"/>
  <c r="P505" i="34"/>
  <c r="X505" i="34"/>
  <c r="A664" i="34"/>
  <c r="R664" i="34"/>
  <c r="V664" i="34"/>
  <c r="AA664" i="34"/>
  <c r="P664" i="34"/>
  <c r="X664" i="34"/>
  <c r="Q664" i="34"/>
  <c r="A579" i="34"/>
  <c r="R579" i="34"/>
  <c r="V579" i="34"/>
  <c r="AA579" i="34"/>
  <c r="P579" i="34"/>
  <c r="X579" i="34"/>
  <c r="Q579" i="34"/>
  <c r="A217" i="34"/>
  <c r="AA217" i="34"/>
  <c r="P217" i="34"/>
  <c r="X217" i="34"/>
  <c r="Q217" i="34"/>
  <c r="R217" i="34"/>
  <c r="V217" i="34"/>
  <c r="B78" i="34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A78" i="34" l="1"/>
  <c r="Q78" i="34"/>
  <c r="R78" i="34"/>
  <c r="V78" i="34"/>
  <c r="AA78" i="34"/>
  <c r="P78" i="34"/>
  <c r="X78" i="34"/>
  <c r="A26" i="68" l="1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G20" i="68"/>
  <c r="E27" i="68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793" i="34"/>
  <c r="B2794" i="34"/>
  <c r="B2795" i="34"/>
  <c r="B2796" i="34"/>
  <c r="B2797" i="34"/>
  <c r="B2798" i="34"/>
  <c r="G25" i="68" l="1"/>
  <c r="H24" i="68"/>
  <c r="P2796" i="34"/>
  <c r="R2796" i="34"/>
  <c r="V2796" i="34"/>
  <c r="X2796" i="34"/>
  <c r="Q2796" i="34"/>
  <c r="AA2796" i="34"/>
  <c r="R2795" i="34"/>
  <c r="V2795" i="34"/>
  <c r="P2795" i="34"/>
  <c r="X2795" i="34"/>
  <c r="Q2795" i="34"/>
  <c r="A2795" i="34"/>
  <c r="AA2795" i="34"/>
  <c r="Q2794" i="34"/>
  <c r="X2794" i="34"/>
  <c r="R2794" i="34"/>
  <c r="V2794" i="34"/>
  <c r="A2794" i="34"/>
  <c r="P2794" i="34"/>
  <c r="AA2794" i="34"/>
  <c r="R2797" i="34"/>
  <c r="V2797" i="34"/>
  <c r="Q2797" i="34"/>
  <c r="X2797" i="34"/>
  <c r="P2797" i="34"/>
  <c r="AA2797" i="34"/>
  <c r="P2793" i="34"/>
  <c r="Q2793" i="34"/>
  <c r="R2793" i="34"/>
  <c r="V2793" i="34"/>
  <c r="X2793" i="34"/>
  <c r="A2793" i="34"/>
  <c r="AA2793" i="34"/>
  <c r="A2796" i="34"/>
  <c r="Q2798" i="34"/>
  <c r="R2798" i="34"/>
  <c r="V2798" i="34"/>
  <c r="AA2798" i="34"/>
  <c r="P2798" i="34"/>
  <c r="A2797" i="34"/>
  <c r="A2798" i="34"/>
  <c r="I6" i="43"/>
  <c r="H25" i="68" l="1"/>
  <c r="I136" i="55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I43" i="55" a="1"/>
  <c r="I43" i="55" s="1"/>
  <c r="I35" i="55" a="1"/>
  <c r="I35" i="55" s="1"/>
  <c r="I39" i="55" a="1"/>
  <c r="I39" i="55" s="1"/>
  <c r="A23" i="12"/>
  <c r="G27" i="68" l="1"/>
  <c r="K66" i="55"/>
  <c r="K14" i="55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V11" i="34" s="1"/>
  <c r="B12" i="34"/>
  <c r="B13" i="34"/>
  <c r="B15" i="34"/>
  <c r="B16" i="34"/>
  <c r="B21" i="34"/>
  <c r="B17" i="34"/>
  <c r="B18" i="34"/>
  <c r="B19" i="34"/>
  <c r="B20" i="34"/>
  <c r="B10" i="34"/>
  <c r="A17" i="34" l="1"/>
  <c r="R17" i="34"/>
  <c r="V17" i="34"/>
  <c r="AA17" i="34"/>
  <c r="P17" i="34"/>
  <c r="X17" i="34"/>
  <c r="Q17" i="34"/>
  <c r="R13" i="34"/>
  <c r="V13" i="34"/>
  <c r="AA13" i="34"/>
  <c r="P13" i="34"/>
  <c r="X13" i="34"/>
  <c r="Q13" i="34"/>
  <c r="A20" i="34"/>
  <c r="AA20" i="34"/>
  <c r="P20" i="34"/>
  <c r="X20" i="34"/>
  <c r="Q20" i="34"/>
  <c r="R20" i="34"/>
  <c r="V20" i="34"/>
  <c r="A21" i="34"/>
  <c r="R21" i="34"/>
  <c r="V21" i="34"/>
  <c r="AA21" i="34"/>
  <c r="P21" i="34"/>
  <c r="X21" i="34"/>
  <c r="Q21" i="34"/>
  <c r="A19" i="34"/>
  <c r="P19" i="34"/>
  <c r="X19" i="34"/>
  <c r="Q19" i="34"/>
  <c r="R19" i="34"/>
  <c r="V19" i="34"/>
  <c r="AA19" i="34"/>
  <c r="AA16" i="34"/>
  <c r="P16" i="34"/>
  <c r="X16" i="34"/>
  <c r="Q16" i="34"/>
  <c r="R16" i="34"/>
  <c r="V16" i="34"/>
  <c r="A18" i="34"/>
  <c r="Q18" i="34"/>
  <c r="R18" i="34"/>
  <c r="V18" i="34"/>
  <c r="AA18" i="34"/>
  <c r="P18" i="34"/>
  <c r="X18" i="34"/>
  <c r="P15" i="34"/>
  <c r="X15" i="34"/>
  <c r="Q15" i="34"/>
  <c r="R15" i="34"/>
  <c r="V15" i="34"/>
  <c r="AA15" i="34"/>
  <c r="V10" i="34"/>
  <c r="X10" i="34"/>
  <c r="V12" i="34"/>
  <c r="A12" i="34"/>
  <c r="A13" i="34"/>
  <c r="A16" i="34"/>
  <c r="A15" i="34"/>
  <c r="Q12" i="34"/>
  <c r="R12" i="34"/>
  <c r="P12" i="34"/>
  <c r="AA12" i="34"/>
  <c r="P11" i="34"/>
  <c r="AA11" i="34"/>
  <c r="Q11" i="34"/>
  <c r="R11" i="34"/>
  <c r="Q10" i="34"/>
  <c r="AA10" i="34"/>
  <c r="P10" i="34"/>
  <c r="G7" i="57"/>
  <c r="D24" i="12"/>
  <c r="D25" i="12" s="1"/>
  <c r="C24" i="12"/>
  <c r="C16" i="82" l="1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G28" i="77"/>
  <c r="I19" i="74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H17" i="82" l="1"/>
  <c r="I17" i="82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0" i="15"/>
  <c r="C60" i="15" s="1"/>
  <c r="D40" i="15"/>
  <c r="D60" i="15" s="1"/>
  <c r="F36" i="74" l="1"/>
  <c r="F37" i="74" s="1"/>
  <c r="G34" i="77"/>
  <c r="F33" i="77"/>
  <c r="F34" i="77" s="1"/>
  <c r="G28" i="78"/>
  <c r="G24" i="75"/>
  <c r="F23" i="75"/>
  <c r="F24" i="75" s="1"/>
  <c r="G37" i="74"/>
  <c r="D45" i="15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197" i="34" l="1"/>
  <c r="W1198" i="34"/>
  <c r="W1219" i="34"/>
  <c r="W1162" i="34"/>
  <c r="W1183" i="34"/>
  <c r="W1185" i="34"/>
  <c r="W876" i="34"/>
  <c r="W875" i="34"/>
  <c r="W901" i="34"/>
  <c r="W906" i="34"/>
  <c r="W16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6" i="34"/>
  <c r="W170" i="34"/>
  <c r="W174" i="34"/>
  <c r="W178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2" i="34"/>
  <c r="W336" i="34"/>
  <c r="W19" i="34"/>
  <c r="W22" i="34"/>
  <c r="W25" i="34"/>
  <c r="W35" i="34"/>
  <c r="W38" i="34"/>
  <c r="W41" i="34"/>
  <c r="W51" i="34"/>
  <c r="W54" i="34"/>
  <c r="W57" i="34"/>
  <c r="W67" i="34"/>
  <c r="W70" i="34"/>
  <c r="W73" i="34"/>
  <c r="W83" i="34"/>
  <c r="W86" i="34"/>
  <c r="W89" i="34"/>
  <c r="W99" i="34"/>
  <c r="W102" i="34"/>
  <c r="W105" i="34"/>
  <c r="W115" i="34"/>
  <c r="W118" i="34"/>
  <c r="W121" i="34"/>
  <c r="W131" i="34"/>
  <c r="W134" i="34"/>
  <c r="W137" i="34"/>
  <c r="W147" i="34"/>
  <c r="W150" i="34"/>
  <c r="W153" i="34"/>
  <c r="W164" i="34"/>
  <c r="W167" i="34"/>
  <c r="W177" i="34"/>
  <c r="W181" i="34"/>
  <c r="W191" i="34"/>
  <c r="W194" i="34"/>
  <c r="W197" i="34"/>
  <c r="W207" i="34"/>
  <c r="W210" i="34"/>
  <c r="W213" i="34"/>
  <c r="W219" i="34"/>
  <c r="W222" i="34"/>
  <c r="W225" i="34"/>
  <c r="W235" i="34"/>
  <c r="W238" i="34"/>
  <c r="W241" i="34"/>
  <c r="W251" i="34"/>
  <c r="W254" i="34"/>
  <c r="W257" i="34"/>
  <c r="W267" i="34"/>
  <c r="W270" i="34"/>
  <c r="W273" i="34"/>
  <c r="W281" i="34"/>
  <c r="W284" i="34"/>
  <c r="W287" i="34"/>
  <c r="W297" i="34"/>
  <c r="W300" i="34"/>
  <c r="W303" i="34"/>
  <c r="W313" i="34"/>
  <c r="W316" i="34"/>
  <c r="W319" i="34"/>
  <c r="W329" i="34"/>
  <c r="W339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20" i="34"/>
  <c r="W424" i="34"/>
  <c r="W428" i="34"/>
  <c r="W431" i="34"/>
  <c r="W435" i="34"/>
  <c r="W439" i="34"/>
  <c r="W443" i="34"/>
  <c r="W447" i="34"/>
  <c r="W451" i="34"/>
  <c r="W455" i="34"/>
  <c r="W459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29" i="34"/>
  <c r="W532" i="34"/>
  <c r="W536" i="34"/>
  <c r="W540" i="34"/>
  <c r="W544" i="34"/>
  <c r="W548" i="34"/>
  <c r="W552" i="34"/>
  <c r="W556" i="34"/>
  <c r="W560" i="34"/>
  <c r="W564" i="34"/>
  <c r="W568" i="34"/>
  <c r="W572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859" i="34"/>
  <c r="W863" i="34"/>
  <c r="W867" i="34"/>
  <c r="W871" i="34"/>
  <c r="W877" i="34"/>
  <c r="W879" i="34"/>
  <c r="W883" i="34"/>
  <c r="W887" i="34"/>
  <c r="W891" i="34"/>
  <c r="W895" i="34"/>
  <c r="W899" i="34"/>
  <c r="W904" i="34"/>
  <c r="W909" i="34"/>
  <c r="W913" i="34"/>
  <c r="W917" i="34"/>
  <c r="W921" i="34"/>
  <c r="W925" i="34"/>
  <c r="W929" i="34"/>
  <c r="W933" i="34"/>
  <c r="W937" i="34"/>
  <c r="W941" i="34"/>
  <c r="W21" i="34"/>
  <c r="W26" i="34"/>
  <c r="W29" i="34"/>
  <c r="W43" i="34"/>
  <c r="W46" i="34"/>
  <c r="W49" i="34"/>
  <c r="W63" i="34"/>
  <c r="W66" i="34"/>
  <c r="W71" i="34"/>
  <c r="W85" i="34"/>
  <c r="W90" i="34"/>
  <c r="W93" i="34"/>
  <c r="W107" i="34"/>
  <c r="W110" i="34"/>
  <c r="W113" i="34"/>
  <c r="W127" i="34"/>
  <c r="W130" i="34"/>
  <c r="W135" i="34"/>
  <c r="W149" i="34"/>
  <c r="W154" i="34"/>
  <c r="W157" i="34"/>
  <c r="W169" i="34"/>
  <c r="W172" i="34"/>
  <c r="W175" i="34"/>
  <c r="W187" i="34"/>
  <c r="W190" i="34"/>
  <c r="W195" i="34"/>
  <c r="W209" i="34"/>
  <c r="W227" i="34"/>
  <c r="W230" i="34"/>
  <c r="W233" i="34"/>
  <c r="W247" i="34"/>
  <c r="W250" i="34"/>
  <c r="W255" i="34"/>
  <c r="W269" i="34"/>
  <c r="W274" i="34"/>
  <c r="W289" i="34"/>
  <c r="W292" i="34"/>
  <c r="W295" i="34"/>
  <c r="W309" i="34"/>
  <c r="W312" i="34"/>
  <c r="W317" i="34"/>
  <c r="W333" i="34"/>
  <c r="W346" i="34"/>
  <c r="W349" i="34"/>
  <c r="W352" i="34"/>
  <c r="W362" i="34"/>
  <c r="W365" i="34"/>
  <c r="W368" i="34"/>
  <c r="W378" i="34"/>
  <c r="W381" i="34"/>
  <c r="W384" i="34"/>
  <c r="W394" i="34"/>
  <c r="W397" i="34"/>
  <c r="W400" i="34"/>
  <c r="W410" i="34"/>
  <c r="W413" i="34"/>
  <c r="W416" i="34"/>
  <c r="W423" i="34"/>
  <c r="W426" i="34"/>
  <c r="W438" i="34"/>
  <c r="W441" i="34"/>
  <c r="W444" i="34"/>
  <c r="W454" i="34"/>
  <c r="W457" i="34"/>
  <c r="W460" i="34"/>
  <c r="W469" i="34"/>
  <c r="W472" i="34"/>
  <c r="W475" i="34"/>
  <c r="W485" i="34"/>
  <c r="W488" i="34"/>
  <c r="W491" i="34"/>
  <c r="W501" i="34"/>
  <c r="W504" i="34"/>
  <c r="W507" i="34"/>
  <c r="W517" i="34"/>
  <c r="W520" i="34"/>
  <c r="W523" i="34"/>
  <c r="W531" i="34"/>
  <c r="W534" i="34"/>
  <c r="W537" i="34"/>
  <c r="W547" i="34"/>
  <c r="W550" i="34"/>
  <c r="W553" i="34"/>
  <c r="W563" i="34"/>
  <c r="W566" i="34"/>
  <c r="W569" i="34"/>
  <c r="W576" i="34"/>
  <c r="W579" i="34"/>
  <c r="W582" i="34"/>
  <c r="W592" i="34"/>
  <c r="W595" i="34"/>
  <c r="W598" i="34"/>
  <c r="W608" i="34"/>
  <c r="W611" i="34"/>
  <c r="W614" i="34"/>
  <c r="W624" i="34"/>
  <c r="W627" i="34"/>
  <c r="W630" i="34"/>
  <c r="W640" i="34"/>
  <c r="W643" i="34"/>
  <c r="W646" i="34"/>
  <c r="W656" i="34"/>
  <c r="W659" i="34"/>
  <c r="W662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61" i="34"/>
  <c r="W864" i="34"/>
  <c r="W874" i="34"/>
  <c r="W880" i="34"/>
  <c r="W890" i="34"/>
  <c r="W893" i="34"/>
  <c r="W896" i="34"/>
  <c r="W908" i="34"/>
  <c r="W911" i="34"/>
  <c r="W914" i="34"/>
  <c r="W924" i="34"/>
  <c r="W927" i="34"/>
  <c r="W930" i="34"/>
  <c r="W940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1043" i="34"/>
  <c r="W1047" i="34"/>
  <c r="W1051" i="34"/>
  <c r="W15" i="34"/>
  <c r="W18" i="34"/>
  <c r="W23" i="34"/>
  <c r="W37" i="34"/>
  <c r="W42" i="34"/>
  <c r="W45" i="34"/>
  <c r="W59" i="34"/>
  <c r="W62" i="34"/>
  <c r="W65" i="34"/>
  <c r="W79" i="34"/>
  <c r="W82" i="34"/>
  <c r="W87" i="34"/>
  <c r="W101" i="34"/>
  <c r="W106" i="34"/>
  <c r="W109" i="34"/>
  <c r="W123" i="34"/>
  <c r="W126" i="34"/>
  <c r="W129" i="34"/>
  <c r="W143" i="34"/>
  <c r="W146" i="34"/>
  <c r="W151" i="34"/>
  <c r="W163" i="34"/>
  <c r="W168" i="34"/>
  <c r="W171" i="34"/>
  <c r="W183" i="34"/>
  <c r="W186" i="34"/>
  <c r="W189" i="34"/>
  <c r="W203" i="34"/>
  <c r="W206" i="34"/>
  <c r="W211" i="34"/>
  <c r="W221" i="34"/>
  <c r="W226" i="34"/>
  <c r="W229" i="34"/>
  <c r="W243" i="34"/>
  <c r="W246" i="34"/>
  <c r="W249" i="34"/>
  <c r="W263" i="34"/>
  <c r="W266" i="34"/>
  <c r="W271" i="34"/>
  <c r="W283" i="34"/>
  <c r="W288" i="34"/>
  <c r="W291" i="34"/>
  <c r="W305" i="34"/>
  <c r="W308" i="34"/>
  <c r="W311" i="34"/>
  <c r="W325" i="34"/>
  <c r="W328" i="34"/>
  <c r="W342" i="34"/>
  <c r="W345" i="34"/>
  <c r="W348" i="34"/>
  <c r="W358" i="34"/>
  <c r="W361" i="34"/>
  <c r="W364" i="34"/>
  <c r="W374" i="34"/>
  <c r="W377" i="34"/>
  <c r="W380" i="34"/>
  <c r="W390" i="34"/>
  <c r="W393" i="34"/>
  <c r="W396" i="34"/>
  <c r="W406" i="34"/>
  <c r="W409" i="34"/>
  <c r="W412" i="34"/>
  <c r="W419" i="34"/>
  <c r="W422" i="34"/>
  <c r="W425" i="34"/>
  <c r="W13" i="34"/>
  <c r="W27" i="34"/>
  <c r="W30" i="34"/>
  <c r="W33" i="34"/>
  <c r="W47" i="34"/>
  <c r="W50" i="34"/>
  <c r="W55" i="34"/>
  <c r="W69" i="34"/>
  <c r="W74" i="34"/>
  <c r="W77" i="34"/>
  <c r="W91" i="34"/>
  <c r="W94" i="34"/>
  <c r="W97" i="34"/>
  <c r="W111" i="34"/>
  <c r="W114" i="34"/>
  <c r="W119" i="34"/>
  <c r="W133" i="34"/>
  <c r="W138" i="34"/>
  <c r="W141" i="34"/>
  <c r="W155" i="34"/>
  <c r="W158" i="34"/>
  <c r="W161" i="34"/>
  <c r="W173" i="34"/>
  <c r="W176" i="34"/>
  <c r="W193" i="34"/>
  <c r="W198" i="34"/>
  <c r="W201" i="34"/>
  <c r="W214" i="34"/>
  <c r="W217" i="34"/>
  <c r="W231" i="34"/>
  <c r="W234" i="34"/>
  <c r="W239" i="34"/>
  <c r="W253" i="34"/>
  <c r="W258" i="34"/>
  <c r="W261" i="34"/>
  <c r="W275" i="34"/>
  <c r="W279" i="34"/>
  <c r="W293" i="34"/>
  <c r="W296" i="34"/>
  <c r="W301" i="34"/>
  <c r="W315" i="34"/>
  <c r="W320" i="34"/>
  <c r="W323" i="34"/>
  <c r="W331" i="34"/>
  <c r="W334" i="34"/>
  <c r="W337" i="34"/>
  <c r="W340" i="34"/>
  <c r="W350" i="34"/>
  <c r="W353" i="34"/>
  <c r="W356" i="34"/>
  <c r="W366" i="34"/>
  <c r="W369" i="34"/>
  <c r="W372" i="34"/>
  <c r="W382" i="34"/>
  <c r="W385" i="34"/>
  <c r="W388" i="34"/>
  <c r="W398" i="34"/>
  <c r="W401" i="34"/>
  <c r="W404" i="34"/>
  <c r="W414" i="34"/>
  <c r="W417" i="34"/>
  <c r="W427" i="34"/>
  <c r="W17" i="34"/>
  <c r="W34" i="34"/>
  <c r="W53" i="34"/>
  <c r="W103" i="34"/>
  <c r="W122" i="34"/>
  <c r="W139" i="34"/>
  <c r="W185" i="34"/>
  <c r="W202" i="34"/>
  <c r="W215" i="34"/>
  <c r="W265" i="34"/>
  <c r="W280" i="34"/>
  <c r="W299" i="34"/>
  <c r="W341" i="34"/>
  <c r="W354" i="34"/>
  <c r="W392" i="34"/>
  <c r="W405" i="34"/>
  <c r="W430" i="34"/>
  <c r="W433" i="34"/>
  <c r="W436" i="34"/>
  <c r="W450" i="34"/>
  <c r="W453" i="34"/>
  <c r="W458" i="34"/>
  <c r="W471" i="34"/>
  <c r="W476" i="34"/>
  <c r="W479" i="34"/>
  <c r="W493" i="34"/>
  <c r="W496" i="34"/>
  <c r="W499" i="34"/>
  <c r="W513" i="34"/>
  <c r="W516" i="34"/>
  <c r="W521" i="34"/>
  <c r="W533" i="34"/>
  <c r="W538" i="34"/>
  <c r="W541" i="34"/>
  <c r="W555" i="34"/>
  <c r="W558" i="34"/>
  <c r="W561" i="34"/>
  <c r="W575" i="34"/>
  <c r="W580" i="34"/>
  <c r="W594" i="34"/>
  <c r="W599" i="34"/>
  <c r="W602" i="34"/>
  <c r="W616" i="34"/>
  <c r="W619" i="34"/>
  <c r="W622" i="34"/>
  <c r="W636" i="34"/>
  <c r="W639" i="34"/>
  <c r="W644" i="34"/>
  <c r="W658" i="34"/>
  <c r="W663" i="34"/>
  <c r="W666" i="34"/>
  <c r="W862" i="34"/>
  <c r="W878" i="34"/>
  <c r="W881" i="34"/>
  <c r="W884" i="34"/>
  <c r="W898" i="34"/>
  <c r="W902" i="34"/>
  <c r="W905" i="34"/>
  <c r="W920" i="34"/>
  <c r="W923" i="34"/>
  <c r="W928" i="34"/>
  <c r="W942" i="34"/>
  <c r="W945" i="34"/>
  <c r="W948" i="34"/>
  <c r="W958" i="34"/>
  <c r="W961" i="34"/>
  <c r="W964" i="34"/>
  <c r="W974" i="34"/>
  <c r="W977" i="34"/>
  <c r="W980" i="34"/>
  <c r="W990" i="34"/>
  <c r="W993" i="34"/>
  <c r="W996" i="34"/>
  <c r="W1006" i="34"/>
  <c r="W14" i="34"/>
  <c r="W31" i="34"/>
  <c r="W81" i="34"/>
  <c r="W98" i="34"/>
  <c r="W117" i="34"/>
  <c r="W165" i="34"/>
  <c r="W182" i="34"/>
  <c r="W199" i="34"/>
  <c r="W245" i="34"/>
  <c r="W262" i="34"/>
  <c r="W277" i="34"/>
  <c r="W327" i="34"/>
  <c r="W338" i="34"/>
  <c r="W376" i="34"/>
  <c r="W389" i="34"/>
  <c r="W402" i="34"/>
  <c r="W429" i="34"/>
  <c r="W432" i="34"/>
  <c r="W446" i="34"/>
  <c r="W449" i="34"/>
  <c r="W452" i="34"/>
  <c r="W465" i="34"/>
  <c r="W468" i="34"/>
  <c r="W473" i="34"/>
  <c r="W487" i="34"/>
  <c r="W492" i="34"/>
  <c r="W495" i="34"/>
  <c r="W509" i="34"/>
  <c r="W512" i="34"/>
  <c r="W515" i="34"/>
  <c r="W528" i="34"/>
  <c r="W530" i="34"/>
  <c r="W535" i="34"/>
  <c r="W549" i="34"/>
  <c r="W554" i="34"/>
  <c r="W557" i="34"/>
  <c r="W571" i="34"/>
  <c r="W574" i="34"/>
  <c r="W588" i="34"/>
  <c r="W591" i="34"/>
  <c r="W596" i="34"/>
  <c r="W610" i="34"/>
  <c r="W615" i="34"/>
  <c r="W618" i="34"/>
  <c r="W632" i="34"/>
  <c r="W635" i="34"/>
  <c r="W638" i="34"/>
  <c r="W652" i="34"/>
  <c r="W655" i="34"/>
  <c r="W660" i="34"/>
  <c r="W870" i="34"/>
  <c r="W873" i="34"/>
  <c r="W892" i="34"/>
  <c r="W897" i="34"/>
  <c r="W900" i="34"/>
  <c r="W916" i="34"/>
  <c r="W919" i="34"/>
  <c r="W922" i="34"/>
  <c r="W936" i="34"/>
  <c r="W939" i="34"/>
  <c r="W944" i="34"/>
  <c r="W954" i="34"/>
  <c r="W957" i="34"/>
  <c r="W960" i="34"/>
  <c r="W970" i="34"/>
  <c r="W973" i="34"/>
  <c r="W976" i="34"/>
  <c r="W986" i="34"/>
  <c r="W989" i="34"/>
  <c r="W992" i="34"/>
  <c r="W1002" i="34"/>
  <c r="W61" i="34"/>
  <c r="W78" i="34"/>
  <c r="W95" i="34"/>
  <c r="W145" i="34"/>
  <c r="W162" i="34"/>
  <c r="W179" i="34"/>
  <c r="W223" i="34"/>
  <c r="W242" i="34"/>
  <c r="W259" i="34"/>
  <c r="W307" i="34"/>
  <c r="W324" i="34"/>
  <c r="W335" i="34"/>
  <c r="W360" i="34"/>
  <c r="W373" i="34"/>
  <c r="W386" i="34"/>
  <c r="W421" i="34"/>
  <c r="W440" i="34"/>
  <c r="W445" i="34"/>
  <c r="W448" i="34"/>
  <c r="W464" i="34"/>
  <c r="W467" i="34"/>
  <c r="W481" i="34"/>
  <c r="W484" i="34"/>
  <c r="W489" i="34"/>
  <c r="W503" i="34"/>
  <c r="W508" i="34"/>
  <c r="W511" i="34"/>
  <c r="W525" i="34"/>
  <c r="W543" i="34"/>
  <c r="W546" i="34"/>
  <c r="W551" i="34"/>
  <c r="W565" i="34"/>
  <c r="W570" i="34"/>
  <c r="W573" i="34"/>
  <c r="W584" i="34"/>
  <c r="W587" i="34"/>
  <c r="W590" i="34"/>
  <c r="W604" i="34"/>
  <c r="W607" i="34"/>
  <c r="W612" i="34"/>
  <c r="W626" i="34"/>
  <c r="W631" i="34"/>
  <c r="W634" i="34"/>
  <c r="W648" i="34"/>
  <c r="W651" i="34"/>
  <c r="W654" i="34"/>
  <c r="W668" i="34"/>
  <c r="W671" i="34"/>
  <c r="W866" i="34"/>
  <c r="W869" i="34"/>
  <c r="W872" i="34"/>
  <c r="W886" i="34"/>
  <c r="W889" i="34"/>
  <c r="W894" i="34"/>
  <c r="W910" i="34"/>
  <c r="W915" i="34"/>
  <c r="W918" i="34"/>
  <c r="W932" i="34"/>
  <c r="W935" i="34"/>
  <c r="W938" i="34"/>
  <c r="W950" i="34"/>
  <c r="W39" i="34"/>
  <c r="W58" i="34"/>
  <c r="W75" i="34"/>
  <c r="W125" i="34"/>
  <c r="W142" i="34"/>
  <c r="W159" i="34"/>
  <c r="W205" i="34"/>
  <c r="W218" i="34"/>
  <c r="W237" i="34"/>
  <c r="W285" i="34"/>
  <c r="W304" i="34"/>
  <c r="W321" i="34"/>
  <c r="W344" i="34"/>
  <c r="W357" i="34"/>
  <c r="W370" i="34"/>
  <c r="W408" i="34"/>
  <c r="W418" i="34"/>
  <c r="W434" i="34"/>
  <c r="W437" i="34"/>
  <c r="W442" i="34"/>
  <c r="W456" i="34"/>
  <c r="W461" i="34"/>
  <c r="W463" i="34"/>
  <c r="W477" i="34"/>
  <c r="W480" i="34"/>
  <c r="W483" i="34"/>
  <c r="W497" i="34"/>
  <c r="W500" i="34"/>
  <c r="W505" i="34"/>
  <c r="W519" i="34"/>
  <c r="W524" i="34"/>
  <c r="W527" i="34"/>
  <c r="W539" i="34"/>
  <c r="W542" i="34"/>
  <c r="W545" i="34"/>
  <c r="W559" i="34"/>
  <c r="W562" i="34"/>
  <c r="W567" i="34"/>
  <c r="W578" i="34"/>
  <c r="W583" i="34"/>
  <c r="W586" i="34"/>
  <c r="W600" i="34"/>
  <c r="W603" i="34"/>
  <c r="W606" i="34"/>
  <c r="W620" i="34"/>
  <c r="W623" i="34"/>
  <c r="W628" i="34"/>
  <c r="W642" i="34"/>
  <c r="W647" i="34"/>
  <c r="W650" i="34"/>
  <c r="W664" i="34"/>
  <c r="W667" i="34"/>
  <c r="W670" i="34"/>
  <c r="W860" i="34"/>
  <c r="W865" i="34"/>
  <c r="W868" i="34"/>
  <c r="W882" i="34"/>
  <c r="W885" i="34"/>
  <c r="W888" i="34"/>
  <c r="W903" i="34"/>
  <c r="W907" i="34"/>
  <c r="W912" i="34"/>
  <c r="W926" i="34"/>
  <c r="W931" i="34"/>
  <c r="W934" i="34"/>
  <c r="W946" i="34"/>
  <c r="W949" i="34"/>
  <c r="W952" i="34"/>
  <c r="W962" i="34"/>
  <c r="W965" i="34"/>
  <c r="W968" i="34"/>
  <c r="W978" i="34"/>
  <c r="W981" i="34"/>
  <c r="W984" i="34"/>
  <c r="W994" i="34"/>
  <c r="W997" i="34"/>
  <c r="W1000" i="34"/>
  <c r="W1010" i="34"/>
  <c r="W1013" i="34"/>
  <c r="W1016" i="34"/>
  <c r="W1026" i="34"/>
  <c r="W1029" i="34"/>
  <c r="W1032" i="34"/>
  <c r="W1042" i="34"/>
  <c r="W1045" i="34"/>
  <c r="W956" i="34"/>
  <c r="W969" i="34"/>
  <c r="W982" i="34"/>
  <c r="W1005" i="34"/>
  <c r="W1018" i="34"/>
  <c r="W1021" i="34"/>
  <c r="W1024" i="34"/>
  <c r="W1038" i="34"/>
  <c r="W1041" i="34"/>
  <c r="W1046" i="34"/>
  <c r="W1049" i="34"/>
  <c r="W1052" i="34"/>
  <c r="W1056" i="34"/>
  <c r="W1060" i="34"/>
  <c r="W1064" i="34"/>
  <c r="W1068" i="34"/>
  <c r="W1072" i="34"/>
  <c r="W1076" i="34"/>
  <c r="W1080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3" i="34"/>
  <c r="W1167" i="34"/>
  <c r="W1171" i="34"/>
  <c r="W1175" i="34"/>
  <c r="W1179" i="34"/>
  <c r="W1184" i="34"/>
  <c r="W1189" i="34"/>
  <c r="W1193" i="34"/>
  <c r="W1199" i="34"/>
  <c r="W1203" i="34"/>
  <c r="W1207" i="34"/>
  <c r="W1211" i="34"/>
  <c r="W1215" i="34"/>
  <c r="W1220" i="34"/>
  <c r="W1224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953" i="34"/>
  <c r="W966" i="34"/>
  <c r="W1004" i="34"/>
  <c r="W1012" i="34"/>
  <c r="W1017" i="34"/>
  <c r="W1020" i="34"/>
  <c r="W1034" i="34"/>
  <c r="W1037" i="34"/>
  <c r="W1040" i="34"/>
  <c r="W1048" i="34"/>
  <c r="W1055" i="34"/>
  <c r="W1059" i="34"/>
  <c r="W1063" i="34"/>
  <c r="W1067" i="34"/>
  <c r="W1071" i="34"/>
  <c r="W1075" i="34"/>
  <c r="W1079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6" i="34"/>
  <c r="W1170" i="34"/>
  <c r="W1174" i="34"/>
  <c r="W1178" i="34"/>
  <c r="W1182" i="34"/>
  <c r="W1188" i="34"/>
  <c r="W1192" i="34"/>
  <c r="W1196" i="34"/>
  <c r="W1202" i="34"/>
  <c r="W1206" i="34"/>
  <c r="W1210" i="34"/>
  <c r="W1214" i="34"/>
  <c r="W1218" i="34"/>
  <c r="W1223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988" i="34"/>
  <c r="W1001" i="34"/>
  <c r="W1009" i="34"/>
  <c r="W1014" i="34"/>
  <c r="W1028" i="34"/>
  <c r="W1033" i="34"/>
  <c r="W1036" i="34"/>
  <c r="W1054" i="34"/>
  <c r="W1058" i="34"/>
  <c r="W1062" i="34"/>
  <c r="W1066" i="34"/>
  <c r="W1070" i="34"/>
  <c r="W1074" i="34"/>
  <c r="W1078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5" i="34"/>
  <c r="W1169" i="34"/>
  <c r="W1173" i="34"/>
  <c r="W1177" i="34"/>
  <c r="W1181" i="34"/>
  <c r="W1187" i="34"/>
  <c r="W1191" i="34"/>
  <c r="W1195" i="34"/>
  <c r="W1201" i="34"/>
  <c r="W1205" i="34"/>
  <c r="W1209" i="34"/>
  <c r="W1213" i="34"/>
  <c r="W1217" i="34"/>
  <c r="W1222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972" i="34"/>
  <c r="W985" i="34"/>
  <c r="W998" i="34"/>
  <c r="W1008" i="34"/>
  <c r="W1022" i="34"/>
  <c r="W1025" i="34"/>
  <c r="W1030" i="34"/>
  <c r="W1044" i="34"/>
  <c r="W1050" i="34"/>
  <c r="W1053" i="34"/>
  <c r="W1057" i="34"/>
  <c r="W1061" i="34"/>
  <c r="W1065" i="34"/>
  <c r="W1069" i="34"/>
  <c r="W1073" i="34"/>
  <c r="W1077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4" i="34"/>
  <c r="W1168" i="34"/>
  <c r="W1172" i="34"/>
  <c r="W1176" i="34"/>
  <c r="W1180" i="34"/>
  <c r="W1186" i="34"/>
  <c r="W1190" i="34"/>
  <c r="W1194" i="34"/>
  <c r="W1200" i="34"/>
  <c r="W1204" i="34"/>
  <c r="W1208" i="34"/>
  <c r="W1212" i="34"/>
  <c r="W1216" i="34"/>
  <c r="W1221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0" i="34"/>
  <c r="W1384" i="34"/>
  <c r="W1388" i="34"/>
  <c r="W1357" i="34"/>
  <c r="W1365" i="34"/>
  <c r="W1373" i="34"/>
  <c r="W1379" i="34"/>
  <c r="W1382" i="34"/>
  <c r="W1385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362" i="34"/>
  <c r="W1370" i="34"/>
  <c r="W1378" i="34"/>
  <c r="W1381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361" i="34"/>
  <c r="W1369" i="34"/>
  <c r="W1377" i="34"/>
  <c r="W1387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353" i="34"/>
  <c r="W1358" i="34"/>
  <c r="W1366" i="34"/>
  <c r="W1374" i="34"/>
  <c r="W1383" i="34"/>
  <c r="W1386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I81" i="55"/>
  <c r="W11" i="34"/>
  <c r="W12" i="34"/>
  <c r="W1453" i="34"/>
  <c r="W1457" i="34"/>
  <c r="W1461" i="34"/>
  <c r="W1465" i="34"/>
  <c r="W1469" i="34"/>
  <c r="W1473" i="34"/>
  <c r="W1477" i="34"/>
  <c r="W1478" i="34"/>
  <c r="W1482" i="34"/>
  <c r="W1486" i="34"/>
  <c r="W1491" i="34"/>
  <c r="W1495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2" i="34"/>
  <c r="W1699" i="34"/>
  <c r="W1703" i="34"/>
  <c r="W1707" i="34"/>
  <c r="W1711" i="34"/>
  <c r="W1712" i="34"/>
  <c r="W1716" i="34"/>
  <c r="W1720" i="34"/>
  <c r="W1724" i="34"/>
  <c r="W1728" i="34"/>
  <c r="W1732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5" i="34"/>
  <c r="W1929" i="34"/>
  <c r="W1452" i="34"/>
  <c r="W1456" i="34"/>
  <c r="W1460" i="34"/>
  <c r="W1464" i="34"/>
  <c r="W1468" i="34"/>
  <c r="W1472" i="34"/>
  <c r="W1476" i="34"/>
  <c r="W1481" i="34"/>
  <c r="W1485" i="34"/>
  <c r="W1489" i="34"/>
  <c r="W1490" i="34"/>
  <c r="W1494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1" i="34"/>
  <c r="W1695" i="34"/>
  <c r="W1696" i="34"/>
  <c r="W1697" i="34"/>
  <c r="W1698" i="34"/>
  <c r="W1702" i="34"/>
  <c r="W1706" i="34"/>
  <c r="W1710" i="34"/>
  <c r="W1715" i="34"/>
  <c r="W1719" i="34"/>
  <c r="W1723" i="34"/>
  <c r="W1727" i="34"/>
  <c r="W1731" i="34"/>
  <c r="W1735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3" i="34"/>
  <c r="W1924" i="34"/>
  <c r="W1928" i="34"/>
  <c r="W1932" i="34"/>
  <c r="W1455" i="34"/>
  <c r="W1459" i="34"/>
  <c r="W1463" i="34"/>
  <c r="W1467" i="34"/>
  <c r="W1471" i="34"/>
  <c r="W1475" i="34"/>
  <c r="W1480" i="34"/>
  <c r="W1484" i="34"/>
  <c r="W1488" i="34"/>
  <c r="W1493" i="34"/>
  <c r="W1497" i="34"/>
  <c r="W1498" i="34"/>
  <c r="W1499" i="34"/>
  <c r="W1500" i="34"/>
  <c r="W1501" i="34"/>
  <c r="W1502" i="34"/>
  <c r="W1503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4" i="34"/>
  <c r="W1701" i="34"/>
  <c r="W1705" i="34"/>
  <c r="W1709" i="34"/>
  <c r="W1714" i="34"/>
  <c r="W1718" i="34"/>
  <c r="W1722" i="34"/>
  <c r="W1726" i="34"/>
  <c r="W1730" i="34"/>
  <c r="W1734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4" i="34"/>
  <c r="W1805" i="34"/>
  <c r="W1806" i="34"/>
  <c r="W1807" i="34"/>
  <c r="W1808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7" i="34"/>
  <c r="W1931" i="34"/>
  <c r="W1454" i="34"/>
  <c r="W1458" i="34"/>
  <c r="W1462" i="34"/>
  <c r="W1466" i="34"/>
  <c r="W1470" i="34"/>
  <c r="W1474" i="34"/>
  <c r="W1479" i="34"/>
  <c r="W1483" i="34"/>
  <c r="W1487" i="34"/>
  <c r="W1492" i="34"/>
  <c r="W1496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3" i="34"/>
  <c r="W1700" i="34"/>
  <c r="W1704" i="34"/>
  <c r="W1708" i="34"/>
  <c r="W1713" i="34"/>
  <c r="W1717" i="34"/>
  <c r="W1721" i="34"/>
  <c r="W1725" i="34"/>
  <c r="W1729" i="34"/>
  <c r="W1733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6" i="34"/>
  <c r="W1930" i="34"/>
  <c r="W1936" i="34"/>
  <c r="W1940" i="34"/>
  <c r="W1944" i="34"/>
  <c r="W1948" i="34"/>
  <c r="W1952" i="34"/>
  <c r="W1956" i="34"/>
  <c r="W1960" i="34"/>
  <c r="W1964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2058" i="34"/>
  <c r="W2062" i="34"/>
  <c r="W2066" i="34"/>
  <c r="W2070" i="34"/>
  <c r="W2074" i="34"/>
  <c r="W2078" i="34"/>
  <c r="W2082" i="34"/>
  <c r="W2083" i="34"/>
  <c r="W2087" i="34"/>
  <c r="W2091" i="34"/>
  <c r="W2095" i="34"/>
  <c r="W2099" i="34"/>
  <c r="W2103" i="34"/>
  <c r="W2107" i="34"/>
  <c r="W2111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30" i="34"/>
  <c r="W2334" i="34"/>
  <c r="W2338" i="34"/>
  <c r="W2342" i="34"/>
  <c r="W2346" i="34"/>
  <c r="W2350" i="34"/>
  <c r="W2354" i="34"/>
  <c r="W2358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08" i="34"/>
  <c r="W2412" i="34"/>
  <c r="W2416" i="34"/>
  <c r="W2417" i="34"/>
  <c r="W2418" i="34"/>
  <c r="W2422" i="34"/>
  <c r="W2423" i="34"/>
  <c r="W2427" i="34"/>
  <c r="W2431" i="34"/>
  <c r="W2435" i="34"/>
  <c r="W2439" i="34"/>
  <c r="W2443" i="34"/>
  <c r="W2447" i="34"/>
  <c r="W2451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1935" i="34"/>
  <c r="W1939" i="34"/>
  <c r="W1943" i="34"/>
  <c r="W1947" i="34"/>
  <c r="W1951" i="34"/>
  <c r="W1955" i="34"/>
  <c r="W1959" i="34"/>
  <c r="W1963" i="34"/>
  <c r="W1967" i="34"/>
  <c r="W1968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2057" i="34"/>
  <c r="W2061" i="34"/>
  <c r="W2065" i="34"/>
  <c r="W2069" i="34"/>
  <c r="W2073" i="34"/>
  <c r="W2077" i="34"/>
  <c r="W2081" i="34"/>
  <c r="W2086" i="34"/>
  <c r="W2090" i="34"/>
  <c r="W2094" i="34"/>
  <c r="W2098" i="34"/>
  <c r="W2102" i="34"/>
  <c r="W2106" i="34"/>
  <c r="W2110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4" i="34"/>
  <c r="W2325" i="34"/>
  <c r="W2326" i="34"/>
  <c r="W2327" i="34"/>
  <c r="W2328" i="34"/>
  <c r="W2329" i="34"/>
  <c r="W2333" i="34"/>
  <c r="W2337" i="34"/>
  <c r="W2341" i="34"/>
  <c r="W2345" i="34"/>
  <c r="W2349" i="34"/>
  <c r="W2353" i="34"/>
  <c r="W2357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1" i="34"/>
  <c r="W2415" i="34"/>
  <c r="W2421" i="34"/>
  <c r="W2426" i="34"/>
  <c r="W2430" i="34"/>
  <c r="W2434" i="34"/>
  <c r="W2438" i="34"/>
  <c r="W2442" i="34"/>
  <c r="W2446" i="34"/>
  <c r="W2450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1934" i="34"/>
  <c r="W1938" i="34"/>
  <c r="W1942" i="34"/>
  <c r="W1946" i="34"/>
  <c r="W1950" i="34"/>
  <c r="W1954" i="34"/>
  <c r="W1958" i="34"/>
  <c r="W1962" i="34"/>
  <c r="W1966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6" i="34"/>
  <c r="W2060" i="34"/>
  <c r="W2064" i="34"/>
  <c r="W2068" i="34"/>
  <c r="W2072" i="34"/>
  <c r="W2076" i="34"/>
  <c r="W2080" i="34"/>
  <c r="W2085" i="34"/>
  <c r="W2089" i="34"/>
  <c r="W2093" i="34"/>
  <c r="W2097" i="34"/>
  <c r="W2101" i="34"/>
  <c r="W2105" i="34"/>
  <c r="W2109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32" i="34"/>
  <c r="W2336" i="34"/>
  <c r="W2340" i="34"/>
  <c r="W2344" i="34"/>
  <c r="W2348" i="34"/>
  <c r="W2352" i="34"/>
  <c r="W2356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10" i="34"/>
  <c r="W2414" i="34"/>
  <c r="W2420" i="34"/>
  <c r="W2425" i="34"/>
  <c r="W2429" i="34"/>
  <c r="W2433" i="34"/>
  <c r="W2437" i="34"/>
  <c r="W2441" i="34"/>
  <c r="W2445" i="34"/>
  <c r="W2449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1933" i="34"/>
  <c r="W1937" i="34"/>
  <c r="W1941" i="34"/>
  <c r="W1945" i="34"/>
  <c r="W1949" i="34"/>
  <c r="W1953" i="34"/>
  <c r="W1957" i="34"/>
  <c r="W1961" i="34"/>
  <c r="W1965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2055" i="34"/>
  <c r="W2059" i="34"/>
  <c r="W2063" i="34"/>
  <c r="W2067" i="34"/>
  <c r="W2071" i="34"/>
  <c r="W2075" i="34"/>
  <c r="W2079" i="34"/>
  <c r="W2084" i="34"/>
  <c r="W2088" i="34"/>
  <c r="W2092" i="34"/>
  <c r="W2096" i="34"/>
  <c r="W2100" i="34"/>
  <c r="W2104" i="34"/>
  <c r="W2108" i="34"/>
  <c r="W2112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31" i="34"/>
  <c r="W2335" i="34"/>
  <c r="W2339" i="34"/>
  <c r="W2343" i="34"/>
  <c r="W2347" i="34"/>
  <c r="W2351" i="34"/>
  <c r="W2355" i="34"/>
  <c r="W2359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9" i="34"/>
  <c r="W2413" i="34"/>
  <c r="W2419" i="34"/>
  <c r="W2424" i="34"/>
  <c r="W2428" i="34"/>
  <c r="W2432" i="34"/>
  <c r="W2436" i="34"/>
  <c r="W2440" i="34"/>
  <c r="W2444" i="34"/>
  <c r="W2448" i="34"/>
  <c r="W2452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603" i="34"/>
  <c r="W2607" i="34"/>
  <c r="W2611" i="34"/>
  <c r="W2615" i="34"/>
  <c r="W2619" i="34"/>
  <c r="W2623" i="34"/>
  <c r="W2627" i="34"/>
  <c r="W2631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599" i="34"/>
  <c r="W2602" i="34"/>
  <c r="W2606" i="34"/>
  <c r="W2610" i="34"/>
  <c r="W2614" i="34"/>
  <c r="W2618" i="34"/>
  <c r="W2622" i="34"/>
  <c r="W2626" i="34"/>
  <c r="W2630" i="34"/>
  <c r="W2634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598" i="34"/>
  <c r="W2601" i="34"/>
  <c r="W2605" i="34"/>
  <c r="W2609" i="34"/>
  <c r="W2613" i="34"/>
  <c r="W2617" i="34"/>
  <c r="W2621" i="34"/>
  <c r="W2625" i="34"/>
  <c r="W2629" i="34"/>
  <c r="W2633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5" i="34"/>
  <c r="W2796" i="34"/>
  <c r="W2797" i="34"/>
  <c r="W2597" i="34"/>
  <c r="W2604" i="34"/>
  <c r="W2608" i="34"/>
  <c r="W2612" i="34"/>
  <c r="W2616" i="34"/>
  <c r="W2620" i="34"/>
  <c r="W2624" i="34"/>
  <c r="W2628" i="34"/>
  <c r="W2632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8" i="34"/>
  <c r="X12" i="34"/>
  <c r="X11" i="34"/>
  <c r="X279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W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I31" i="14" l="1"/>
  <c r="I22" i="47"/>
  <c r="H22" i="47"/>
  <c r="J31" i="14"/>
  <c r="J32" i="14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9" i="60" l="1"/>
  <c r="A10" i="60" s="1"/>
  <c r="A11" i="60" s="1"/>
  <c r="A12" i="60" l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K2804" i="34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59" i="15" a="1"/>
  <c r="F59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56" i="15" a="1"/>
  <c r="E56" i="15" s="1"/>
  <c r="F24" i="70" a="1"/>
  <c r="F24" i="70" s="1"/>
  <c r="H247" i="55" a="1"/>
  <c r="H247" i="55" s="1"/>
  <c r="H93" i="55" a="1"/>
  <c r="H93" i="55" s="1"/>
  <c r="J140" i="55" a="1"/>
  <c r="J140" i="55" s="1"/>
  <c r="E57" i="15" a="1"/>
  <c r="E57" i="15" s="1"/>
  <c r="J95" i="55" a="1"/>
  <c r="J95" i="55" s="1"/>
  <c r="F49" i="15" a="1"/>
  <c r="F49" i="15" s="1"/>
  <c r="F50" i="15" s="1"/>
  <c r="E53" i="15" a="1"/>
  <c r="E53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55" i="15" a="1"/>
  <c r="E55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L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4" i="15" a="1"/>
  <c r="E54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39" i="15" a="1"/>
  <c r="F39" i="15" s="1"/>
  <c r="E9" i="12" a="1"/>
  <c r="E9" i="12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L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2" i="15" a="1"/>
  <c r="E52" i="15" s="1"/>
  <c r="E58" i="15" a="1"/>
  <c r="E58" i="15" s="1"/>
  <c r="H130" i="55" a="1"/>
  <c r="H130" i="55" s="1"/>
  <c r="L130" i="55" s="1"/>
  <c r="H214" i="55" a="1"/>
  <c r="H214" i="55" s="1"/>
  <c r="H123" i="55" a="1"/>
  <c r="H123" i="55" s="1"/>
  <c r="L123" i="55" s="1"/>
  <c r="F30" i="15" a="1"/>
  <c r="F30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7" i="15" a="1"/>
  <c r="E37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167" i="55" a="1"/>
  <c r="H167" i="55" s="1"/>
  <c r="F12" i="12" a="1"/>
  <c r="F12" i="12" s="1"/>
  <c r="H261" i="55" a="1"/>
  <c r="H261" i="5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28" i="15" a="1"/>
  <c r="E28" i="15" s="1"/>
  <c r="E29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2" i="15" a="1"/>
  <c r="F32" i="15" s="1"/>
  <c r="F47" i="15" a="1"/>
  <c r="F47" i="15" s="1"/>
  <c r="E49" i="15" a="1"/>
  <c r="E49" i="15" s="1"/>
  <c r="F44" i="15" a="1"/>
  <c r="F44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4" i="15" a="1"/>
  <c r="E44" i="15" s="1"/>
  <c r="E25" i="70" a="1"/>
  <c r="E25" i="70" s="1"/>
  <c r="F17" i="15" a="1"/>
  <c r="F17" i="15" s="1"/>
  <c r="H191" i="55" a="1"/>
  <c r="H191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47" i="15" a="1"/>
  <c r="E47" i="15" s="1"/>
  <c r="H161" i="55" a="1"/>
  <c r="H161" i="55" s="1"/>
  <c r="L161" i="55" s="1"/>
  <c r="E23" i="15" a="1"/>
  <c r="E23" i="15" s="1"/>
  <c r="E59" i="15" a="1"/>
  <c r="E59" i="15" s="1"/>
  <c r="I59" i="15" s="1"/>
  <c r="F19" i="15" a="1"/>
  <c r="F19" i="15" s="1"/>
  <c r="F37" i="15" a="1"/>
  <c r="F37" i="15" s="1"/>
  <c r="H124" i="55" a="1"/>
  <c r="H124" i="55" s="1"/>
  <c r="H168" i="55" a="1"/>
  <c r="H168" i="55" s="1"/>
  <c r="H175" i="55" a="1"/>
  <c r="H175" i="55" s="1"/>
  <c r="F28" i="15" a="1"/>
  <c r="F28" i="15" s="1"/>
  <c r="F29" i="15" s="1"/>
  <c r="H283" i="55" a="1"/>
  <c r="H283" i="55" s="1"/>
  <c r="L283" i="55" s="1"/>
  <c r="F43" i="70" a="1"/>
  <c r="F43" i="70" s="1"/>
  <c r="E46" i="15" a="1"/>
  <c r="E46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F6" i="81" l="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I9" i="81" s="1"/>
  <c r="G8" i="81" a="1"/>
  <c r="G8" i="81" s="1"/>
  <c r="F8" i="81" a="1"/>
  <c r="F8" i="81" s="1"/>
  <c r="G6" i="81" a="1"/>
  <c r="G6" i="81" s="1"/>
  <c r="I6" i="81" s="1"/>
  <c r="F7" i="81" a="1"/>
  <c r="F7" i="81" s="1"/>
  <c r="G10" i="81" a="1"/>
  <c r="G10" i="81" s="1"/>
  <c r="I10" i="81" s="1"/>
  <c r="F10" i="81" a="1"/>
  <c r="F10" i="81" s="1"/>
  <c r="F11" i="81" a="1"/>
  <c r="F11" i="81" s="1"/>
  <c r="E16" i="12" a="1"/>
  <c r="E16" i="12" s="1"/>
  <c r="E18" i="12" a="1"/>
  <c r="E18" i="12" s="1"/>
  <c r="F18" i="12" a="1"/>
  <c r="F18" i="12" s="1"/>
  <c r="F19" i="12" a="1"/>
  <c r="F19" i="12" s="1"/>
  <c r="F20" i="12" a="1"/>
  <c r="F20" i="12" s="1"/>
  <c r="E19" i="12" a="1"/>
  <c r="E19" i="12" s="1"/>
  <c r="E22" i="12" a="1"/>
  <c r="E22" i="12" s="1"/>
  <c r="E15" i="12" a="1"/>
  <c r="E15" i="12" s="1"/>
  <c r="F17" i="12" a="1"/>
  <c r="F17" i="12" s="1"/>
  <c r="F21" i="12" a="1"/>
  <c r="F21" i="12" s="1"/>
  <c r="F16" i="12" a="1"/>
  <c r="F16" i="12" s="1"/>
  <c r="H16" i="12" s="1"/>
  <c r="F22" i="12" a="1"/>
  <c r="F22" i="12" s="1"/>
  <c r="F15" i="12" a="1"/>
  <c r="F15" i="12" s="1"/>
  <c r="H15" i="12" s="1"/>
  <c r="E17" i="12" a="1"/>
  <c r="E17" i="12" s="1"/>
  <c r="E20" i="12" a="1"/>
  <c r="E20" i="12" s="1"/>
  <c r="E21" i="12" a="1"/>
  <c r="E21" i="12" s="1"/>
  <c r="G5" i="81" a="1"/>
  <c r="G5" i="81" s="1"/>
  <c r="F5" i="81" a="1"/>
  <c r="F5" i="81" s="1"/>
  <c r="H11" i="81"/>
  <c r="J290" i="55" a="1"/>
  <c r="J290" i="55" s="1"/>
  <c r="F42" i="15" a="1"/>
  <c r="F42" i="15" s="1"/>
  <c r="E41" i="15" a="1"/>
  <c r="E41" i="15" s="1"/>
  <c r="E42" i="15" a="1"/>
  <c r="E42" i="15" s="1"/>
  <c r="F41" i="15" a="1"/>
  <c r="F41" i="15" s="1"/>
  <c r="J154" i="55" a="1"/>
  <c r="J154" i="55" s="1"/>
  <c r="L154" i="55" s="1"/>
  <c r="J206" i="55" a="1"/>
  <c r="J206" i="55" s="1"/>
  <c r="L206" i="55" s="1"/>
  <c r="J112" i="55" a="1"/>
  <c r="J112" i="55" s="1"/>
  <c r="L112" i="55" s="1"/>
  <c r="J202" i="55" a="1"/>
  <c r="J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L205" i="55" s="1"/>
  <c r="J302" i="55" a="1"/>
  <c r="J302" i="55" s="1"/>
  <c r="J26" i="55" a="1"/>
  <c r="J26" i="55" s="1"/>
  <c r="J267" i="55" a="1"/>
  <c r="J267" i="55" s="1"/>
  <c r="J191" i="55" a="1"/>
  <c r="J191" i="55" s="1"/>
  <c r="L191" i="55" s="1"/>
  <c r="F56" i="15" a="1"/>
  <c r="F56" i="15" s="1"/>
  <c r="J92" i="55" a="1"/>
  <c r="J92" i="55" s="1"/>
  <c r="L92" i="55" s="1"/>
  <c r="J132" i="55" a="1"/>
  <c r="J132" i="55" s="1"/>
  <c r="L132" i="55" s="1"/>
  <c r="J39" i="55" a="1"/>
  <c r="J39" i="55" s="1"/>
  <c r="L39" i="55" s="1"/>
  <c r="J210" i="55" a="1"/>
  <c r="J210" i="55" s="1"/>
  <c r="J291" i="55" a="1"/>
  <c r="J291" i="55" s="1"/>
  <c r="J14" i="55" a="1"/>
  <c r="J14" i="55" s="1"/>
  <c r="L14" i="55" s="1"/>
  <c r="J263" i="55" a="1"/>
  <c r="J263" i="55" s="1"/>
  <c r="L263" i="55" s="1"/>
  <c r="J117" i="55" a="1"/>
  <c r="J117" i="55" s="1"/>
  <c r="J237" i="55" a="1"/>
  <c r="J237" i="55" s="1"/>
  <c r="L237" i="55" s="1"/>
  <c r="J175" i="55" a="1"/>
  <c r="J175" i="55" s="1"/>
  <c r="L175" i="55" s="1"/>
  <c r="F54" i="15" a="1"/>
  <c r="F54" i="15" s="1"/>
  <c r="J38" i="55" a="1"/>
  <c r="J38" i="55" s="1"/>
  <c r="J297" i="55" a="1"/>
  <c r="J297" i="55" s="1"/>
  <c r="L297" i="55" s="1"/>
  <c r="F57" i="15" a="1"/>
  <c r="F57" i="15" s="1"/>
  <c r="I57" i="15" s="1"/>
  <c r="J238" i="55" a="1"/>
  <c r="J238" i="55" s="1"/>
  <c r="L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90" i="55"/>
  <c r="L236" i="55"/>
  <c r="J149" i="55" a="1"/>
  <c r="J149" i="55" s="1"/>
  <c r="L149" i="55" s="1"/>
  <c r="J214" i="55" a="1"/>
  <c r="J214" i="55" s="1"/>
  <c r="J230" i="55" a="1"/>
  <c r="J230" i="55" s="1"/>
  <c r="L230" i="55" s="1"/>
  <c r="J261" i="55" a="1"/>
  <c r="J261" i="55" s="1"/>
  <c r="L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L201" i="55" s="1"/>
  <c r="J192" i="55" a="1"/>
  <c r="J192" i="55" s="1"/>
  <c r="J94" i="55" a="1"/>
  <c r="J94" i="55" s="1"/>
  <c r="L94" i="55" s="1"/>
  <c r="J83" i="55" a="1"/>
  <c r="J83" i="55" s="1"/>
  <c r="L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L100" i="55" s="1"/>
  <c r="J99" i="55" a="1"/>
  <c r="J99" i="55" s="1"/>
  <c r="L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L213" i="55"/>
  <c r="I56" i="1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3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197" i="55"/>
  <c r="L282" i="55"/>
  <c r="L275" i="55"/>
  <c r="L180" i="55"/>
  <c r="L198" i="55"/>
  <c r="L210" i="55"/>
  <c r="L109" i="55"/>
  <c r="L287" i="55"/>
  <c r="L101" i="55"/>
  <c r="L155" i="55"/>
  <c r="L293" i="55"/>
  <c r="L179" i="55"/>
  <c r="L185" i="55"/>
  <c r="L153" i="55"/>
  <c r="L124" i="55"/>
  <c r="L209" i="55"/>
  <c r="L217" i="55"/>
  <c r="L133" i="55"/>
  <c r="L229" i="55"/>
  <c r="L183" i="55"/>
  <c r="L248" i="55"/>
  <c r="L281" i="55"/>
  <c r="L168" i="55"/>
  <c r="L143" i="55"/>
  <c r="L122" i="55"/>
  <c r="L256" i="55"/>
  <c r="L216" i="55"/>
  <c r="L117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J29" i="55" a="1"/>
  <c r="J29" i="55" s="1"/>
  <c r="H62" i="55" a="1"/>
  <c r="H62" i="55" s="1"/>
  <c r="H63" i="55" a="1"/>
  <c r="H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L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L75" i="55" s="1"/>
  <c r="H299" i="55" a="1"/>
  <c r="H299" i="55" s="1"/>
  <c r="H25" i="55" a="1"/>
  <c r="H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4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H21" i="55" s="1"/>
  <c r="H22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202" i="55"/>
  <c r="L105" i="55"/>
  <c r="L152" i="55"/>
  <c r="L184" i="55"/>
  <c r="L147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6" i="15"/>
  <c r="H46" i="15"/>
  <c r="G15" i="70"/>
  <c r="J255" i="55" a="1"/>
  <c r="J255" i="55" s="1"/>
  <c r="L255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2" i="15" a="1"/>
  <c r="F52" i="15" s="1"/>
  <c r="I52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40" i="55" a="1"/>
  <c r="J240" i="55" s="1"/>
  <c r="L240" i="55" s="1"/>
  <c r="J138" i="55" a="1"/>
  <c r="J138" i="55" s="1"/>
  <c r="L138" i="55" s="1"/>
  <c r="F53" i="15" a="1"/>
  <c r="F53" i="15" s="1"/>
  <c r="I53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55" i="15" a="1"/>
  <c r="F55" i="15" s="1"/>
  <c r="I55" i="15" s="1"/>
  <c r="J194" i="55" a="1"/>
  <c r="J194" i="55" s="1"/>
  <c r="L194" i="55" s="1"/>
  <c r="F58" i="15" a="1"/>
  <c r="F58" i="15" s="1"/>
  <c r="I58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1" i="15" a="1"/>
  <c r="F51" i="15" s="1"/>
  <c r="I51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3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H48" i="70" l="1"/>
  <c r="I7" i="81"/>
  <c r="I8" i="81"/>
  <c r="H4" i="81"/>
  <c r="L63" i="55"/>
  <c r="G21" i="12"/>
  <c r="G19" i="12"/>
  <c r="G20" i="12"/>
  <c r="H18" i="12"/>
  <c r="E24" i="12"/>
  <c r="E25" i="12" s="1"/>
  <c r="F24" i="12"/>
  <c r="F25" i="12" s="1"/>
  <c r="H22" i="12"/>
  <c r="H17" i="12"/>
  <c r="H21" i="12"/>
  <c r="G22" i="12"/>
  <c r="G15" i="12"/>
  <c r="H20" i="12"/>
  <c r="G18" i="12"/>
  <c r="G17" i="12"/>
  <c r="H19" i="12"/>
  <c r="G16" i="12"/>
  <c r="H42" i="15"/>
  <c r="H7" i="81"/>
  <c r="H10" i="81"/>
  <c r="G13" i="81"/>
  <c r="I5" i="81"/>
  <c r="I4" i="81"/>
  <c r="H8" i="81"/>
  <c r="H9" i="81"/>
  <c r="I11" i="81"/>
  <c r="L25" i="55"/>
  <c r="L48" i="55"/>
  <c r="L37" i="55"/>
  <c r="F13" i="81"/>
  <c r="H5" i="81"/>
  <c r="I27" i="82" s="1"/>
  <c r="H6" i="81"/>
  <c r="G42" i="15"/>
  <c r="G41" i="15"/>
  <c r="E43" i="15"/>
  <c r="E60" i="15" s="1"/>
  <c r="H41" i="15"/>
  <c r="F43" i="15"/>
  <c r="F60" i="15" s="1"/>
  <c r="L65" i="55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05" i="55"/>
  <c r="J306" i="55" s="1"/>
  <c r="H16" i="70"/>
  <c r="G22" i="15"/>
  <c r="F50" i="70"/>
  <c r="F51" i="70" s="1"/>
  <c r="H11" i="70"/>
  <c r="E50" i="70"/>
  <c r="E51" i="70" s="1"/>
  <c r="H10" i="70"/>
  <c r="H18" i="15"/>
  <c r="H27" i="15"/>
  <c r="G16" i="15"/>
  <c r="H305" i="55"/>
  <c r="H306" i="55" s="1"/>
  <c r="H36" i="15"/>
  <c r="G27" i="15"/>
  <c r="G45" i="15"/>
  <c r="G48" i="15"/>
  <c r="L12" i="55"/>
  <c r="H48" i="15"/>
  <c r="J47" i="15"/>
  <c r="G38" i="15"/>
  <c r="H24" i="12" l="1"/>
  <c r="G24" i="12"/>
  <c r="H43" i="15"/>
  <c r="H60" i="15" s="1"/>
  <c r="H27" i="82"/>
  <c r="G43" i="15"/>
  <c r="G60" i="15" s="1"/>
  <c r="I13" i="81"/>
  <c r="H13" i="81"/>
  <c r="L81" i="55"/>
  <c r="L82" i="55" s="1"/>
  <c r="L305" i="55"/>
  <c r="L306" i="55" s="1"/>
  <c r="L21" i="55"/>
  <c r="L22" i="55" s="1"/>
  <c r="G50" i="70"/>
  <c r="H50" i="70"/>
  <c r="H25" i="12" l="1"/>
  <c r="H62" i="15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31" i="60" l="1"/>
  <c r="J63" i="60"/>
  <c r="J9" i="60"/>
  <c r="J18" i="60"/>
  <c r="J13" i="60"/>
  <c r="J59" i="60"/>
  <c r="J41" i="60"/>
  <c r="J103" i="60"/>
  <c r="J51" i="60"/>
  <c r="J91" i="60"/>
  <c r="J40" i="60"/>
  <c r="J95" i="60"/>
  <c r="J99" i="60"/>
  <c r="J131" i="60"/>
  <c r="J113" i="60"/>
  <c r="J170" i="60"/>
  <c r="J143" i="60"/>
  <c r="J175" i="60"/>
  <c r="J140" i="60"/>
  <c r="J178" i="60"/>
  <c r="J144" i="60"/>
  <c r="J14" i="60"/>
  <c r="J32" i="60"/>
  <c r="J64" i="60"/>
  <c r="J17" i="60"/>
  <c r="J19" i="60"/>
  <c r="J21" i="60"/>
  <c r="J60" i="60"/>
  <c r="J70" i="60"/>
  <c r="J104" i="60"/>
  <c r="J52" i="60"/>
  <c r="J92" i="60"/>
  <c r="J54" i="60"/>
  <c r="J96" i="60"/>
  <c r="J100" i="60"/>
  <c r="J132" i="60"/>
  <c r="J122" i="60"/>
  <c r="J171" i="60"/>
  <c r="J145" i="60"/>
  <c r="J176" i="60"/>
  <c r="J151" i="60"/>
  <c r="J179" i="60"/>
  <c r="J155" i="60"/>
  <c r="J24" i="60"/>
  <c r="J49" i="60"/>
  <c r="J81" i="60"/>
  <c r="J37" i="60"/>
  <c r="J11" i="60"/>
  <c r="J45" i="60"/>
  <c r="J77" i="60"/>
  <c r="J89" i="60"/>
  <c r="J121" i="60"/>
  <c r="J85" i="60"/>
  <c r="J109" i="60"/>
  <c r="J87" i="60"/>
  <c r="J69" i="60"/>
  <c r="J117" i="60"/>
  <c r="J149" i="60"/>
  <c r="J150" i="60"/>
  <c r="J134" i="60"/>
  <c r="J161" i="60"/>
  <c r="J129" i="60"/>
  <c r="J164" i="60"/>
  <c r="J137" i="60"/>
  <c r="J169" i="60"/>
  <c r="J30" i="60"/>
  <c r="J62" i="60"/>
  <c r="J34" i="60"/>
  <c r="J26" i="60"/>
  <c r="J42" i="60"/>
  <c r="J74" i="60"/>
  <c r="J72" i="60"/>
  <c r="J118" i="60"/>
  <c r="J82" i="60"/>
  <c r="J106" i="60"/>
  <c r="J56" i="60"/>
  <c r="J66" i="60"/>
  <c r="J114" i="60"/>
  <c r="J146" i="60"/>
  <c r="J128" i="60"/>
  <c r="J173" i="60"/>
  <c r="J156" i="60"/>
  <c r="J110" i="60"/>
  <c r="J158" i="60"/>
  <c r="J8" i="60"/>
  <c r="J22" i="60"/>
  <c r="J47" i="60"/>
  <c r="J79" i="60"/>
  <c r="J35" i="60"/>
  <c r="J27" i="60"/>
  <c r="J43" i="60"/>
  <c r="J75" i="60"/>
  <c r="J73" i="60"/>
  <c r="J119" i="60"/>
  <c r="J83" i="60"/>
  <c r="J107" i="60"/>
  <c r="J57" i="60"/>
  <c r="J67" i="60"/>
  <c r="J115" i="60"/>
  <c r="J147" i="60"/>
  <c r="J139" i="60"/>
  <c r="J123" i="60"/>
  <c r="J159" i="60"/>
  <c r="J112" i="60"/>
  <c r="J162" i="60"/>
  <c r="J124" i="60"/>
  <c r="J167" i="60"/>
  <c r="J23" i="60"/>
  <c r="J48" i="60"/>
  <c r="J80" i="60"/>
  <c r="J36" i="60"/>
  <c r="J28" i="60"/>
  <c r="J44" i="60"/>
  <c r="J76" i="60"/>
  <c r="J88" i="60"/>
  <c r="J120" i="60"/>
  <c r="J84" i="60"/>
  <c r="J108" i="60"/>
  <c r="J86" i="60"/>
  <c r="J68" i="60"/>
  <c r="J116" i="60"/>
  <c r="J148" i="60"/>
  <c r="J141" i="60"/>
  <c r="J125" i="60"/>
  <c r="J160" i="60"/>
  <c r="J127" i="60"/>
  <c r="J163" i="60"/>
  <c r="J135" i="60"/>
  <c r="J15" i="60"/>
  <c r="J33" i="60"/>
  <c r="J65" i="60"/>
  <c r="J25" i="60"/>
  <c r="J20" i="60"/>
  <c r="J29" i="60"/>
  <c r="J61" i="60"/>
  <c r="J71" i="60"/>
  <c r="J105" i="60"/>
  <c r="J53" i="60"/>
  <c r="J93" i="60"/>
  <c r="J55" i="60"/>
  <c r="J97" i="60"/>
  <c r="J101" i="60"/>
  <c r="J133" i="60"/>
  <c r="J126" i="60"/>
  <c r="J172" i="60"/>
  <c r="J154" i="60"/>
  <c r="J177" i="60"/>
  <c r="J153" i="60"/>
  <c r="J180" i="60"/>
  <c r="J157" i="60"/>
  <c r="J16" i="60"/>
  <c r="J46" i="60"/>
  <c r="J78" i="60"/>
  <c r="J10" i="60"/>
  <c r="J12" i="60"/>
  <c r="J58" i="60"/>
  <c r="J39" i="60"/>
  <c r="J102" i="60"/>
  <c r="J50" i="60"/>
  <c r="J98" i="60"/>
  <c r="J136" i="60"/>
  <c r="J94" i="60"/>
  <c r="J152" i="60"/>
  <c r="J165" i="60"/>
  <c r="J142" i="60"/>
  <c r="J38" i="60"/>
  <c r="J111" i="60"/>
  <c r="J138" i="60"/>
  <c r="J90" i="60"/>
  <c r="J130" i="60"/>
  <c r="J174" i="60"/>
  <c r="J181" i="60"/>
  <c r="J166" i="60"/>
  <c r="H183" i="60"/>
  <c r="J168" i="60"/>
  <c r="J183" i="60" l="1"/>
  <c r="R49" i="60" s="1"/>
  <c r="K164" i="60" s="1"/>
  <c r="K135" i="60" l="1"/>
  <c r="K179" i="60"/>
  <c r="K60" i="60"/>
  <c r="K173" i="60"/>
  <c r="K69" i="60"/>
  <c r="K81" i="60"/>
  <c r="K131" i="60"/>
  <c r="K154" i="60"/>
  <c r="K181" i="60"/>
  <c r="K29" i="60"/>
  <c r="K98" i="60"/>
  <c r="K109" i="60"/>
  <c r="K156" i="60"/>
  <c r="K116" i="60"/>
  <c r="K17" i="60"/>
  <c r="K19" i="60"/>
  <c r="K41" i="60"/>
  <c r="K56" i="60"/>
  <c r="K121" i="60"/>
  <c r="K139" i="60"/>
  <c r="K70" i="60"/>
  <c r="K161" i="60"/>
  <c r="K175" i="60"/>
  <c r="K8" i="60"/>
  <c r="K96" i="60"/>
  <c r="K36" i="60"/>
  <c r="K88" i="60"/>
  <c r="K14" i="60"/>
  <c r="K125" i="60"/>
  <c r="K73" i="60"/>
  <c r="K51" i="60"/>
  <c r="K63" i="60"/>
  <c r="K10" i="60"/>
  <c r="K102" i="60"/>
  <c r="K82" i="60"/>
  <c r="K123" i="60"/>
  <c r="K127" i="60"/>
  <c r="K74" i="60"/>
  <c r="K86" i="60"/>
  <c r="K108" i="60"/>
  <c r="K13" i="60"/>
  <c r="K110" i="60"/>
  <c r="K104" i="60"/>
  <c r="K11" i="60"/>
  <c r="K99" i="60"/>
  <c r="K7" i="60"/>
  <c r="K126" i="60"/>
  <c r="K106" i="60"/>
  <c r="K83" i="60"/>
  <c r="K95" i="60"/>
  <c r="K42" i="60"/>
  <c r="K62" i="60"/>
  <c r="K162" i="60"/>
  <c r="K172" i="60"/>
  <c r="K117" i="60"/>
  <c r="K65" i="60"/>
  <c r="K178" i="60"/>
  <c r="K48" i="60"/>
  <c r="K145" i="60"/>
  <c r="K120" i="60"/>
  <c r="K79" i="60"/>
  <c r="K25" i="60"/>
  <c r="K44" i="60"/>
  <c r="K150" i="60"/>
  <c r="K151" i="60"/>
  <c r="K35" i="60"/>
  <c r="K47" i="60"/>
  <c r="K89" i="60"/>
  <c r="K37" i="60"/>
  <c r="K30" i="60"/>
  <c r="K147" i="60"/>
  <c r="K180" i="60"/>
  <c r="K153" i="60"/>
  <c r="K101" i="60"/>
  <c r="K49" i="60"/>
  <c r="K118" i="60"/>
  <c r="K39" i="60"/>
  <c r="K55" i="60"/>
  <c r="K134" i="60"/>
  <c r="K93" i="60"/>
  <c r="K170" i="60"/>
  <c r="K94" i="60"/>
  <c r="K148" i="60"/>
  <c r="K128" i="60"/>
  <c r="K166" i="60"/>
  <c r="K61" i="60"/>
  <c r="K9" i="60"/>
  <c r="K28" i="60"/>
  <c r="K100" i="60"/>
  <c r="K171" i="60"/>
  <c r="K140" i="60"/>
  <c r="K76" i="60"/>
  <c r="K21" i="60"/>
  <c r="K22" i="60"/>
  <c r="K137" i="60"/>
  <c r="K68" i="60"/>
  <c r="K27" i="60"/>
  <c r="K114" i="60"/>
  <c r="K107" i="60"/>
  <c r="K119" i="60"/>
  <c r="K66" i="60"/>
  <c r="K15" i="60"/>
  <c r="K57" i="60"/>
  <c r="K92" i="60"/>
  <c r="K142" i="60"/>
  <c r="K146" i="60"/>
  <c r="K122" i="60"/>
  <c r="K16" i="60"/>
  <c r="K91" i="60"/>
  <c r="K130" i="60"/>
  <c r="K24" i="60"/>
  <c r="K138" i="60"/>
  <c r="K165" i="60"/>
  <c r="K87" i="60"/>
  <c r="K34" i="60"/>
  <c r="K54" i="60"/>
  <c r="K112" i="60"/>
  <c r="K90" i="60"/>
  <c r="K177" i="60"/>
  <c r="K31" i="60"/>
  <c r="K141" i="60"/>
  <c r="K40" i="60"/>
  <c r="K136" i="60"/>
  <c r="K169" i="60"/>
  <c r="K174" i="60"/>
  <c r="K103" i="60"/>
  <c r="K160" i="60"/>
  <c r="K67" i="60"/>
  <c r="K53" i="60"/>
  <c r="K72" i="60"/>
  <c r="K85" i="60"/>
  <c r="K33" i="60"/>
  <c r="K52" i="60"/>
  <c r="K144" i="60"/>
  <c r="K159" i="60"/>
  <c r="K43" i="60"/>
  <c r="K149" i="60"/>
  <c r="K97" i="60"/>
  <c r="K18" i="60"/>
  <c r="K38" i="60"/>
  <c r="K163" i="60"/>
  <c r="K132" i="60"/>
  <c r="K155" i="60"/>
  <c r="K143" i="60"/>
  <c r="K23" i="60"/>
  <c r="K124" i="60"/>
  <c r="K158" i="60"/>
  <c r="K32" i="60"/>
  <c r="K84" i="60"/>
  <c r="K168" i="60"/>
  <c r="K129" i="60"/>
  <c r="K77" i="60"/>
  <c r="K45" i="60"/>
  <c r="K80" i="60"/>
  <c r="K167" i="60"/>
  <c r="K113" i="60"/>
  <c r="K157" i="60"/>
  <c r="K105" i="60"/>
  <c r="K26" i="60"/>
  <c r="K46" i="60"/>
  <c r="K58" i="60"/>
  <c r="K78" i="60"/>
  <c r="K176" i="60"/>
  <c r="K152" i="60"/>
  <c r="K133" i="60"/>
  <c r="K75" i="60"/>
  <c r="K59" i="60"/>
  <c r="K71" i="60"/>
  <c r="K64" i="60"/>
  <c r="K12" i="60"/>
  <c r="K111" i="60"/>
  <c r="K50" i="60"/>
  <c r="K115" i="60"/>
  <c r="K20" i="60"/>
</calcChain>
</file>

<file path=xl/sharedStrings.xml><?xml version="1.0" encoding="utf-8"?>
<sst xmlns="http://schemas.openxmlformats.org/spreadsheetml/2006/main" count="9464" uniqueCount="1339">
  <si>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</si>
  <si>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</si>
  <si>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</si>
  <si>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</si>
  <si>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</si>
  <si>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</si>
  <si>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</si>
  <si>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</si>
  <si>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</si>
  <si>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</si>
  <si>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</si>
  <si>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</si>
  <si>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</si>
  <si>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</si>
  <si>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</si>
  <si>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</si>
  <si>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</si>
  <si>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</si>
  <si>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</si>
  <si>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</si>
  <si>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</si>
  <si>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</si>
  <si>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</si>
  <si>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</si>
  <si>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</si>
  <si>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</si>
  <si>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</si>
  <si>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</si>
  <si>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</si>
  <si>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</si>
  <si>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</si>
  <si>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</si>
  <si>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</si>
  <si>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</si>
  <si>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</si>
  <si>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</si>
  <si>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</si>
  <si>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</si>
  <si>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</si>
  <si>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</si>
  <si>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</si>
  <si>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</si>
  <si>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</si>
  <si>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</si>
  <si>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</si>
  <si>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</si>
  <si>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</si>
  <si>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</si>
  <si>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</si>
  <si>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</si>
  <si>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</si>
  <si>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</si>
  <si>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</si>
  <si>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</si>
  <si>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</si>
  <si>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</si>
  <si>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</si>
  <si>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</si>
  <si>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</si>
  <si>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</si>
  <si>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</si>
  <si>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</si>
  <si>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</si>
  <si>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</si>
  <si>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</si>
  <si>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</si>
  <si>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</si>
  <si>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</si>
  <si>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</si>
  <si>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</si>
  <si>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</si>
  <si>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</si>
  <si>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</si>
  <si>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</si>
  <si>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</si>
  <si>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</si>
  <si>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</si>
  <si>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</si>
  <si>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</si>
  <si>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</si>
  <si>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</si>
  <si>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</si>
  <si>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</si>
  <si>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</si>
  <si>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</si>
  <si>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</si>
  <si>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</si>
  <si>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</si>
  <si>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</si>
  <si>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</si>
  <si>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</si>
  <si>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</si>
  <si>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</si>
  <si>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</si>
  <si>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</si>
  <si>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</si>
  <si>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</si>
  <si>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</si>
  <si>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</si>
  <si>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</si>
  <si>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</si>
  <si>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</si>
  <si>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</si>
  <si>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</si>
  <si>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</si>
  <si>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</si>
  <si>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</si>
  <si>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</si>
  <si>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</si>
  <si>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</si>
  <si>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</si>
  <si>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</si>
  <si>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</si>
  <si>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</si>
  <si>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</si>
  <si>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</si>
  <si>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</si>
  <si>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</si>
  <si>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</si>
  <si>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</si>
  <si>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</si>
  <si>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</si>
  <si>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</si>
  <si>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</si>
  <si>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</si>
  <si>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</si>
  <si>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</si>
  <si>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</si>
  <si>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</si>
  <si>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</si>
  <si>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</si>
  <si>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</si>
  <si>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</si>
  <si>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</si>
  <si>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</si>
  <si>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</si>
  <si>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</si>
  <si>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</si>
  <si>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</si>
  <si>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</si>
  <si>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</si>
  <si>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</si>
  <si>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</si>
  <si>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</si>
  <si>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</si>
  <si>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</si>
  <si>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</si>
  <si>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</si>
  <si>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</si>
  <si>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</si>
  <si>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</si>
  <si>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</si>
  <si>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</si>
  <si>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</si>
  <si>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</si>
  <si>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</si>
  <si>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</si>
  <si>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</si>
  <si>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</si>
  <si>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</si>
  <si>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</si>
  <si>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</si>
  <si>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</si>
  <si>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</si>
  <si>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</si>
  <si>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</si>
  <si>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</si>
  <si>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</si>
  <si>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</si>
  <si>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</si>
  <si>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</si>
  <si>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</si>
  <si>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</si>
  <si>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</si>
  <si>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</si>
  <si>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</si>
  <si>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</si>
  <si>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</si>
  <si>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</si>
  <si>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</si>
  <si>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</si>
  <si>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</si>
  <si>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</si>
  <si>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</si>
  <si>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</si>
  <si>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</si>
  <si>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</si>
  <si>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</si>
  <si>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</si>
  <si>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</si>
  <si>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</si>
  <si>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</si>
  <si>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</si>
  <si>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</si>
  <si>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</si>
  <si>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</si>
  <si>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</si>
  <si>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</si>
  <si>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</si>
  <si>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</si>
  <si>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</si>
  <si>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</si>
  <si>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</si>
  <si>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</si>
  <si>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</si>
  <si>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</si>
  <si>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</si>
  <si>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</si>
  <si>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</si>
  <si>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</si>
  <si>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</si>
  <si>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</si>
  <si>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</si>
  <si>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</si>
  <si>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</si>
  <si>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</si>
  <si>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</si>
  <si>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</si>
  <si>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</si>
  <si>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</si>
  <si>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</si>
  <si>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</si>
  <si>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</si>
  <si>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</si>
  <si>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</si>
  <si>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</si>
  <si>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</si>
  <si>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</si>
  <si>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</si>
  <si>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</si>
  <si>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</si>
  <si>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</si>
  <si>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</si>
  <si>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</si>
  <si>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</si>
  <si>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</si>
  <si>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</si>
  <si>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</si>
  <si>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</si>
  <si>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</si>
  <si>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</si>
  <si>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</si>
  <si>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</si>
  <si>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</si>
  <si>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</si>
  <si>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</si>
  <si>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</si>
  <si>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</si>
  <si>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</si>
  <si>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</si>
  <si>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</si>
  <si>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</si>
  <si>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</si>
  <si>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</si>
  <si>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</si>
  <si>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</si>
  <si>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</si>
  <si>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</si>
  <si>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</si>
  <si>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</si>
  <si>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</si>
  <si>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</si>
  <si>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</si>
  <si>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</si>
  <si>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</si>
  <si>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</si>
  <si>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</si>
  <si>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</si>
  <si>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</si>
  <si>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</si>
  <si>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</si>
  <si>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</si>
  <si>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</si>
  <si>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</si>
  <si>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</si>
  <si>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</si>
  <si>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</si>
  <si>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</si>
  <si>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</si>
  <si>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</si>
  <si>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</si>
  <si>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</si>
  <si>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</si>
  <si>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</si>
  <si>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</si>
  <si>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</si>
  <si>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</si>
  <si>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</si>
  <si>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</si>
  <si>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</si>
  <si>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</si>
  <si>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</si>
  <si>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</si>
  <si>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</si>
  <si>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</si>
  <si>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</si>
  <si>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</si>
  <si>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</si>
  <si>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</si>
  <si>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</si>
  <si>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</si>
  <si>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</si>
  <si>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</si>
  <si>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</si>
  <si>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</si>
  <si>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</si>
  <si>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</si>
  <si>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</si>
  <si>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</si>
  <si>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</si>
  <si>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</si>
  <si>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</si>
  <si>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</si>
  <si>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</si>
  <si>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</si>
  <si>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</si>
  <si>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</si>
  <si>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</si>
  <si>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</si>
  <si>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</si>
  <si>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</si>
  <si>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</si>
  <si>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</si>
  <si>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</si>
  <si>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</si>
  <si>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</si>
  <si>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</si>
  <si>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</si>
  <si>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</si>
  <si>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</si>
  <si>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</si>
  <si>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</si>
  <si>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</si>
  <si>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</si>
  <si>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</si>
  <si>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</si>
  <si>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</si>
  <si>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</si>
  <si>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</si>
  <si>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</si>
  <si>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</si>
  <si>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</si>
  <si>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</si>
  <si>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</si>
  <si>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</si>
  <si>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</si>
  <si>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</si>
  <si>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</si>
  <si>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</si>
  <si>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</si>
  <si>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</si>
  <si>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</si>
  <si>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</si>
  <si>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</si>
  <si>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</si>
  <si>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</si>
  <si>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</si>
  <si>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Bản in cao su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</si>
  <si>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</si>
  <si>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</si>
  <si>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</si>
  <si>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</si>
  <si>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</si>
  <si>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</si>
  <si>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</si>
  <si>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</si>
  <si>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</si>
  <si>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</si>
  <si>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</si>
  <si>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</si>
  <si>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</si>
  <si>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</si>
  <si>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</si>
  <si>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</si>
  <si>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</si>
  <si>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</si>
  <si>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</si>
  <si>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</si>
  <si>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</si>
  <si>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</si>
  <si>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</si>
  <si>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</si>
  <si>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</si>
  <si>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</si>
  <si>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</si>
  <si>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</si>
  <si>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</si>
  <si>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</si>
  <si>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</si>
  <si>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</si>
  <si>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</si>
  <si>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</si>
  <si>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</si>
  <si>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</si>
  <si>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</si>
  <si>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</si>
  <si>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</si>
  <si>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</si>
  <si>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</si>
  <si>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</si>
  <si>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</si>
  <si>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</si>
  <si>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</si>
  <si>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</si>
  <si>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</si>
  <si>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</si>
  <si>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</si>
  <si>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</si>
  <si>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</si>
  <si>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</si>
  <si>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</si>
  <si>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</si>
  <si>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</si>
  <si>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</si>
  <si>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</si>
  <si>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</si>
  <si>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</si>
  <si>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</si>
  <si>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</si>
  <si>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</si>
  <si>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</si>
  <si>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</si>
  <si>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</si>
  <si>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</si>
  <si>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</si>
  <si>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</si>
  <si>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</si>
  <si>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</si>
  <si>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</si>
  <si>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</si>
  <si>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</si>
  <si>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</si>
  <si>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</si>
  <si>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</si>
  <si>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</si>
  <si>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</si>
  <si>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</si>
  <si>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</si>
  <si>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</si>
  <si>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</si>
  <si>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</si>
  <si>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</si>
  <si>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</si>
  <si>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</si>
  <si>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</si>
  <si>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</si>
  <si>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</si>
  <si>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</si>
  <si>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</si>
  <si>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</si>
  <si>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</si>
  <si>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</si>
  <si>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</si>
  <si>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</si>
  <si>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</si>
  <si>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</si>
  <si>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</si>
  <si>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</si>
  <si>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</si>
  <si>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</si>
  <si>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</si>
  <si>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</si>
  <si>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</si>
  <si>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</si>
  <si>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</si>
  <si>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</si>
  <si>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</si>
  <si>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</si>
  <si>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</si>
  <si>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</si>
  <si>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</si>
  <si>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</si>
  <si>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</si>
  <si>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</si>
  <si>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</si>
  <si>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</si>
  <si>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</si>
  <si>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</si>
  <si>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</si>
  <si>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</si>
  <si>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</si>
  <si>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</si>
  <si>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</si>
  <si>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</si>
  <si>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</si>
  <si>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</si>
  <si>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</si>
  <si>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</si>
  <si>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</si>
  <si>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</si>
  <si>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</si>
  <si>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</si>
  <si>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</si>
  <si>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</si>
  <si>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</si>
  <si>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</si>
  <si>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</si>
  <si>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</si>
  <si>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</si>
  <si>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</si>
  <si>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</si>
  <si>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</si>
  <si>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</si>
  <si>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</si>
  <si>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</si>
  <si>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</si>
  <si>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</si>
  <si>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</si>
  <si>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</si>
  <si>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</si>
  <si>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</si>
  <si>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</si>
  <si>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</si>
  <si>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</si>
  <si>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</si>
  <si>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</si>
  <si>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</si>
  <si>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</si>
  <si>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</si>
  <si>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</si>
  <si>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</si>
  <si>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</si>
  <si>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</si>
  <si>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</si>
  <si>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</si>
  <si>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</si>
  <si>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</si>
  <si>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</si>
  <si>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</si>
  <si>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</si>
  <si>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</si>
  <si>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</si>
  <si>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</si>
  <si>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</si>
  <si>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</si>
  <si>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</si>
  <si>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</si>
  <si>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</si>
  <si>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</si>
  <si>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</si>
  <si>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</si>
  <si>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</si>
  <si>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</si>
  <si>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</si>
  <si>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</si>
  <si>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</si>
  <si>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</si>
  <si>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</si>
  <si>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</si>
  <si>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</si>
  <si>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</si>
  <si>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</si>
  <si>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</si>
  <si>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</si>
  <si>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</si>
  <si>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</si>
  <si>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</si>
  <si>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</si>
  <si>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</si>
  <si>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</si>
  <si>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</si>
  <si>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</si>
  <si>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</si>
  <si>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</si>
  <si>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</si>
  <si>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</si>
  <si>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</si>
  <si>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</si>
  <si>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</si>
  <si>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</si>
  <si>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</si>
  <si>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</si>
  <si>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</si>
  <si>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</si>
  <si>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</si>
  <si>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</si>
  <si>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</si>
  <si>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</si>
  <si>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</si>
  <si>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</si>
  <si>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</si>
  <si>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</si>
  <si>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</si>
  <si>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</si>
  <si>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</si>
  <si>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</si>
  <si>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</si>
  <si>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</si>
  <si>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</si>
  <si>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</si>
  <si>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</si>
  <si>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</si>
  <si>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</si>
  <si>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</si>
  <si>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</si>
  <si>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</si>
  <si>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</si>
  <si>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</si>
  <si>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</si>
  <si>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</si>
  <si>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</si>
  <si>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</si>
  <si>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</si>
  <si>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</si>
  <si>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</si>
  <si>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</si>
  <si>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</si>
  <si>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</si>
  <si>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</si>
  <si>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</si>
  <si>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</si>
  <si>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</si>
  <si>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</si>
  <si>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</si>
  <si>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</si>
  <si>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</si>
  <si>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</si>
  <si>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</si>
  <si>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</si>
  <si>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</si>
  <si>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</si>
  <si>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</si>
  <si>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</si>
  <si>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</si>
  <si>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</si>
  <si>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</si>
  <si>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</si>
  <si>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</si>
  <si>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</si>
  <si>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</si>
  <si>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</si>
  <si>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</si>
  <si>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</si>
  <si>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</si>
  <si>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</si>
  <si>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</si>
  <si>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</si>
  <si>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</si>
  <si>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</si>
  <si>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</si>
  <si>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</si>
  <si>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</si>
  <si>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</si>
  <si>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</si>
  <si>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</si>
  <si>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</si>
  <si>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</si>
  <si>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</si>
  <si>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</si>
  <si>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</si>
  <si>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</si>
  <si>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</si>
  <si>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</si>
  <si>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</si>
  <si>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</si>
  <si>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</si>
  <si>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</si>
  <si>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</si>
  <si>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</si>
  <si>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</si>
  <si>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</si>
  <si>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</si>
  <si>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</si>
  <si>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</si>
  <si>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</si>
  <si>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</si>
  <si>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</si>
  <si>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</si>
  <si>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</si>
  <si>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</si>
  <si>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</si>
  <si>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</si>
  <si>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</si>
  <si>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</si>
  <si>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</si>
  <si>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</si>
  <si>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</si>
  <si>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</si>
  <si>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</si>
  <si>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</si>
  <si>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</si>
  <si>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</si>
  <si>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</si>
  <si>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</si>
  <si>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</si>
  <si>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</si>
  <si>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</si>
  <si>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</si>
  <si>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</si>
  <si>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</si>
  <si>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</si>
  <si>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</si>
  <si>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</si>
  <si>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</si>
  <si>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</si>
  <si>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</si>
  <si>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</si>
  <si>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</si>
  <si>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</si>
  <si>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</si>
  <si>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</si>
  <si>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</si>
  <si>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</si>
  <si>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</si>
  <si>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</si>
  <si>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</si>
  <si>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</si>
  <si>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</si>
  <si>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</si>
  <si>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</si>
  <si>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</si>
  <si>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</si>
  <si>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</si>
  <si>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</si>
  <si>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</si>
  <si>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</si>
  <si>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</si>
  <si>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</si>
  <si>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</si>
  <si>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</si>
  <si>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</si>
  <si>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</si>
  <si>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</si>
  <si>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</si>
  <si>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</si>
  <si>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</si>
  <si>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</si>
  <si>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</si>
  <si>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</si>
  <si>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</si>
  <si>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</si>
  <si>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</si>
  <si>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</si>
  <si>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</si>
  <si>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</si>
  <si>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</si>
  <si>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</si>
  <si>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</si>
  <si>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</si>
  <si>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</si>
  <si>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</si>
  <si>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</si>
  <si>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</si>
  <si>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</si>
  <si>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</si>
  <si>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</si>
  <si>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</si>
  <si>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</si>
  <si>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</si>
  <si>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</si>
  <si>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</si>
  <si>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</si>
  <si>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</si>
  <si>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</si>
  <si>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</si>
  <si>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</si>
  <si>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</si>
  <si>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</si>
  <si>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</si>
  <si>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</si>
  <si>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</si>
  <si>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</si>
  <si>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</si>
  <si>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</si>
  <si>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</si>
  <si>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</si>
  <si>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</si>
  <si>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</si>
  <si>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</si>
  <si>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</si>
  <si>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</si>
  <si>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</si>
  <si>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</si>
  <si>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</si>
  <si>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</si>
  <si>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</si>
  <si>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</si>
  <si>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</si>
  <si>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</si>
  <si>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</si>
  <si>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</si>
  <si>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</si>
  <si>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</si>
  <si>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</si>
  <si>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</si>
  <si>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</si>
  <si>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</si>
  <si>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</si>
  <si>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</si>
  <si>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</si>
  <si>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</si>
  <si>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</si>
  <si>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</si>
  <si>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</si>
  <si>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</si>
  <si>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</si>
  <si>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</si>
  <si>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</si>
  <si>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</si>
  <si>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</si>
  <si>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</si>
  <si>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</si>
  <si>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</si>
  <si>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</si>
  <si>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</si>
  <si>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</si>
  <si>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</si>
  <si>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</si>
  <si>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</si>
  <si>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</si>
  <si>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</si>
  <si>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</si>
  <si>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</si>
  <si>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</si>
  <si>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</si>
  <si>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</si>
  <si>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</si>
  <si>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</si>
  <si>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</si>
  <si>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</si>
  <si>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</si>
  <si>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</si>
  <si>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</si>
  <si>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</si>
  <si>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</si>
  <si>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</si>
  <si>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</si>
  <si>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</si>
  <si>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</si>
  <si>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</si>
  <si>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</si>
  <si>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</si>
  <si>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</si>
  <si>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</si>
  <si>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</si>
  <si>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</si>
  <si>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</si>
  <si>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</si>
  <si>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</si>
  <si>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</si>
  <si>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</si>
  <si>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</si>
  <si>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</si>
  <si>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</si>
  <si>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</si>
  <si>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</si>
  <si>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</si>
  <si>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</si>
  <si>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</si>
  <si>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</si>
  <si>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</si>
  <si>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</si>
  <si>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</si>
  <si>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</si>
  <si>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</si>
  <si>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</si>
  <si>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</si>
  <si>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</si>
  <si>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</si>
  <si>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</si>
  <si>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</si>
  <si>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</si>
  <si>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</si>
  <si>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</si>
  <si>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</si>
  <si>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</si>
  <si>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</si>
  <si>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</si>
  <si>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</si>
  <si>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</si>
  <si>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</si>
  <si>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</si>
  <si>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</si>
  <si>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</si>
  <si>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</si>
  <si>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</si>
  <si>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</si>
  <si>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</si>
  <si>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</si>
  <si>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</si>
  <si>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</si>
  <si>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</si>
  <si>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</si>
  <si>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</si>
  <si>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</si>
  <si>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</si>
  <si>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</si>
  <si>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</si>
  <si>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</si>
  <si>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</si>
  <si>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</si>
  <si>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</si>
  <si>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</si>
  <si>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</si>
  <si>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</si>
  <si>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</si>
  <si>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</si>
  <si>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</si>
  <si>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</si>
  <si>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</si>
  <si>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</si>
  <si>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</si>
  <si>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</si>
  <si>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</si>
  <si>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</si>
  <si>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</si>
  <si>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</si>
  <si>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</si>
  <si>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</si>
  <si>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</si>
  <si>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</si>
  <si>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</si>
  <si>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</si>
  <si>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</si>
  <si>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</si>
  <si>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</si>
  <si>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</si>
  <si>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</si>
  <si>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</si>
  <si>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</si>
  <si>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</si>
  <si>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</si>
  <si>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</si>
  <si>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</si>
  <si>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</si>
  <si>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</si>
  <si>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</si>
  <si>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</si>
  <si>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</si>
  <si>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</si>
  <si>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</si>
  <si>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</si>
  <si>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</si>
  <si>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</si>
  <si>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</si>
  <si>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</si>
  <si>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</si>
  <si>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</si>
  <si>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</si>
  <si>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</si>
  <si>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</si>
  <si>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</si>
  <si>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</si>
  <si>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</si>
  <si>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</si>
  <si>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</si>
  <si>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</si>
  <si>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</si>
  <si>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</si>
  <si>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</si>
  <si>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</si>
  <si>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</si>
  <si>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</si>
  <si>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</si>
  <si>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</si>
  <si>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</si>
  <si>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</si>
  <si>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</si>
  <si>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</si>
  <si>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</si>
  <si>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</si>
  <si>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</si>
  <si>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</si>
  <si>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</si>
  <si>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</si>
  <si>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</si>
  <si>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</si>
  <si>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</si>
  <si>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</si>
  <si>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</si>
  <si>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</si>
  <si>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</si>
  <si>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</si>
  <si>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</si>
  <si>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</si>
  <si>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</si>
  <si>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</si>
  <si>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</si>
  <si>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</si>
  <si>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</si>
  <si>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</si>
  <si>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</si>
  <si>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</si>
  <si>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</si>
  <si>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</si>
  <si>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</si>
  <si>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</si>
  <si>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</si>
  <si>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</si>
  <si>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</si>
  <si>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</si>
  <si>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</si>
  <si>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</si>
  <si>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</si>
  <si>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</si>
  <si>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</si>
  <si>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</si>
  <si>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</si>
  <si>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</si>
  <si>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</si>
  <si>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</si>
  <si>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</si>
  <si>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</si>
  <si>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</si>
  <si>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</si>
  <si>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</si>
  <si>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</si>
  <si>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</si>
  <si>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</si>
  <si>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</si>
  <si>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</si>
  <si>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</si>
  <si>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</si>
  <si>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</si>
  <si>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</si>
  <si>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</si>
  <si>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</si>
  <si>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</si>
  <si>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</si>
  <si>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</si>
  <si>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</si>
  <si>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</si>
  <si>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</si>
  <si>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</si>
  <si>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</si>
  <si>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</si>
  <si>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</si>
  <si>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</si>
  <si>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</si>
  <si>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</si>
  <si>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</si>
  <si>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</si>
  <si>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</si>
  <si>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</si>
  <si>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</si>
  <si>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</si>
  <si>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</si>
  <si>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</si>
  <si>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</si>
  <si>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</si>
  <si>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</si>
  <si>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</si>
  <si>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</si>
  <si>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</si>
  <si>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</si>
  <si>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</si>
  <si>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</si>
  <si>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</si>
  <si>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</si>
  <si>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</si>
  <si>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</si>
  <si>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</si>
  <si>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</si>
  <si>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</si>
  <si>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</si>
  <si>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</si>
  <si>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</si>
  <si>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</si>
  <si>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</si>
  <si>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</si>
  <si>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</si>
  <si>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</si>
  <si>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</si>
  <si>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</si>
  <si>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</si>
  <si>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</si>
  <si>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</si>
  <si>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</si>
  <si>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</si>
  <si>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</si>
  <si>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</si>
  <si>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</si>
  <si>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</si>
  <si>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</si>
  <si>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</si>
  <si>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</si>
  <si>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</si>
  <si>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</si>
  <si>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</si>
  <si>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</si>
  <si>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</si>
  <si>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</si>
  <si>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</si>
  <si>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</si>
  <si>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</si>
  <si>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</si>
  <si>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</si>
  <si>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</si>
  <si>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</si>
  <si>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</si>
  <si>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</si>
  <si>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</si>
  <si>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</si>
  <si>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</si>
  <si>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</si>
  <si>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</si>
  <si>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</si>
  <si>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</si>
  <si>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</si>
  <si>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</si>
  <si>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</si>
  <si>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</si>
  <si>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</si>
  <si>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</si>
  <si>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</si>
  <si>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</si>
  <si>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</si>
  <si>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</si>
  <si>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</si>
  <si>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</si>
  <si>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</si>
  <si>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</si>
  <si>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</si>
  <si>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</si>
  <si>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</si>
  <si>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</si>
  <si>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</si>
  <si>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</si>
  <si>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</si>
  <si>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</si>
  <si>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</si>
  <si>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</si>
  <si>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</si>
  <si>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</si>
  <si>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</si>
  <si>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</si>
  <si>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</si>
  <si>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</si>
  <si>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</si>
  <si>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</si>
  <si>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</si>
  <si>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</si>
  <si>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</si>
  <si>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</si>
  <si>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</si>
  <si>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</si>
  <si>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</si>
  <si>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</si>
  <si>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</si>
  <si>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</si>
  <si>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</si>
  <si>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</si>
  <si>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</si>
  <si>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</si>
  <si>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</si>
  <si>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</si>
  <si>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</si>
  <si>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</si>
  <si>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</si>
  <si>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</si>
  <si>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</si>
  <si>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</si>
  <si>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</si>
  <si>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</si>
  <si>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</si>
  <si>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</si>
  <si>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</si>
  <si>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</si>
  <si>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</si>
  <si>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</si>
  <si>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</si>
  <si>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</si>
  <si>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</si>
  <si>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</si>
  <si>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</si>
  <si>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</si>
  <si>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</si>
  <si>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</si>
  <si>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</si>
  <si>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</si>
  <si>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</si>
  <si>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</si>
  <si>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</si>
  <si>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</si>
  <si>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</si>
  <si>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</si>
  <si>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</si>
  <si>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</si>
  <si>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</si>
  <si>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</si>
  <si>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</si>
  <si>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</si>
  <si>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</si>
  <si>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</si>
  <si>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</si>
  <si>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</si>
  <si>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</si>
  <si>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</si>
  <si>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</si>
  <si>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</si>
  <si>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</si>
  <si>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</si>
  <si>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</si>
  <si>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</si>
  <si>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</si>
  <si>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</si>
  <si>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</si>
  <si>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</si>
  <si>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</si>
  <si>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</si>
  <si>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</si>
  <si>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</si>
  <si>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</si>
  <si>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</si>
  <si>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</si>
  <si>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</si>
  <si>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</si>
  <si>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</si>
  <si>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</si>
  <si>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</si>
  <si>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</si>
  <si>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</si>
  <si>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</si>
  <si>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</si>
  <si>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</si>
  <si>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</si>
  <si>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</si>
  <si>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</si>
  <si>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</si>
  <si>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</si>
  <si>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</si>
  <si>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</si>
  <si>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</si>
  <si>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</si>
  <si>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</si>
  <si>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</si>
  <si>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</si>
  <si>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</si>
  <si>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</si>
  <si>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</si>
  <si>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</si>
  <si>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</si>
  <si>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</si>
  <si>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</si>
  <si>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</si>
  <si>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</si>
  <si>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</si>
  <si>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</si>
  <si>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</si>
  <si>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</si>
  <si>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</si>
  <si>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</si>
  <si>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</si>
  <si>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</si>
  <si>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</si>
  <si>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</si>
  <si>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</si>
  <si>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</si>
  <si>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</si>
  <si>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</si>
  <si>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</si>
  <si>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</si>
  <si>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</si>
  <si>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</si>
  <si>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</si>
  <si>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</si>
  <si>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</si>
  <si>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</si>
  <si>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</si>
  <si>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</si>
  <si>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</si>
  <si>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</si>
  <si>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</si>
  <si>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</si>
  <si>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</si>
  <si>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</si>
  <si>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</si>
  <si>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</si>
  <si>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</si>
  <si>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</si>
  <si>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</si>
  <si>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</si>
  <si>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</si>
  <si>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</si>
  <si>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</si>
  <si>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</si>
  <si>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</si>
  <si>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</si>
  <si>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</si>
  <si>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</si>
  <si>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</si>
  <si>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</si>
  <si>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</si>
  <si>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</si>
  <si>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</si>
  <si>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</si>
  <si>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</si>
  <si>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</si>
  <si>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</si>
  <si>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</si>
  <si>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</si>
  <si>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</si>
  <si>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</si>
  <si>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</si>
  <si>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</si>
  <si>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</si>
  <si>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</si>
  <si>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</si>
  <si>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</si>
  <si>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</si>
  <si>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</si>
  <si>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</si>
  <si>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</si>
  <si>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</si>
  <si>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</si>
  <si>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</si>
  <si>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</si>
  <si>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</si>
  <si>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</si>
  <si>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</si>
  <si>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</si>
  <si>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</si>
  <si>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</si>
  <si>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</si>
  <si>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</si>
  <si>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</si>
  <si>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</si>
  <si>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Trương Quang Nghĩa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</si>
  <si>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</si>
  <si>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</si>
  <si>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</si>
  <si>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</si>
  <si>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</si>
  <si>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</si>
  <si>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</si>
  <si>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</si>
  <si>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</si>
  <si>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</si>
  <si>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</si>
  <si>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</si>
  <si>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</si>
  <si>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</si>
  <si>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</si>
  <si>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</si>
  <si>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</si>
  <si>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06/2014</t>
  </si>
  <si>
    <t>Năm 2014</t>
  </si>
  <si>
    <t>Ngày mở sổ: 01/01/2014</t>
  </si>
  <si>
    <t>Ngày 31 tháng 12 Năm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</si>
</sst>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2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6" fillId="0" borderId="0" xfId="52" applyFont="1" applyAlignment="1">
      <alignment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52" applyFont="1" applyBorder="1" applyAlignment="1">
      <alignment horizontal="left" vertical="center"/>
    </xf>
    <xf numFmtId="0" fontId="96" fillId="0" borderId="16" xfId="52" quotePrefix="1" applyFont="1" applyBorder="1" applyAlignment="1">
      <alignment horizontal="center" vertical="center"/>
    </xf>
    <xf numFmtId="0" fontId="96" fillId="0" borderId="16" xfId="52" applyFont="1" applyBorder="1" applyAlignment="1">
      <alignment vertical="center"/>
    </xf>
    <xf numFmtId="164" fontId="96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2519981614</v>
          </cell>
        </row>
        <row r="51">
          <cell r="E51">
            <v>249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61659400</v>
          </cell>
        </row>
        <row r="52">
          <cell r="E5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6" activePane="bottomLeft" state="frozen"/>
      <selection activeCell="A6" sqref="A6"/>
      <selection pane="bottomLeft" activeCell="C60" sqref="C60:H60"/>
    </sheetView>
  </sheetViews>
  <sheetFormatPr defaultColWidth="8" defaultRowHeight="12.75"/>
  <cols>
    <col min="1" max="1" width="5.7109375" style="603" customWidth="1"/>
    <col min="2" max="2" width="36.85546875" style="603" customWidth="1"/>
    <col min="3" max="4" width="12.140625" style="162" customWidth="1"/>
    <col min="5" max="6" width="14.7109375" style="603" customWidth="1"/>
    <col min="7" max="8" width="13.85546875" style="603" customWidth="1"/>
    <col min="9" max="9" width="2.42578125" style="603" customWidth="1"/>
    <col min="10" max="10" width="11" style="603" customWidth="1"/>
    <col min="11" max="11" width="2.85546875" style="603" customWidth="1"/>
    <col min="12" max="12" width="11.85546875" style="603" customWidth="1"/>
    <col min="13" max="13" width="9.85546875" style="603" bestFit="1" customWidth="1"/>
    <col min="14" max="16384" width="8" style="603"/>
  </cols>
  <sheetData>
    <row r="1" spans="1:16">
      <c r="A1" s="602"/>
      <c r="B1" s="602"/>
    </row>
    <row r="2" spans="1:16">
      <c r="A2" s="602" t="str">
        <f>TH!A1</f>
        <v>Đơn vị: CÔNG TY TNHH SX TM KIM DUNG PHÁT</v>
      </c>
      <c r="B2" s="602"/>
    </row>
    <row r="3" spans="1:16">
      <c r="A3" s="603" t="str">
        <f>TH!A2</f>
        <v>Địa chỉ: 1A227/1 Ấp 1, Phạm Văn Hai, Bình Chánh, TPHCM</v>
      </c>
      <c r="B3" s="602"/>
    </row>
    <row r="5" spans="1:16" ht="36" customHeight="1">
      <c r="A5" s="604"/>
      <c r="B5" s="604"/>
      <c r="C5" s="605"/>
      <c r="D5" s="606" t="s">
        <v>347</v>
      </c>
      <c r="E5" s="604"/>
      <c r="F5" s="604"/>
      <c r="G5" s="604"/>
      <c r="H5" s="604"/>
    </row>
    <row r="6" spans="1:16" ht="15.75">
      <c r="A6" s="604"/>
      <c r="B6" s="604"/>
      <c r="C6" s="605"/>
      <c r="D6" s="627" t="s">
        <v>422</v>
      </c>
      <c r="E6" s="604"/>
      <c r="F6" s="604"/>
      <c r="G6" s="604"/>
      <c r="H6" s="604"/>
    </row>
    <row r="7" spans="1:16" ht="6.75" customHeight="1"/>
    <row r="8" spans="1:16" ht="21.75" customHeight="1">
      <c r="A8" s="919" t="s">
        <v>418</v>
      </c>
      <c r="B8" s="919" t="s">
        <v>345</v>
      </c>
      <c r="C8" s="915" t="s">
        <v>37</v>
      </c>
      <c r="D8" s="916"/>
      <c r="E8" s="915" t="s">
        <v>38</v>
      </c>
      <c r="F8" s="916"/>
      <c r="G8" s="915" t="s">
        <v>346</v>
      </c>
      <c r="H8" s="916"/>
    </row>
    <row r="9" spans="1:16" ht="21.75" customHeight="1">
      <c r="A9" s="920"/>
      <c r="B9" s="920"/>
      <c r="C9" s="601" t="s">
        <v>42</v>
      </c>
      <c r="D9" s="601" t="s">
        <v>43</v>
      </c>
      <c r="E9" s="601" t="s">
        <v>42</v>
      </c>
      <c r="F9" s="601" t="s">
        <v>43</v>
      </c>
      <c r="G9" s="601" t="s">
        <v>42</v>
      </c>
      <c r="H9" s="601" t="s">
        <v>43</v>
      </c>
      <c r="L9" s="866" t="s">
        <v>1280</v>
      </c>
    </row>
    <row r="10" spans="1:16" s="162" customFormat="1" ht="17.25" customHeight="1">
      <c r="A10" s="607" t="s">
        <v>47</v>
      </c>
      <c r="B10" s="608" t="s">
        <v>48</v>
      </c>
      <c r="C10" s="609"/>
      <c r="D10" s="609"/>
      <c r="E10" s="609">
        <f t="array" ref="E10">SUM(IF(A10=KHN,TH))</f>
        <v>2322560000</v>
      </c>
      <c r="F10" s="609">
        <f t="array" ref="F10">SUM(IF(A10=KHC,TH))</f>
        <v>692995850</v>
      </c>
      <c r="G10" s="610">
        <f>MAX(C10+E10-D10-F10,0)</f>
        <v>1629564150</v>
      </c>
      <c r="H10" s="610">
        <f>MAX(D10+F10-E10-C10,0)</f>
        <v>0</v>
      </c>
      <c r="J10" s="603"/>
      <c r="K10" s="603"/>
      <c r="L10" s="603"/>
      <c r="M10" s="603"/>
      <c r="N10" s="603"/>
      <c r="O10" s="603"/>
      <c r="P10" s="603"/>
    </row>
    <row r="11" spans="1:16" s="162" customFormat="1" ht="17.25" customHeight="1">
      <c r="A11" s="612" t="s">
        <v>16</v>
      </c>
      <c r="B11" s="612" t="s">
        <v>49</v>
      </c>
      <c r="C11" s="613">
        <f t="shared" ref="C11:H11" si="0">C10</f>
        <v>0</v>
      </c>
      <c r="D11" s="613">
        <f t="shared" si="0"/>
        <v>0</v>
      </c>
      <c r="E11" s="613">
        <f t="shared" si="0"/>
        <v>2322560000</v>
      </c>
      <c r="F11" s="613">
        <f t="shared" si="0"/>
        <v>692995850</v>
      </c>
      <c r="G11" s="613">
        <f t="shared" si="0"/>
        <v>1629564150</v>
      </c>
      <c r="H11" s="613">
        <f t="shared" si="0"/>
        <v>0</v>
      </c>
      <c r="J11" s="603"/>
      <c r="K11" s="603"/>
      <c r="L11" s="603"/>
      <c r="M11" s="603"/>
      <c r="N11" s="603"/>
      <c r="O11" s="603"/>
      <c r="P11" s="603"/>
    </row>
    <row r="12" spans="1:16" s="162" customFormat="1" ht="17.25" customHeight="1">
      <c r="A12" s="608" t="s">
        <v>24</v>
      </c>
      <c r="B12" s="608" t="s">
        <v>50</v>
      </c>
      <c r="C12" s="609">
        <v>112835</v>
      </c>
      <c r="D12" s="609">
        <v>0</v>
      </c>
      <c r="E12" s="609">
        <f t="array" ref="E12">SUM(IF(A12=KHN,TH))</f>
        <v>2488898390</v>
      </c>
      <c r="F12" s="609">
        <f t="array" ref="F12">SUM(IF(A12=KHC,TH))</f>
        <v>2467542051</v>
      </c>
      <c r="G12" s="610">
        <f>MAX(C12+E12-D12-F12,0)</f>
        <v>21469174</v>
      </c>
      <c r="H12" s="610">
        <f>MAX(D12+F12-E12-C12,0)</f>
        <v>0</v>
      </c>
      <c r="K12" s="611"/>
      <c r="L12" s="611"/>
      <c r="M12" s="611"/>
    </row>
    <row r="13" spans="1:16" s="162" customFormat="1" ht="17.25" customHeight="1">
      <c r="A13" s="612" t="s">
        <v>51</v>
      </c>
      <c r="B13" s="612" t="s">
        <v>52</v>
      </c>
      <c r="C13" s="613">
        <f t="shared" ref="C13:H13" si="1">C12</f>
        <v>112835</v>
      </c>
      <c r="D13" s="613">
        <f t="shared" si="1"/>
        <v>0</v>
      </c>
      <c r="E13" s="613">
        <f t="shared" si="1"/>
        <v>2488898390</v>
      </c>
      <c r="F13" s="613">
        <f t="shared" si="1"/>
        <v>2467542051</v>
      </c>
      <c r="G13" s="613">
        <f t="shared" si="1"/>
        <v>21469174</v>
      </c>
      <c r="H13" s="613">
        <f t="shared" si="1"/>
        <v>0</v>
      </c>
    </row>
    <row r="14" spans="1:16" s="162" customFormat="1" ht="17.25" customHeight="1">
      <c r="A14" s="612" t="s">
        <v>253</v>
      </c>
      <c r="B14" s="612" t="s">
        <v>265</v>
      </c>
      <c r="C14" s="613"/>
      <c r="D14" s="613"/>
      <c r="E14" s="614">
        <f t="array" ref="E14">SUM(IF(A14=KHN,TH))</f>
        <v>2498749784</v>
      </c>
      <c r="F14" s="614">
        <f t="array" ref="F14">SUM(IF(A14=KHC,TH))</f>
        <v>1434409188</v>
      </c>
      <c r="G14" s="613">
        <f>MAX(C14+E14-D14-F14,0)</f>
        <v>1064340596</v>
      </c>
      <c r="H14" s="613">
        <f>MAX(D14+F14-E14-C14,0)</f>
        <v>0</v>
      </c>
    </row>
    <row r="15" spans="1:16" s="162" customFormat="1" ht="17.25" customHeight="1">
      <c r="A15" s="608" t="s">
        <v>9</v>
      </c>
      <c r="B15" s="608" t="s">
        <v>53</v>
      </c>
      <c r="C15" s="609"/>
      <c r="D15" s="609"/>
      <c r="E15" s="609">
        <f t="array" ref="E15">SUM(IF(A15=KHN,TH))</f>
        <v>260812311</v>
      </c>
      <c r="F15" s="609">
        <f t="array" ref="F15">SUM(IF(A15=KHC,TH))</f>
        <v>227135181</v>
      </c>
      <c r="G15" s="610">
        <f>MAX(C15+E15-D15-F15,0)</f>
        <v>33677130</v>
      </c>
      <c r="H15" s="610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2" t="s">
        <v>54</v>
      </c>
      <c r="B16" s="612" t="s">
        <v>55</v>
      </c>
      <c r="C16" s="613">
        <f t="shared" ref="C16:H16" si="2">C15</f>
        <v>0</v>
      </c>
      <c r="D16" s="613">
        <f t="shared" si="2"/>
        <v>0</v>
      </c>
      <c r="E16" s="613">
        <f t="shared" si="2"/>
        <v>260812311</v>
      </c>
      <c r="F16" s="613">
        <f t="shared" si="2"/>
        <v>227135181</v>
      </c>
      <c r="G16" s="613">
        <f t="shared" si="2"/>
        <v>33677130</v>
      </c>
      <c r="H16" s="613">
        <f t="shared" si="2"/>
        <v>0</v>
      </c>
    </row>
    <row r="17" spans="1:12" s="162" customFormat="1" ht="17.25" customHeight="1">
      <c r="A17" s="608" t="s">
        <v>56</v>
      </c>
      <c r="B17" s="608" t="s">
        <v>57</v>
      </c>
      <c r="C17" s="609"/>
      <c r="D17" s="609"/>
      <c r="E17" s="609">
        <f t="array" ref="E17">SUM(IF(A17=KHN,TH))</f>
        <v>45000000</v>
      </c>
      <c r="F17" s="609">
        <f t="array" ref="F17">SUM(IF(A17=KHC,TH))</f>
        <v>45000000</v>
      </c>
      <c r="G17" s="610">
        <f t="shared" ref="G17:G34" si="3">MAX(C17+E17-D17-F17,0)</f>
        <v>0</v>
      </c>
      <c r="H17" s="610">
        <f t="shared" ref="H17:H34" si="4">MAX(D17+F17-E17-C17,0)</f>
        <v>0</v>
      </c>
    </row>
    <row r="18" spans="1:12" s="162" customFormat="1" ht="17.25" customHeight="1">
      <c r="A18" s="612" t="s">
        <v>58</v>
      </c>
      <c r="B18" s="612" t="s">
        <v>59</v>
      </c>
      <c r="C18" s="613">
        <f>C17</f>
        <v>0</v>
      </c>
      <c r="D18" s="613">
        <f>D17</f>
        <v>0</v>
      </c>
      <c r="E18" s="613">
        <f>E17</f>
        <v>45000000</v>
      </c>
      <c r="F18" s="613">
        <f>F17</f>
        <v>45000000</v>
      </c>
      <c r="G18" s="613">
        <f t="shared" si="3"/>
        <v>0</v>
      </c>
      <c r="H18" s="613">
        <f t="shared" si="4"/>
        <v>0</v>
      </c>
    </row>
    <row r="19" spans="1:12" s="162" customFormat="1" ht="17.25" customHeight="1">
      <c r="A19" s="618" t="s">
        <v>369</v>
      </c>
      <c r="B19" s="612" t="s">
        <v>370</v>
      </c>
      <c r="C19" s="613"/>
      <c r="D19" s="613">
        <v>0</v>
      </c>
      <c r="E19" s="614">
        <f t="array" ref="E19">SUM(IF(A19=KHN,TH))</f>
        <v>0</v>
      </c>
      <c r="F19" s="614">
        <f t="array" ref="F19">SUM(IF(A19=KHC,TH))</f>
        <v>0</v>
      </c>
      <c r="G19" s="613">
        <f t="shared" si="3"/>
        <v>0</v>
      </c>
      <c r="H19" s="613">
        <f t="shared" si="4"/>
        <v>0</v>
      </c>
    </row>
    <row r="20" spans="1:12" s="162" customFormat="1" ht="17.25" customHeight="1">
      <c r="A20" s="608" t="s">
        <v>159</v>
      </c>
      <c r="B20" s="608" t="s">
        <v>160</v>
      </c>
      <c r="C20" s="609"/>
      <c r="D20" s="609"/>
      <c r="E20" s="609">
        <f t="array" ref="E20">SUM(IF(A20=KHN,TH))</f>
        <v>2267260130</v>
      </c>
      <c r="F20" s="609">
        <f t="array" ref="F20">SUM(IF(A20=KHC,TH))</f>
        <v>0</v>
      </c>
      <c r="G20" s="610">
        <f t="shared" si="3"/>
        <v>2267260130</v>
      </c>
      <c r="H20" s="610">
        <f t="shared" si="4"/>
        <v>0</v>
      </c>
      <c r="L20" s="162">
        <f>[1]CDPS!$E$22+[2]CDPS!$E$22</f>
        <v>2581641014</v>
      </c>
    </row>
    <row r="21" spans="1:12" s="162" customFormat="1" ht="17.25" customHeight="1">
      <c r="A21" s="608" t="s">
        <v>161</v>
      </c>
      <c r="B21" s="608" t="s">
        <v>162</v>
      </c>
      <c r="C21" s="609"/>
      <c r="D21" s="609"/>
      <c r="E21" s="609">
        <f t="array" ref="E21">SUM(IF(A21=KHN,TH))</f>
        <v>215774100</v>
      </c>
      <c r="F21" s="609">
        <f t="array" ref="F21">SUM(IF(A21=KHC,TH))</f>
        <v>0</v>
      </c>
      <c r="G21" s="609">
        <f t="shared" si="3"/>
        <v>215774100</v>
      </c>
      <c r="H21" s="609">
        <f t="shared" si="4"/>
        <v>0</v>
      </c>
    </row>
    <row r="22" spans="1:12" s="162" customFormat="1" ht="17.25" customHeight="1">
      <c r="A22" s="612" t="s">
        <v>163</v>
      </c>
      <c r="B22" s="612" t="s">
        <v>164</v>
      </c>
      <c r="C22" s="613">
        <f>C20+C21</f>
        <v>0</v>
      </c>
      <c r="D22" s="613">
        <f>D20+D21</f>
        <v>0</v>
      </c>
      <c r="E22" s="613">
        <f>E20+E21</f>
        <v>2483034230</v>
      </c>
      <c r="F22" s="613">
        <f>F20+F21</f>
        <v>0</v>
      </c>
      <c r="G22" s="613">
        <f t="shared" si="3"/>
        <v>2483034230</v>
      </c>
      <c r="H22" s="613">
        <f t="shared" si="4"/>
        <v>0</v>
      </c>
    </row>
    <row r="23" spans="1:12" s="162" customFormat="1" ht="17.25" customHeight="1">
      <c r="A23" s="612" t="s">
        <v>165</v>
      </c>
      <c r="B23" s="612" t="s">
        <v>166</v>
      </c>
      <c r="C23" s="613"/>
      <c r="D23" s="613">
        <v>0</v>
      </c>
      <c r="E23" s="614">
        <f t="array" ref="E23">SUM(IF(A23=KHN,TH))</f>
        <v>0</v>
      </c>
      <c r="F23" s="614">
        <f t="array" ref="F23">SUM(IF(A23=KHC,TH))</f>
        <v>0</v>
      </c>
      <c r="G23" s="613">
        <f t="shared" si="3"/>
        <v>0</v>
      </c>
      <c r="H23" s="613">
        <f t="shared" si="4"/>
        <v>0</v>
      </c>
    </row>
    <row r="24" spans="1:12" s="162" customFormat="1" ht="17.25" customHeight="1">
      <c r="A24" s="612" t="s">
        <v>167</v>
      </c>
      <c r="B24" s="612" t="s">
        <v>168</v>
      </c>
      <c r="C24" s="613"/>
      <c r="D24" s="613">
        <v>0</v>
      </c>
      <c r="E24" s="614">
        <f t="array" ref="E24">SUM(IF(A24=KHN,TH))</f>
        <v>61660000</v>
      </c>
      <c r="F24" s="614">
        <f t="array" ref="F24">SUM(IF(A24=KHC,TH))</f>
        <v>0</v>
      </c>
      <c r="G24" s="613">
        <f t="shared" si="3"/>
        <v>61660000</v>
      </c>
      <c r="H24" s="613">
        <f t="shared" si="4"/>
        <v>0</v>
      </c>
    </row>
    <row r="25" spans="1:12" s="162" customFormat="1" ht="17.25" customHeight="1">
      <c r="A25" s="612" t="s">
        <v>169</v>
      </c>
      <c r="B25" s="612" t="s">
        <v>170</v>
      </c>
      <c r="C25" s="613"/>
      <c r="D25" s="613"/>
      <c r="E25" s="614">
        <f t="array" ref="E25">SUM(IF(A25=KHN,TH))</f>
        <v>0</v>
      </c>
      <c r="F25" s="614">
        <f t="array" ref="F25">SUM(IF(A25=KHC,TH))</f>
        <v>0</v>
      </c>
      <c r="G25" s="613">
        <f t="shared" si="3"/>
        <v>0</v>
      </c>
      <c r="H25" s="613">
        <f t="shared" si="4"/>
        <v>0</v>
      </c>
    </row>
    <row r="26" spans="1:12" s="162" customFormat="1" ht="17.25" customHeight="1">
      <c r="A26" s="615" t="s">
        <v>171</v>
      </c>
      <c r="B26" s="616" t="s">
        <v>172</v>
      </c>
      <c r="C26" s="617">
        <v>365000000</v>
      </c>
      <c r="D26" s="617"/>
      <c r="E26" s="609">
        <f t="array" ref="E26">SUM(IF(A26=KHN,TH))</f>
        <v>1000000000</v>
      </c>
      <c r="F26" s="609">
        <f t="array" ref="F26">SUM(IF(A26=KHC,TH))</f>
        <v>0</v>
      </c>
      <c r="G26" s="617">
        <f t="shared" si="3"/>
        <v>1365000000</v>
      </c>
      <c r="H26" s="617">
        <f t="shared" si="4"/>
        <v>0</v>
      </c>
    </row>
    <row r="27" spans="1:12" s="162" customFormat="1" ht="17.25" customHeight="1">
      <c r="A27" s="612" t="s">
        <v>173</v>
      </c>
      <c r="B27" s="612" t="s">
        <v>174</v>
      </c>
      <c r="C27" s="613">
        <f t="shared" ref="C27:H27" si="5">SUM(C26:C26)</f>
        <v>365000000</v>
      </c>
      <c r="D27" s="613">
        <f t="shared" si="5"/>
        <v>0</v>
      </c>
      <c r="E27" s="613">
        <f t="shared" si="5"/>
        <v>1000000000</v>
      </c>
      <c r="F27" s="613">
        <f t="shared" si="5"/>
        <v>0</v>
      </c>
      <c r="G27" s="613">
        <f t="shared" si="5"/>
        <v>1365000000</v>
      </c>
      <c r="H27" s="613">
        <f t="shared" si="5"/>
        <v>0</v>
      </c>
    </row>
    <row r="28" spans="1:12" s="162" customFormat="1" ht="17.25" customHeight="1">
      <c r="A28" s="608" t="s">
        <v>254</v>
      </c>
      <c r="B28" s="608" t="s">
        <v>262</v>
      </c>
      <c r="C28" s="609"/>
      <c r="D28" s="609"/>
      <c r="E28" s="609">
        <f t="array" ref="E28">SUM(IF(A28=KHN,TH))</f>
        <v>0</v>
      </c>
      <c r="F28" s="609">
        <f t="array" ref="F28">SUM(IF(A28=KHC,TH))</f>
        <v>0</v>
      </c>
      <c r="G28" s="609">
        <f>MAX(C28+E28-D28-F28,0)</f>
        <v>0</v>
      </c>
      <c r="H28" s="609">
        <f>MAX(D28+F28-E28-C28,0)</f>
        <v>0</v>
      </c>
    </row>
    <row r="29" spans="1:12" s="162" customFormat="1" ht="17.25" customHeight="1">
      <c r="A29" s="612" t="s">
        <v>263</v>
      </c>
      <c r="B29" s="612" t="s">
        <v>264</v>
      </c>
      <c r="C29" s="613">
        <f>C28</f>
        <v>0</v>
      </c>
      <c r="D29" s="613">
        <f t="shared" ref="D29:H29" si="6">D28</f>
        <v>0</v>
      </c>
      <c r="E29" s="613">
        <f t="shared" si="6"/>
        <v>0</v>
      </c>
      <c r="F29" s="613">
        <f t="shared" si="6"/>
        <v>0</v>
      </c>
      <c r="G29" s="613">
        <f t="shared" si="6"/>
        <v>0</v>
      </c>
      <c r="H29" s="613">
        <f t="shared" si="6"/>
        <v>0</v>
      </c>
    </row>
    <row r="30" spans="1:12" s="162" customFormat="1" ht="17.25" customHeight="1">
      <c r="A30" s="612" t="s">
        <v>8</v>
      </c>
      <c r="B30" s="612" t="s">
        <v>60</v>
      </c>
      <c r="C30" s="613"/>
      <c r="D30" s="613"/>
      <c r="E30" s="614">
        <f t="array" ref="E30">SUM(IF(A30=KHN,TH))</f>
        <v>849758557</v>
      </c>
      <c r="F30" s="614">
        <f t="array" ref="F30">SUM(IF(A30=KHC,TH))</f>
        <v>3607102654</v>
      </c>
      <c r="G30" s="613">
        <f t="shared" si="3"/>
        <v>0</v>
      </c>
      <c r="H30" s="613">
        <f t="shared" si="4"/>
        <v>2757344097</v>
      </c>
    </row>
    <row r="31" spans="1:12" s="162" customFormat="1" ht="17.25" customHeight="1">
      <c r="A31" s="619" t="s">
        <v>367</v>
      </c>
      <c r="B31" s="608" t="s">
        <v>366</v>
      </c>
      <c r="C31" s="609"/>
      <c r="D31" s="609"/>
      <c r="E31" s="609">
        <f t="array" ref="E31">SUM(IF(A31=KHN,TH))</f>
        <v>227135181</v>
      </c>
      <c r="F31" s="609">
        <f t="array" ref="F31">SUM(IF(A31=KHC,TH))</f>
        <v>227135181</v>
      </c>
      <c r="G31" s="609">
        <f t="shared" ref="G31" si="7">MAX(C31+E31-D31-F31,0)</f>
        <v>0</v>
      </c>
      <c r="H31" s="609">
        <f t="shared" ref="H31" si="8">MAX(D31+F31-E31-C31,0)</f>
        <v>0</v>
      </c>
    </row>
    <row r="32" spans="1:12" s="162" customFormat="1" ht="17.25" customHeight="1">
      <c r="A32" s="608" t="s">
        <v>61</v>
      </c>
      <c r="B32" s="608" t="s">
        <v>62</v>
      </c>
      <c r="C32" s="609"/>
      <c r="D32" s="609"/>
      <c r="E32" s="609">
        <f t="array" ref="E32">SUM(IF(A32=KHN,TH))</f>
        <v>731479</v>
      </c>
      <c r="F32" s="609">
        <f t="array" ref="F32">SUM(IF(A32=KHC,TH))</f>
        <v>0</v>
      </c>
      <c r="G32" s="609">
        <f t="shared" si="3"/>
        <v>731479</v>
      </c>
      <c r="H32" s="609">
        <f t="shared" si="4"/>
        <v>0</v>
      </c>
    </row>
    <row r="33" spans="1:12" s="162" customFormat="1" ht="17.25" customHeight="1">
      <c r="A33" s="608" t="s">
        <v>260</v>
      </c>
      <c r="B33" s="608" t="s">
        <v>261</v>
      </c>
      <c r="C33" s="609"/>
      <c r="D33" s="609"/>
      <c r="E33" s="609">
        <f t="array" ref="E33">SUM(IF(A33=KHN,TH))</f>
        <v>0</v>
      </c>
      <c r="F33" s="609">
        <f t="array" ref="F33">SUM(IF(A33=KHC,TH))</f>
        <v>0</v>
      </c>
      <c r="G33" s="609">
        <f t="shared" si="3"/>
        <v>0</v>
      </c>
      <c r="H33" s="609">
        <f t="shared" si="4"/>
        <v>0</v>
      </c>
    </row>
    <row r="34" spans="1:12" s="162" customFormat="1" ht="17.25" customHeight="1">
      <c r="A34" s="619" t="s">
        <v>63</v>
      </c>
      <c r="B34" s="620" t="s">
        <v>64</v>
      </c>
      <c r="C34" s="621"/>
      <c r="D34" s="621"/>
      <c r="E34" s="621">
        <f t="array" ref="E34">SUM(IF(A34=KHN,TH))</f>
        <v>1000000</v>
      </c>
      <c r="F34" s="621">
        <f t="array" ref="F34">SUM(IF(A34=KHC,TH))</f>
        <v>1000000</v>
      </c>
      <c r="G34" s="621">
        <f t="shared" si="3"/>
        <v>0</v>
      </c>
      <c r="H34" s="621">
        <f t="shared" si="4"/>
        <v>0</v>
      </c>
    </row>
    <row r="35" spans="1:12" s="162" customFormat="1" ht="17.25" customHeight="1">
      <c r="A35" s="608" t="s">
        <v>18</v>
      </c>
      <c r="B35" s="608" t="s">
        <v>65</v>
      </c>
      <c r="C35" s="609">
        <f>C34</f>
        <v>0</v>
      </c>
      <c r="D35" s="609">
        <f t="shared" ref="D35:H35" si="9">D34</f>
        <v>0</v>
      </c>
      <c r="E35" s="609">
        <f t="shared" si="9"/>
        <v>1000000</v>
      </c>
      <c r="F35" s="609">
        <f t="shared" si="9"/>
        <v>1000000</v>
      </c>
      <c r="G35" s="609">
        <f t="shared" si="9"/>
        <v>0</v>
      </c>
      <c r="H35" s="609">
        <f t="shared" si="9"/>
        <v>0</v>
      </c>
    </row>
    <row r="36" spans="1:12" s="162" customFormat="1" ht="17.25" customHeight="1">
      <c r="A36" s="612" t="s">
        <v>66</v>
      </c>
      <c r="B36" s="612" t="s">
        <v>67</v>
      </c>
      <c r="C36" s="613">
        <f>C32+C35+C33+C31</f>
        <v>0</v>
      </c>
      <c r="D36" s="613">
        <f t="shared" ref="D36:H36" si="10">D32+D35+D33+D31</f>
        <v>0</v>
      </c>
      <c r="E36" s="613">
        <f t="shared" si="10"/>
        <v>228866660</v>
      </c>
      <c r="F36" s="613">
        <f t="shared" si="10"/>
        <v>228135181</v>
      </c>
      <c r="G36" s="613">
        <f t="shared" si="10"/>
        <v>731479</v>
      </c>
      <c r="H36" s="613">
        <f t="shared" si="10"/>
        <v>0</v>
      </c>
    </row>
    <row r="37" spans="1:12" s="162" customFormat="1" ht="17.25" customHeight="1">
      <c r="A37" s="608" t="s">
        <v>256</v>
      </c>
      <c r="B37" s="608" t="s">
        <v>257</v>
      </c>
      <c r="C37" s="609">
        <v>0</v>
      </c>
      <c r="D37" s="609">
        <v>0</v>
      </c>
      <c r="E37" s="609">
        <f t="array" ref="E37">SUM(IF(A37=KHN,TH))</f>
        <v>0</v>
      </c>
      <c r="F37" s="609">
        <f t="array" ref="F37">SUM(IF(A37=KHC,TH))</f>
        <v>0</v>
      </c>
      <c r="G37" s="609">
        <f t="shared" ref="G37:G39" si="11">MAX(C37+E37-D37-F37,0)</f>
        <v>0</v>
      </c>
      <c r="H37" s="609">
        <f t="shared" ref="H37:H39" si="12">MAX(D37+F37-E37-C37,0)</f>
        <v>0</v>
      </c>
    </row>
    <row r="38" spans="1:12" s="162" customFormat="1" ht="17.25" customHeight="1">
      <c r="A38" s="612" t="s">
        <v>258</v>
      </c>
      <c r="B38" s="612" t="s">
        <v>259</v>
      </c>
      <c r="C38" s="613">
        <f>C37</f>
        <v>0</v>
      </c>
      <c r="D38" s="613">
        <f>D37</f>
        <v>0</v>
      </c>
      <c r="E38" s="613">
        <f>E37</f>
        <v>0</v>
      </c>
      <c r="F38" s="613">
        <f>F37</f>
        <v>0</v>
      </c>
      <c r="G38" s="613">
        <f t="shared" si="11"/>
        <v>0</v>
      </c>
      <c r="H38" s="613">
        <f t="shared" si="12"/>
        <v>0</v>
      </c>
    </row>
    <row r="39" spans="1:12" s="162" customFormat="1" ht="17.25" customHeight="1">
      <c r="A39" s="608" t="s">
        <v>17</v>
      </c>
      <c r="B39" s="608" t="s">
        <v>68</v>
      </c>
      <c r="C39" s="609"/>
      <c r="D39" s="609"/>
      <c r="E39" s="609">
        <f t="array" ref="E39">SUM(IF(A39=KHN,TH))</f>
        <v>21656813</v>
      </c>
      <c r="F39" s="609">
        <f t="array" ref="F39">SUM(IF(A39=KHC,TH))</f>
        <v>13732353</v>
      </c>
      <c r="G39" s="609">
        <f t="shared" si="11"/>
        <v>7924460</v>
      </c>
      <c r="H39" s="609">
        <f t="shared" si="12"/>
        <v>0</v>
      </c>
    </row>
    <row r="40" spans="1:12" s="162" customFormat="1" ht="17.25" customHeight="1">
      <c r="A40" s="612" t="s">
        <v>69</v>
      </c>
      <c r="B40" s="612" t="s">
        <v>70</v>
      </c>
      <c r="C40" s="613">
        <f t="shared" ref="C40:H40" si="13">SUM(C39:C39)</f>
        <v>0</v>
      </c>
      <c r="D40" s="613">
        <f t="shared" si="13"/>
        <v>0</v>
      </c>
      <c r="E40" s="613">
        <f t="shared" si="13"/>
        <v>21656813</v>
      </c>
      <c r="F40" s="613">
        <f t="shared" si="13"/>
        <v>13732353</v>
      </c>
      <c r="G40" s="613">
        <f t="shared" si="13"/>
        <v>7924460</v>
      </c>
      <c r="H40" s="613">
        <f t="shared" si="13"/>
        <v>0</v>
      </c>
    </row>
    <row r="41" spans="1:12" s="871" customFormat="1" ht="13.5">
      <c r="A41" s="867" t="s">
        <v>1285</v>
      </c>
      <c r="B41" s="868" t="s">
        <v>1286</v>
      </c>
      <c r="C41" s="869">
        <v>0</v>
      </c>
      <c r="D41" s="869"/>
      <c r="E41" s="870">
        <f t="array" ref="E41">SUM(IF(A41=KHN,TH))</f>
        <v>0</v>
      </c>
      <c r="F41" s="870">
        <f t="array" ref="F41">SUM(IF(A41=KHC,TH))</f>
        <v>1000000000</v>
      </c>
      <c r="G41" s="869">
        <f>MAX(C41+E41-D41-F41,0)</f>
        <v>0</v>
      </c>
      <c r="H41" s="869">
        <f>MAX(D41+F41-E41-C41,0)</f>
        <v>1000000000</v>
      </c>
    </row>
    <row r="42" spans="1:12" s="871" customFormat="1" ht="13.5">
      <c r="A42" s="867" t="s">
        <v>1287</v>
      </c>
      <c r="B42" s="868" t="s">
        <v>1288</v>
      </c>
      <c r="C42" s="870">
        <v>0</v>
      </c>
      <c r="D42" s="870"/>
      <c r="E42" s="870">
        <f t="array" ref="E42">SUM(IF(A42=KHN,TH))</f>
        <v>203560000</v>
      </c>
      <c r="F42" s="870">
        <f t="array" ref="F42">SUM(IF(A42=KHC,TH))</f>
        <v>600140000</v>
      </c>
      <c r="G42" s="870">
        <f>MAX(C42+E42-D42-F42,0)</f>
        <v>0</v>
      </c>
      <c r="H42" s="870">
        <f>MAX(D42+F42-E42-C42,0)</f>
        <v>396580000</v>
      </c>
    </row>
    <row r="43" spans="1:12" s="871" customFormat="1" ht="13.5">
      <c r="A43" s="872" t="s">
        <v>1289</v>
      </c>
      <c r="B43" s="873" t="s">
        <v>1290</v>
      </c>
      <c r="C43" s="874">
        <f t="shared" ref="C43:H43" si="14">SUM(C41:C42)</f>
        <v>0</v>
      </c>
      <c r="D43" s="874">
        <f t="shared" si="14"/>
        <v>0</v>
      </c>
      <c r="E43" s="874">
        <f t="shared" si="14"/>
        <v>203560000</v>
      </c>
      <c r="F43" s="874">
        <f t="shared" si="14"/>
        <v>1600140000</v>
      </c>
      <c r="G43" s="874">
        <f t="shared" si="14"/>
        <v>0</v>
      </c>
      <c r="H43" s="874">
        <f t="shared" si="14"/>
        <v>1396580000</v>
      </c>
    </row>
    <row r="44" spans="1:12" s="162" customFormat="1" ht="17.25" customHeight="1">
      <c r="A44" s="608" t="s">
        <v>25</v>
      </c>
      <c r="B44" s="608" t="s">
        <v>71</v>
      </c>
      <c r="C44" s="609"/>
      <c r="D44" s="609"/>
      <c r="E44" s="609">
        <f t="array" ref="E44">SUM(IF(A44=KHN,TH))</f>
        <v>0</v>
      </c>
      <c r="F44" s="609">
        <f t="array" ref="F44">SUM(IF(A44=KHC,TH))</f>
        <v>0</v>
      </c>
      <c r="G44" s="610">
        <f>MAX(C44+E44-D44-F44,0)</f>
        <v>0</v>
      </c>
      <c r="H44" s="610">
        <f>MAX(D44+F44-E44-C44,0)</f>
        <v>0</v>
      </c>
    </row>
    <row r="45" spans="1:12" s="162" customFormat="1" ht="17.25" customHeight="1">
      <c r="A45" s="612" t="s">
        <v>72</v>
      </c>
      <c r="B45" s="612" t="s">
        <v>73</v>
      </c>
      <c r="C45" s="613">
        <v>0</v>
      </c>
      <c r="D45" s="613">
        <f>D44</f>
        <v>0</v>
      </c>
      <c r="E45" s="613">
        <f>E44</f>
        <v>0</v>
      </c>
      <c r="F45" s="613">
        <f>F44</f>
        <v>0</v>
      </c>
      <c r="G45" s="613">
        <f>MAX(C45+E45-D45-F45,0)</f>
        <v>0</v>
      </c>
      <c r="H45" s="613">
        <f>MAX(D45+F45-E45-C45,0)</f>
        <v>0</v>
      </c>
    </row>
    <row r="46" spans="1:12" s="162" customFormat="1" ht="17.25" customHeight="1">
      <c r="A46" s="607" t="s">
        <v>74</v>
      </c>
      <c r="B46" s="608" t="s">
        <v>75</v>
      </c>
      <c r="C46" s="609"/>
      <c r="D46" s="609"/>
      <c r="E46" s="609">
        <f t="array" ref="E46">SUM(IF(A46=KHN,TH))</f>
        <v>0</v>
      </c>
      <c r="F46" s="609">
        <f t="array" ref="F46">SUM(IF(A46=KHC,TH))</f>
        <v>0</v>
      </c>
      <c r="G46" s="610">
        <f>MAX(C46+E46-D46-F46,0)</f>
        <v>0</v>
      </c>
      <c r="H46" s="610">
        <f>MAX(D46+F46-E46-C46,0)</f>
        <v>0</v>
      </c>
    </row>
    <row r="47" spans="1:12" s="162" customFormat="1" ht="17.25" customHeight="1">
      <c r="A47" s="608" t="s">
        <v>76</v>
      </c>
      <c r="B47" s="608" t="s">
        <v>77</v>
      </c>
      <c r="C47" s="609"/>
      <c r="D47" s="609"/>
      <c r="E47" s="609">
        <f t="array" ref="E47">SUM(IF(A47=TH!$L$10:$L$2798,TH!$K$10:$K$2798))</f>
        <v>0</v>
      </c>
      <c r="F47" s="609">
        <f t="array" ref="F47">SUM(IF(A47=TH!$M$10:$M$2798,TH!$K$10:$K$2798))</f>
        <v>0</v>
      </c>
      <c r="G47" s="609">
        <f>MAX(C47+E47-D47-F47,0)</f>
        <v>0</v>
      </c>
      <c r="H47" s="609">
        <f>MAX(D47+F47-E47-C47,0)</f>
        <v>0</v>
      </c>
      <c r="J47" s="293">
        <f>L47-H47</f>
        <v>-268631726</v>
      </c>
      <c r="L47" s="162">
        <v>-268631726</v>
      </c>
    </row>
    <row r="48" spans="1:12" s="162" customFormat="1" ht="17.25" customHeight="1">
      <c r="A48" s="612" t="s">
        <v>78</v>
      </c>
      <c r="B48" s="612" t="s">
        <v>79</v>
      </c>
      <c r="C48" s="613">
        <f t="shared" ref="C48:H48" si="15">C47+C46</f>
        <v>0</v>
      </c>
      <c r="D48" s="613">
        <f t="shared" si="15"/>
        <v>0</v>
      </c>
      <c r="E48" s="613">
        <f t="shared" si="15"/>
        <v>0</v>
      </c>
      <c r="F48" s="613">
        <f t="shared" si="15"/>
        <v>0</v>
      </c>
      <c r="G48" s="613">
        <f t="shared" si="15"/>
        <v>0</v>
      </c>
      <c r="H48" s="613">
        <f t="shared" si="15"/>
        <v>0</v>
      </c>
    </row>
    <row r="49" spans="1:12" s="162" customFormat="1" ht="17.25" customHeight="1">
      <c r="A49" s="607" t="s">
        <v>177</v>
      </c>
      <c r="B49" s="608" t="s">
        <v>178</v>
      </c>
      <c r="C49" s="609"/>
      <c r="D49" s="609"/>
      <c r="E49" s="609">
        <f t="array" ref="E49">SUM(IF(A49=KHN,TH))</f>
        <v>2271614603</v>
      </c>
      <c r="F49" s="609">
        <f t="array" ref="F49">SUM(IF(A49=KHC,TH))</f>
        <v>2271614603</v>
      </c>
      <c r="G49" s="610"/>
      <c r="H49" s="610"/>
      <c r="I49" s="162">
        <f>E49-F49</f>
        <v>0</v>
      </c>
      <c r="L49" s="162">
        <f>[1]CDPS!$E$51+[2]CDPS!$E$52</f>
        <v>249</v>
      </c>
    </row>
    <row r="50" spans="1:12" s="162" customFormat="1" ht="17.25" customHeight="1">
      <c r="A50" s="612" t="s">
        <v>179</v>
      </c>
      <c r="B50" s="612" t="s">
        <v>180</v>
      </c>
      <c r="C50" s="613"/>
      <c r="D50" s="613"/>
      <c r="E50" s="613">
        <f>E49</f>
        <v>2271614603</v>
      </c>
      <c r="F50" s="613">
        <f>F49</f>
        <v>2271614603</v>
      </c>
      <c r="G50" s="613"/>
      <c r="H50" s="613"/>
      <c r="I50" s="162">
        <f>E50-F50</f>
        <v>0</v>
      </c>
    </row>
    <row r="51" spans="1:12" s="162" customFormat="1" ht="17.25" customHeight="1">
      <c r="A51" s="612" t="s">
        <v>40</v>
      </c>
      <c r="B51" s="612" t="s">
        <v>80</v>
      </c>
      <c r="C51" s="613"/>
      <c r="D51" s="613"/>
      <c r="E51" s="614">
        <f t="array" ref="E51">SUM(IF(A51=KHN,TH))</f>
        <v>100136</v>
      </c>
      <c r="F51" s="614">
        <f t="array" ref="F51">SUM(IF(A51=KHC,TH))</f>
        <v>100136</v>
      </c>
      <c r="G51" s="613"/>
      <c r="H51" s="613"/>
      <c r="I51" s="162">
        <f t="shared" ref="I51:I59" si="16">E51-F51</f>
        <v>0</v>
      </c>
    </row>
    <row r="52" spans="1:12" s="162" customFormat="1" ht="17.25" customHeight="1">
      <c r="A52" s="612" t="s">
        <v>175</v>
      </c>
      <c r="B52" s="612" t="s">
        <v>176</v>
      </c>
      <c r="C52" s="613"/>
      <c r="D52" s="613"/>
      <c r="E52" s="614">
        <f t="array" ref="E52">SUM(IF(A52=KHN,TH))</f>
        <v>0</v>
      </c>
      <c r="F52" s="614">
        <f t="array" ref="F52">SUM(IF(A52=KHC,TH))</f>
        <v>0</v>
      </c>
      <c r="G52" s="613"/>
      <c r="H52" s="613"/>
      <c r="I52" s="162">
        <f t="shared" si="16"/>
        <v>0</v>
      </c>
    </row>
    <row r="53" spans="1:12" s="162" customFormat="1" ht="17.25" customHeight="1">
      <c r="A53" s="612" t="s">
        <v>81</v>
      </c>
      <c r="B53" s="612" t="s">
        <v>82</v>
      </c>
      <c r="C53" s="613"/>
      <c r="D53" s="613"/>
      <c r="E53" s="614">
        <f t="array" ref="E53">SUM(IF(A53=KHN,TH))</f>
        <v>90842004</v>
      </c>
      <c r="F53" s="614">
        <f t="array" ref="F53">SUM(IF(A53=KHC,TH))</f>
        <v>90842004</v>
      </c>
      <c r="G53" s="613"/>
      <c r="H53" s="613"/>
      <c r="I53" s="162">
        <f t="shared" si="16"/>
        <v>0</v>
      </c>
    </row>
    <row r="54" spans="1:12" s="162" customFormat="1" ht="17.25" customHeight="1">
      <c r="A54" s="618" t="s">
        <v>255</v>
      </c>
      <c r="B54" s="612" t="s">
        <v>323</v>
      </c>
      <c r="C54" s="613"/>
      <c r="D54" s="613"/>
      <c r="E54" s="614">
        <f t="array" ref="E54">SUM(IF(A54=KHN,TH))</f>
        <v>0</v>
      </c>
      <c r="F54" s="614">
        <f t="array" ref="F54">SUM(IF(A54=KHC,TH))</f>
        <v>0</v>
      </c>
      <c r="G54" s="613"/>
      <c r="H54" s="613"/>
      <c r="I54" s="162">
        <f>E54-F54</f>
        <v>0</v>
      </c>
    </row>
    <row r="55" spans="1:12" s="162" customFormat="1" ht="17.25" customHeight="1">
      <c r="A55" s="612" t="s">
        <v>83</v>
      </c>
      <c r="B55" s="612" t="s">
        <v>84</v>
      </c>
      <c r="C55" s="613"/>
      <c r="D55" s="613"/>
      <c r="E55" s="614">
        <f t="array" ref="E55">SUM(IF(A55=KHN,TH))</f>
        <v>30896740</v>
      </c>
      <c r="F55" s="614">
        <f t="array" ref="F55">SUM(IF(A55=KHC,TH))</f>
        <v>30896740</v>
      </c>
      <c r="G55" s="613"/>
      <c r="H55" s="613"/>
      <c r="I55" s="162">
        <f t="shared" si="16"/>
        <v>0</v>
      </c>
    </row>
    <row r="56" spans="1:12" s="162" customFormat="1" ht="17.25" customHeight="1">
      <c r="A56" s="618" t="s">
        <v>85</v>
      </c>
      <c r="B56" s="612" t="s">
        <v>86</v>
      </c>
      <c r="C56" s="613"/>
      <c r="D56" s="613"/>
      <c r="E56" s="614">
        <f t="array" ref="E56">SUM(IF(A56=KHN,TH))</f>
        <v>0</v>
      </c>
      <c r="F56" s="614">
        <f t="array" ref="F56">SUM(IF(A56=KHC,TH))</f>
        <v>0</v>
      </c>
      <c r="G56" s="613"/>
      <c r="H56" s="613"/>
      <c r="I56" s="162">
        <f t="shared" si="16"/>
        <v>0</v>
      </c>
    </row>
    <row r="57" spans="1:12" s="162" customFormat="1" ht="17.25" customHeight="1">
      <c r="A57" s="612" t="s">
        <v>87</v>
      </c>
      <c r="B57" s="612" t="s">
        <v>88</v>
      </c>
      <c r="C57" s="613"/>
      <c r="D57" s="613"/>
      <c r="E57" s="614">
        <f t="array" ref="E57">SUM(IF(A57=KHN,TH))</f>
        <v>1611708</v>
      </c>
      <c r="F57" s="614">
        <f t="array" ref="F57">SUM(IF(A57=KHC,TH))</f>
        <v>1611708</v>
      </c>
      <c r="G57" s="613"/>
      <c r="H57" s="613"/>
      <c r="I57" s="162">
        <f t="shared" si="16"/>
        <v>0</v>
      </c>
    </row>
    <row r="58" spans="1:12" s="162" customFormat="1" ht="17.25" customHeight="1">
      <c r="A58" s="618" t="s">
        <v>89</v>
      </c>
      <c r="B58" s="612" t="s">
        <v>90</v>
      </c>
      <c r="C58" s="613"/>
      <c r="D58" s="613"/>
      <c r="E58" s="614">
        <f t="array" ref="E58">SUM(IF(A58=KHN,TH))</f>
        <v>0</v>
      </c>
      <c r="F58" s="614">
        <f t="array" ref="F58">SUM(IF(A58=KHC,TH))</f>
        <v>0</v>
      </c>
      <c r="G58" s="613"/>
      <c r="H58" s="613"/>
      <c r="I58" s="162">
        <f t="shared" si="16"/>
        <v>0</v>
      </c>
    </row>
    <row r="59" spans="1:12" s="162" customFormat="1" ht="17.25" customHeight="1">
      <c r="A59" s="612" t="s">
        <v>91</v>
      </c>
      <c r="B59" s="612" t="s">
        <v>92</v>
      </c>
      <c r="C59" s="613"/>
      <c r="D59" s="613"/>
      <c r="E59" s="622">
        <f t="array" ref="E59">SUM(IF(A59=KHN,TH))</f>
        <v>123350452</v>
      </c>
      <c r="F59" s="622">
        <f t="array" ref="F59">SUM(IF(A59=TH!$M$10:$M$2798,TH!$K$10:$K$2798))</f>
        <v>2271714739</v>
      </c>
      <c r="G59" s="613"/>
      <c r="H59" s="613"/>
      <c r="I59" s="162">
        <f t="shared" si="16"/>
        <v>-2148364287</v>
      </c>
    </row>
    <row r="60" spans="1:12" s="162" customFormat="1" ht="17.25" customHeight="1">
      <c r="A60" s="917" t="s">
        <v>39</v>
      </c>
      <c r="B60" s="918"/>
      <c r="C60" s="623">
        <f>C11+C13+C14+C16+C18+C19+C22+C23+C24+C25+C27+C29+C30+C36+C38+C40+C43+C45+C48+C50+C51+C52+C53+C54+C55+C56+C57+C58+C59</f>
        <v>365112835</v>
      </c>
      <c r="D60" s="623">
        <f t="shared" ref="D60:H60" si="17">D11+D13+D14+D16+D18+D19+D22+D23+D24+D25+D27+D29+D30+D36+D38+D40+D43+D45+D48+D50+D51+D52+D53+D54+D55+D56+D57+D58+D59</f>
        <v>0</v>
      </c>
      <c r="E60" s="623">
        <f t="shared" si="17"/>
        <v>14982972388</v>
      </c>
      <c r="F60" s="623">
        <f t="shared" si="17"/>
        <v>14982972388</v>
      </c>
      <c r="G60" s="623">
        <f t="shared" si="17"/>
        <v>6667401219</v>
      </c>
      <c r="H60" s="623">
        <f t="shared" si="17"/>
        <v>4153924097</v>
      </c>
    </row>
    <row r="61" spans="1:12">
      <c r="E61" s="624"/>
      <c r="F61" s="625"/>
    </row>
    <row r="62" spans="1:12">
      <c r="E62" s="625"/>
      <c r="H62" s="625">
        <f>G60-H60</f>
        <v>2513477122</v>
      </c>
    </row>
    <row r="63" spans="1:12">
      <c r="E63" s="626"/>
      <c r="F63" s="626"/>
    </row>
    <row r="64" spans="1:12">
      <c r="E64" s="626"/>
      <c r="F64" s="62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2804"/>
  <sheetViews>
    <sheetView topLeftCell="A7" workbookViewId="0">
      <pane ySplit="3" topLeftCell="A836" activePane="bottomLeft" state="frozen"/>
      <selection activeCell="A7" sqref="A7"/>
      <selection pane="bottomLeft" activeCell="A1186" sqref="A1186:XFD1186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28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71093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16384" width="9.140625" style="198"/>
  </cols>
  <sheetData>
    <row r="1" spans="1:28" ht="15">
      <c r="A1" s="1" t="s">
        <v>413</v>
      </c>
      <c r="B1" s="31"/>
      <c r="C1" s="31"/>
      <c r="D1" s="32"/>
      <c r="E1" s="32"/>
      <c r="F1" s="33"/>
      <c r="G1" s="466"/>
      <c r="H1" s="56"/>
      <c r="I1" s="823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414</v>
      </c>
      <c r="B2" s="31"/>
      <c r="C2" s="31"/>
      <c r="D2" s="32"/>
      <c r="E2" s="32"/>
      <c r="F2" s="32"/>
      <c r="G2" s="466"/>
      <c r="H2" s="57"/>
      <c r="I2" s="824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66"/>
      <c r="H3" s="57"/>
      <c r="I3" s="824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41" t="s">
        <v>93</v>
      </c>
      <c r="D4" s="941"/>
      <c r="E4" s="941"/>
      <c r="F4" s="941"/>
      <c r="G4" s="941"/>
      <c r="H4" s="941"/>
      <c r="I4" s="941"/>
      <c r="J4" s="941"/>
      <c r="K4" s="941"/>
      <c r="L4" s="941"/>
      <c r="M4" s="941"/>
    </row>
    <row r="5" spans="1:28" ht="14.25">
      <c r="B5" s="42"/>
      <c r="C5" s="942"/>
      <c r="D5" s="942"/>
      <c r="E5" s="942"/>
      <c r="F5" s="942"/>
      <c r="G5" s="942"/>
      <c r="H5" s="942"/>
      <c r="I5" s="942"/>
      <c r="J5" s="942"/>
      <c r="K5" s="942"/>
      <c r="L5" s="942"/>
      <c r="M5" s="942"/>
    </row>
    <row r="6" spans="1:28">
      <c r="B6" s="42"/>
      <c r="C6" s="42"/>
      <c r="D6" s="42"/>
      <c r="E6" s="42"/>
      <c r="F6" s="42"/>
      <c r="G6" s="31"/>
      <c r="H6" s="43"/>
      <c r="I6" s="825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21" t="s">
        <v>117</v>
      </c>
      <c r="B7" s="923" t="s">
        <v>101</v>
      </c>
      <c r="C7" s="943" t="s">
        <v>20</v>
      </c>
      <c r="D7" s="944" t="s">
        <v>1</v>
      </c>
      <c r="E7" s="945"/>
      <c r="F7" s="943" t="s">
        <v>0</v>
      </c>
      <c r="G7" s="947" t="s">
        <v>116</v>
      </c>
      <c r="H7" s="925" t="s">
        <v>44</v>
      </c>
      <c r="I7" s="936" t="s">
        <v>252</v>
      </c>
      <c r="J7" s="937"/>
      <c r="K7" s="943" t="s">
        <v>157</v>
      </c>
      <c r="L7" s="946" t="s">
        <v>94</v>
      </c>
      <c r="M7" s="946"/>
      <c r="N7" s="928" t="s">
        <v>403</v>
      </c>
      <c r="O7" s="938" t="s">
        <v>1289</v>
      </c>
      <c r="P7" s="930" t="s">
        <v>47</v>
      </c>
      <c r="Q7" s="931"/>
      <c r="R7" s="932"/>
      <c r="S7" s="930" t="s">
        <v>51</v>
      </c>
      <c r="T7" s="931"/>
      <c r="U7" s="932"/>
      <c r="V7" s="928" t="s">
        <v>402</v>
      </c>
      <c r="W7" s="926" t="str">
        <f>CTTK!$E$7</f>
        <v>642</v>
      </c>
      <c r="X7" s="940" t="s">
        <v>163</v>
      </c>
      <c r="Y7" s="940"/>
      <c r="Z7" s="940"/>
      <c r="AA7" s="940" t="s">
        <v>344</v>
      </c>
      <c r="AB7" s="792"/>
    </row>
    <row r="8" spans="1:28" ht="24.75" customHeight="1">
      <c r="A8" s="922"/>
      <c r="B8" s="924"/>
      <c r="C8" s="943"/>
      <c r="D8" s="202" t="s">
        <v>15</v>
      </c>
      <c r="E8" s="201" t="s">
        <v>32</v>
      </c>
      <c r="F8" s="943"/>
      <c r="G8" s="948"/>
      <c r="H8" s="925"/>
      <c r="I8" s="826" t="s">
        <v>206</v>
      </c>
      <c r="J8" s="262" t="s">
        <v>207</v>
      </c>
      <c r="K8" s="943"/>
      <c r="L8" s="203" t="s">
        <v>22</v>
      </c>
      <c r="M8" s="203" t="s">
        <v>23</v>
      </c>
      <c r="N8" s="929"/>
      <c r="O8" s="939"/>
      <c r="P8" s="933"/>
      <c r="Q8" s="934"/>
      <c r="R8" s="935"/>
      <c r="S8" s="933"/>
      <c r="T8" s="934"/>
      <c r="U8" s="935"/>
      <c r="V8" s="929"/>
      <c r="W8" s="927"/>
      <c r="X8" s="940"/>
      <c r="Y8" s="940"/>
      <c r="Z8" s="940"/>
      <c r="AA8" s="940"/>
      <c r="AB8" s="792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27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3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4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54"/>
      <c r="J11" s="254"/>
      <c r="K11" s="51">
        <f>SUMIF(KHC,L11,TH)</f>
        <v>227135181</v>
      </c>
      <c r="L11" s="53" t="s">
        <v>367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4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90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4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4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417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4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90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4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30896740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4"/>
    </row>
    <row r="17" spans="1:31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100136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4"/>
    </row>
    <row r="18" spans="1:31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54"/>
      <c r="J18" s="254"/>
      <c r="K18" s="51">
        <f>SUMIF(KHC,L18,TH)</f>
        <v>2271614603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4"/>
    </row>
    <row r="19" spans="1:31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4"/>
    </row>
    <row r="20" spans="1:31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4"/>
    </row>
    <row r="21" spans="1:31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416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4"/>
    </row>
    <row r="22" spans="1:31" s="560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920</v>
      </c>
      <c r="E22" s="184">
        <v>41645</v>
      </c>
      <c r="F22" s="189" t="s">
        <v>423</v>
      </c>
      <c r="G22" s="570" t="s">
        <v>424</v>
      </c>
      <c r="H22" s="7" t="s">
        <v>425</v>
      </c>
      <c r="I22" s="256">
        <v>2110</v>
      </c>
      <c r="J22" s="256">
        <v>5300</v>
      </c>
      <c r="K22" s="568">
        <f>ROUND(I22*J22,0)</f>
        <v>11183000</v>
      </c>
      <c r="L22" s="569" t="s">
        <v>253</v>
      </c>
      <c r="M22" s="569" t="s">
        <v>177</v>
      </c>
      <c r="N22" s="52" t="str">
        <f>IF(AND('331-CT'!$E$7=TH!H22,OR(L22="331",M22="331")),"331",IF(AND(OR(L22="131",M22="131"),H22='131-CT'!$E$7),"131",""))</f>
        <v/>
      </c>
      <c r="O22" s="90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21"/>
      <c r="AC22" s="211" t="str">
        <f>IF(F22=VLOOKUP(F22,NXT!$C$12:$C$305,1,0),"","x")</f>
        <v/>
      </c>
    </row>
    <row r="23" spans="1:31" s="560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920</v>
      </c>
      <c r="E23" s="184">
        <v>41645</v>
      </c>
      <c r="F23" s="189" t="s">
        <v>426</v>
      </c>
      <c r="G23" s="570" t="s">
        <v>424</v>
      </c>
      <c r="H23" s="7" t="s">
        <v>425</v>
      </c>
      <c r="I23" s="256"/>
      <c r="J23" s="256"/>
      <c r="K23" s="568">
        <v>1118300</v>
      </c>
      <c r="L23" s="569" t="s">
        <v>253</v>
      </c>
      <c r="M23" s="569" t="s">
        <v>367</v>
      </c>
      <c r="N23" s="52" t="str">
        <f>IF(AND('331-CT'!$E$7=TH!H23,OR(L23="331",M23="331")),"331",IF(AND(OR(L23="131",M23="131"),H23='131-CT'!$E$7),"131",""))</f>
        <v/>
      </c>
      <c r="O23" s="90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21"/>
      <c r="AC23" s="560" t="str">
        <f>IF(VLOOKUP(H23,DS_131,1,0)&lt;&gt;"","","x")</f>
        <v/>
      </c>
    </row>
    <row r="24" spans="1:31" s="560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921</v>
      </c>
      <c r="E24" s="184">
        <v>41645</v>
      </c>
      <c r="F24" s="189" t="s">
        <v>427</v>
      </c>
      <c r="G24" s="570" t="s">
        <v>428</v>
      </c>
      <c r="H24" s="7" t="s">
        <v>916</v>
      </c>
      <c r="I24" s="256">
        <v>500</v>
      </c>
      <c r="J24" s="256">
        <v>17300</v>
      </c>
      <c r="K24" s="568">
        <f>ROUND(I24*J24,0)</f>
        <v>8650000</v>
      </c>
      <c r="L24" s="569" t="s">
        <v>253</v>
      </c>
      <c r="M24" s="569" t="s">
        <v>177</v>
      </c>
      <c r="N24" s="52" t="str">
        <f>IF(AND('331-CT'!$E$7=TH!H24,OR(L24="331",M24="331")),"331",IF(AND(OR(L24="131",M24="131"),H24='131-CT'!$E$7),"131",""))</f>
        <v/>
      </c>
      <c r="O24" s="90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21"/>
      <c r="AC24" s="211" t="str">
        <f>IF(F24=VLOOKUP(F24,NXT!$C$12:$C$305,1,0),"","x")</f>
        <v/>
      </c>
    </row>
    <row r="25" spans="1:31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921</v>
      </c>
      <c r="E25" s="37">
        <v>41645</v>
      </c>
      <c r="F25" s="40" t="s">
        <v>451</v>
      </c>
      <c r="G25" s="628" t="s">
        <v>428</v>
      </c>
      <c r="H25" s="7" t="s">
        <v>916</v>
      </c>
      <c r="I25" s="256">
        <v>1000</v>
      </c>
      <c r="J25" s="256">
        <v>1500</v>
      </c>
      <c r="K25" s="568">
        <f>ROUND(I25*J25,0)</f>
        <v>1500000</v>
      </c>
      <c r="L25" s="569" t="s">
        <v>253</v>
      </c>
      <c r="M25" s="569" t="s">
        <v>177</v>
      </c>
      <c r="N25" s="52" t="str">
        <f>IF(AND('331-CT'!$E$7=TH!H25,OR(L25="331",M25="331")),"331",IF(AND(OR(L25="131",M25="131"),H25='131-CT'!$E$7),"131",""))</f>
        <v/>
      </c>
      <c r="O25" s="90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21"/>
      <c r="AC25" s="211" t="str">
        <f>IF(F25=VLOOKUP(F25,NXT!$C$12:$C$305,1,0),"","x")</f>
        <v/>
      </c>
      <c r="AD25" s="560"/>
      <c r="AE25" s="560"/>
    </row>
    <row r="26" spans="1:31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921</v>
      </c>
      <c r="E26" s="37">
        <v>41645</v>
      </c>
      <c r="F26" s="189" t="s">
        <v>426</v>
      </c>
      <c r="G26" s="628" t="s">
        <v>428</v>
      </c>
      <c r="H26" s="7" t="s">
        <v>916</v>
      </c>
      <c r="I26" s="256"/>
      <c r="J26" s="256"/>
      <c r="K26" s="38">
        <v>1015000</v>
      </c>
      <c r="L26" s="569" t="s">
        <v>253</v>
      </c>
      <c r="M26" s="569" t="s">
        <v>367</v>
      </c>
      <c r="N26" s="52" t="str">
        <f>IF(AND('331-CT'!$E$7=TH!H26,OR(L26="331",M26="331")),"331",IF(AND(OR(L26="131",M26="131"),H26='131-CT'!$E$7),"131",""))</f>
        <v/>
      </c>
      <c r="O26" s="90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21"/>
      <c r="AC26" s="560" t="str">
        <f>IF(VLOOKUP(H26,DS_131,1,0)&lt;&gt;"","","x")</f>
        <v/>
      </c>
      <c r="AD26" s="560"/>
      <c r="AE26" s="560"/>
    </row>
    <row r="27" spans="1:31" s="560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922</v>
      </c>
      <c r="E27" s="37">
        <v>41664</v>
      </c>
      <c r="F27" s="189" t="s">
        <v>429</v>
      </c>
      <c r="G27" s="465" t="s">
        <v>430</v>
      </c>
      <c r="H27" s="7" t="s">
        <v>431</v>
      </c>
      <c r="I27" s="256">
        <v>510</v>
      </c>
      <c r="J27" s="256">
        <v>10300</v>
      </c>
      <c r="K27" s="568">
        <f>ROUND(I27*J27,0)</f>
        <v>5253000</v>
      </c>
      <c r="L27" s="569" t="s">
        <v>253</v>
      </c>
      <c r="M27" s="569" t="s">
        <v>177</v>
      </c>
      <c r="N27" s="52" t="str">
        <f>IF(AND('331-CT'!$E$7=TH!H27,OR(L27="331",M27="331")),"331",IF(AND(OR(L27="131",M27="131"),H27='131-CT'!$E$7),"131",""))</f>
        <v/>
      </c>
      <c r="O27" s="90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21"/>
      <c r="AC27" s="211" t="str">
        <f>IF(F27=VLOOKUP(F27,NXT!$C$12:$C$305,1,0),"","x")</f>
        <v/>
      </c>
    </row>
    <row r="28" spans="1:31" s="560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922</v>
      </c>
      <c r="E28" s="37">
        <v>41664</v>
      </c>
      <c r="F28" s="189" t="s">
        <v>426</v>
      </c>
      <c r="G28" s="465" t="s">
        <v>430</v>
      </c>
      <c r="H28" s="7" t="s">
        <v>431</v>
      </c>
      <c r="I28" s="256"/>
      <c r="J28" s="256"/>
      <c r="K28" s="38">
        <v>525300</v>
      </c>
      <c r="L28" s="569" t="s">
        <v>253</v>
      </c>
      <c r="M28" s="569" t="s">
        <v>367</v>
      </c>
      <c r="N28" s="52" t="str">
        <f>IF(AND('331-CT'!$E$7=TH!H28,OR(L28="331",M28="331")),"331",IF(AND(OR(L28="131",M28="131"),H28='131-CT'!$E$7),"131",""))</f>
        <v/>
      </c>
      <c r="O28" s="90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21"/>
      <c r="AC28" s="560" t="str">
        <f>IF(VLOOKUP(H28,DS_131,1,0)&lt;&gt;"","","x")</f>
        <v/>
      </c>
    </row>
    <row r="29" spans="1:31" s="560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923</v>
      </c>
      <c r="E29" s="37">
        <v>41664</v>
      </c>
      <c r="F29" s="40" t="s">
        <v>432</v>
      </c>
      <c r="G29" s="465" t="s">
        <v>433</v>
      </c>
      <c r="H29" s="7" t="s">
        <v>917</v>
      </c>
      <c r="I29" s="256">
        <v>563</v>
      </c>
      <c r="J29" s="256">
        <v>12900</v>
      </c>
      <c r="K29" s="568">
        <f>ROUND(I29*J29,0)</f>
        <v>7262700</v>
      </c>
      <c r="L29" s="569" t="s">
        <v>253</v>
      </c>
      <c r="M29" s="569" t="s">
        <v>177</v>
      </c>
      <c r="N29" s="52" t="str">
        <f>IF(AND('331-CT'!$E$7=TH!H29,OR(L29="331",M29="331")),"331",IF(AND(OR(L29="131",M29="131"),H29='131-CT'!$E$7),"131",""))</f>
        <v/>
      </c>
      <c r="O29" s="90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21"/>
      <c r="AC29" s="211" t="str">
        <f>IF(F29=VLOOKUP(F29,NXT!$C$12:$C$305,1,0),"","x")</f>
        <v/>
      </c>
    </row>
    <row r="30" spans="1:31" s="560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923</v>
      </c>
      <c r="E30" s="37">
        <v>41664</v>
      </c>
      <c r="F30" s="40" t="s">
        <v>434</v>
      </c>
      <c r="G30" s="465" t="s">
        <v>433</v>
      </c>
      <c r="H30" s="7" t="s">
        <v>917</v>
      </c>
      <c r="I30" s="256">
        <v>234</v>
      </c>
      <c r="J30" s="256">
        <v>9800</v>
      </c>
      <c r="K30" s="568">
        <f>ROUND(I30*J30,0)</f>
        <v>2293200</v>
      </c>
      <c r="L30" s="569" t="s">
        <v>253</v>
      </c>
      <c r="M30" s="569" t="s">
        <v>177</v>
      </c>
      <c r="N30" s="52" t="str">
        <f>IF(AND('331-CT'!$E$7=TH!H30,OR(L30="331",M30="331")),"331",IF(AND(OR(L30="131",M30="131"),H30='131-CT'!$E$7),"131",""))</f>
        <v/>
      </c>
      <c r="O30" s="90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21"/>
      <c r="AC30" s="211" t="str">
        <f>IF(F30=VLOOKUP(F30,NXT!$C$12:$C$305,1,0),"","x")</f>
        <v/>
      </c>
      <c r="AD30" s="211"/>
    </row>
    <row r="31" spans="1:31" s="560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923</v>
      </c>
      <c r="E31" s="37">
        <v>41664</v>
      </c>
      <c r="F31" s="40" t="s">
        <v>435</v>
      </c>
      <c r="G31" s="465" t="s">
        <v>433</v>
      </c>
      <c r="H31" s="7" t="s">
        <v>917</v>
      </c>
      <c r="I31" s="256">
        <v>233</v>
      </c>
      <c r="J31" s="256">
        <v>6400</v>
      </c>
      <c r="K31" s="568">
        <f>ROUND(I31*J31,0)</f>
        <v>1491200</v>
      </c>
      <c r="L31" s="569" t="s">
        <v>253</v>
      </c>
      <c r="M31" s="569" t="s">
        <v>177</v>
      </c>
      <c r="N31" s="52" t="str">
        <f>IF(AND('331-CT'!$E$7=TH!H31,OR(L31="331",M31="331")),"331",IF(AND(OR(L31="131",M31="131"),H31='131-CT'!$E$7),"131",""))</f>
        <v/>
      </c>
      <c r="O31" s="90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21"/>
      <c r="AC31" s="211" t="str">
        <f>IF(F31=VLOOKUP(F31,NXT!$C$12:$C$305,1,0),"","x")</f>
        <v/>
      </c>
      <c r="AD31" s="211"/>
    </row>
    <row r="32" spans="1:31" s="560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923</v>
      </c>
      <c r="E32" s="184">
        <v>41664</v>
      </c>
      <c r="F32" s="189" t="s">
        <v>436</v>
      </c>
      <c r="G32" s="628" t="s">
        <v>433</v>
      </c>
      <c r="H32" s="7" t="s">
        <v>917</v>
      </c>
      <c r="I32" s="256">
        <v>308</v>
      </c>
      <c r="J32" s="256">
        <v>8600</v>
      </c>
      <c r="K32" s="568">
        <f>ROUND(I32*J32,0)</f>
        <v>2648800</v>
      </c>
      <c r="L32" s="569" t="s">
        <v>253</v>
      </c>
      <c r="M32" s="569" t="s">
        <v>177</v>
      </c>
      <c r="N32" s="52" t="str">
        <f>IF(AND('331-CT'!$E$7=TH!H32,OR(L32="331",M32="331")),"331",IF(AND(OR(L32="131",M32="131"),H32='131-CT'!$E$7),"131",""))</f>
        <v/>
      </c>
      <c r="O32" s="90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21"/>
      <c r="AC32" s="211" t="str">
        <f>IF(F32=VLOOKUP(F32,NXT!$C$12:$C$305,1,0),"","x")</f>
        <v/>
      </c>
      <c r="AD32" s="211"/>
    </row>
    <row r="33" spans="1:30" s="560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923</v>
      </c>
      <c r="E33" s="184">
        <v>41664</v>
      </c>
      <c r="F33" s="189" t="s">
        <v>426</v>
      </c>
      <c r="G33" s="628" t="s">
        <v>433</v>
      </c>
      <c r="H33" s="7" t="s">
        <v>917</v>
      </c>
      <c r="I33" s="256"/>
      <c r="J33" s="256"/>
      <c r="K33" s="568">
        <v>1369590</v>
      </c>
      <c r="L33" s="569" t="s">
        <v>253</v>
      </c>
      <c r="M33" s="569" t="s">
        <v>367</v>
      </c>
      <c r="N33" s="52" t="str">
        <f>IF(AND('331-CT'!$E$7=TH!H33,OR(L33="331",M33="331")),"331",IF(AND(OR(L33="131",M33="131"),H33='131-CT'!$E$7),"131",""))</f>
        <v/>
      </c>
      <c r="O33" s="90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21"/>
      <c r="AC33" s="560" t="str">
        <f>IF(VLOOKUP(H33,DS_131,1,0)&lt;&gt;"","","x")</f>
        <v/>
      </c>
      <c r="AD33" s="211"/>
    </row>
    <row r="34" spans="1:30" s="560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924</v>
      </c>
      <c r="E34" s="37">
        <v>41664</v>
      </c>
      <c r="F34" s="40" t="s">
        <v>437</v>
      </c>
      <c r="G34" s="465" t="s">
        <v>438</v>
      </c>
      <c r="H34" s="7" t="s">
        <v>918</v>
      </c>
      <c r="I34" s="256">
        <v>1038</v>
      </c>
      <c r="J34" s="256">
        <v>12000</v>
      </c>
      <c r="K34" s="568">
        <f>ROUND(I34*J34,0)</f>
        <v>12456000</v>
      </c>
      <c r="L34" s="569" t="s">
        <v>253</v>
      </c>
      <c r="M34" s="569" t="s">
        <v>177</v>
      </c>
      <c r="N34" s="52" t="str">
        <f>IF(AND('331-CT'!$E$7=TH!H34,OR(L34="331",M34="331")),"331",IF(AND(OR(L34="131",M34="131"),H34='131-CT'!$E$7),"131",""))</f>
        <v/>
      </c>
      <c r="O34" s="90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21"/>
      <c r="AC34" s="211" t="str">
        <f>IF(F34=VLOOKUP(F34,NXT!$C$12:$C$305,1,0),"","x")</f>
        <v/>
      </c>
    </row>
    <row r="35" spans="1:30" s="560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924</v>
      </c>
      <c r="E35" s="37">
        <v>41664</v>
      </c>
      <c r="F35" s="40" t="s">
        <v>426</v>
      </c>
      <c r="G35" s="465" t="s">
        <v>438</v>
      </c>
      <c r="H35" s="7" t="s">
        <v>918</v>
      </c>
      <c r="I35" s="256"/>
      <c r="J35" s="256"/>
      <c r="K35" s="38">
        <v>1245600</v>
      </c>
      <c r="L35" s="569" t="s">
        <v>253</v>
      </c>
      <c r="M35" s="569" t="s">
        <v>367</v>
      </c>
      <c r="N35" s="52" t="str">
        <f>IF(AND('331-CT'!$E$7=TH!H35,OR(L35="331",M35="331")),"331",IF(AND(OR(L35="131",M35="131"),H35='131-CT'!$E$7),"131",""))</f>
        <v/>
      </c>
      <c r="O35" s="90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21"/>
      <c r="AC35" s="560" t="str">
        <f>IF(VLOOKUP(H35,DS_131,1,0)&lt;&gt;"","","x")</f>
        <v/>
      </c>
    </row>
    <row r="36" spans="1:30" s="560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925</v>
      </c>
      <c r="E36" s="184">
        <v>41664</v>
      </c>
      <c r="F36" s="189" t="s">
        <v>439</v>
      </c>
      <c r="G36" s="628" t="s">
        <v>440</v>
      </c>
      <c r="H36" s="7" t="s">
        <v>441</v>
      </c>
      <c r="I36" s="256">
        <v>200</v>
      </c>
      <c r="J36" s="256">
        <v>21700</v>
      </c>
      <c r="K36" s="568">
        <f>ROUND(I36*J36,0)</f>
        <v>4340000</v>
      </c>
      <c r="L36" s="569" t="s">
        <v>253</v>
      </c>
      <c r="M36" s="569" t="s">
        <v>177</v>
      </c>
      <c r="N36" s="52" t="str">
        <f>IF(AND('331-CT'!$E$7=TH!H36,OR(L36="331",M36="331")),"331",IF(AND(OR(L36="131",M36="131"),H36='131-CT'!$E$7),"131",""))</f>
        <v/>
      </c>
      <c r="O36" s="90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21"/>
      <c r="AC36" s="211" t="str">
        <f>IF(F36=VLOOKUP(F36,NXT!$C$12:$C$305,1,0),"","x")</f>
        <v/>
      </c>
      <c r="AD36" s="211"/>
    </row>
    <row r="37" spans="1:30" s="560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925</v>
      </c>
      <c r="E37" s="184">
        <v>41664</v>
      </c>
      <c r="F37" s="189" t="s">
        <v>426</v>
      </c>
      <c r="G37" s="628" t="s">
        <v>440</v>
      </c>
      <c r="H37" s="7" t="s">
        <v>441</v>
      </c>
      <c r="I37" s="256"/>
      <c r="J37" s="256"/>
      <c r="K37" s="568">
        <v>434000</v>
      </c>
      <c r="L37" s="569" t="s">
        <v>253</v>
      </c>
      <c r="M37" s="569" t="s">
        <v>367</v>
      </c>
      <c r="N37" s="52" t="str">
        <f>IF(AND('331-CT'!$E$7=TH!H37,OR(L37="331",M37="331")),"331",IF(AND(OR(L37="131",M37="131"),H37='131-CT'!$E$7),"131",""))</f>
        <v/>
      </c>
      <c r="O37" s="90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21"/>
      <c r="AC37" s="560" t="str">
        <f>IF(VLOOKUP(H37,DS_131,1,0)&lt;&gt;"","","x")</f>
        <v/>
      </c>
      <c r="AD37" s="211"/>
    </row>
    <row r="38" spans="1:30" s="560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926</v>
      </c>
      <c r="E38" s="184">
        <v>41684</v>
      </c>
      <c r="F38" s="189" t="s">
        <v>442</v>
      </c>
      <c r="G38" s="628" t="s">
        <v>443</v>
      </c>
      <c r="H38" s="7" t="s">
        <v>444</v>
      </c>
      <c r="I38" s="256">
        <v>588</v>
      </c>
      <c r="J38" s="256">
        <v>10500</v>
      </c>
      <c r="K38" s="568">
        <f>ROUND(I38*J38,0)</f>
        <v>6174000</v>
      </c>
      <c r="L38" s="569" t="s">
        <v>253</v>
      </c>
      <c r="M38" s="569" t="s">
        <v>177</v>
      </c>
      <c r="N38" s="52" t="str">
        <f>IF(AND('331-CT'!$E$7=TH!H38,OR(L38="331",M38="331")),"331",IF(AND(OR(L38="131",M38="131"),H38='131-CT'!$E$7),"131",""))</f>
        <v/>
      </c>
      <c r="O38" s="90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21"/>
      <c r="AC38" s="211" t="str">
        <f>IF(F38=VLOOKUP(F38,NXT!$C$12:$C$305,1,0),"","x")</f>
        <v/>
      </c>
    </row>
    <row r="39" spans="1:30" s="560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926</v>
      </c>
      <c r="E39" s="184">
        <v>41684</v>
      </c>
      <c r="F39" s="189" t="s">
        <v>442</v>
      </c>
      <c r="G39" s="628" t="s">
        <v>443</v>
      </c>
      <c r="H39" s="7" t="s">
        <v>444</v>
      </c>
      <c r="I39" s="256">
        <v>598</v>
      </c>
      <c r="J39" s="256">
        <v>10500</v>
      </c>
      <c r="K39" s="568">
        <f>ROUND(I39*J39,0)</f>
        <v>6279000</v>
      </c>
      <c r="L39" s="569" t="s">
        <v>253</v>
      </c>
      <c r="M39" s="569" t="s">
        <v>177</v>
      </c>
      <c r="N39" s="52" t="str">
        <f>IF(AND('331-CT'!$E$7=TH!H39,OR(L39="331",M39="331")),"331",IF(AND(OR(L39="131",M39="131"),H39='131-CT'!$E$7),"131",""))</f>
        <v/>
      </c>
      <c r="O39" s="90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21"/>
      <c r="AC39" s="211" t="str">
        <f>IF(F39=VLOOKUP(F39,NXT!$C$12:$C$305,1,0),"","x")</f>
        <v/>
      </c>
    </row>
    <row r="40" spans="1:30" s="560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926</v>
      </c>
      <c r="E40" s="184">
        <v>41684</v>
      </c>
      <c r="F40" s="189" t="s">
        <v>426</v>
      </c>
      <c r="G40" s="628" t="s">
        <v>443</v>
      </c>
      <c r="H40" s="7" t="s">
        <v>444</v>
      </c>
      <c r="I40" s="256"/>
      <c r="J40" s="256"/>
      <c r="K40" s="568">
        <v>1245300</v>
      </c>
      <c r="L40" s="569" t="s">
        <v>253</v>
      </c>
      <c r="M40" s="569" t="s">
        <v>367</v>
      </c>
      <c r="N40" s="52" t="str">
        <f>IF(AND('331-CT'!$E$7=TH!H40,OR(L40="331",M40="331")),"331",IF(AND(OR(L40="131",M40="131"),H40='131-CT'!$E$7),"131",""))</f>
        <v/>
      </c>
      <c r="O40" s="90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21"/>
      <c r="AC40" s="560" t="str">
        <f>IF(VLOOKUP(H40,DS_131,1,0)&lt;&gt;"","","x")</f>
        <v/>
      </c>
    </row>
    <row r="41" spans="1:30" s="560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927</v>
      </c>
      <c r="E41" s="184">
        <v>41689</v>
      </c>
      <c r="F41" s="189" t="s">
        <v>445</v>
      </c>
      <c r="G41" s="628" t="s">
        <v>446</v>
      </c>
      <c r="H41" s="7" t="s">
        <v>447</v>
      </c>
      <c r="I41" s="256">
        <v>160</v>
      </c>
      <c r="J41" s="256">
        <v>20400</v>
      </c>
      <c r="K41" s="568">
        <f>ROUND(I41*J41,0)</f>
        <v>3264000</v>
      </c>
      <c r="L41" s="569" t="s">
        <v>253</v>
      </c>
      <c r="M41" s="569" t="s">
        <v>177</v>
      </c>
      <c r="N41" s="52" t="str">
        <f>IF(AND('331-CT'!$E$7=TH!H41,OR(L41="331",M41="331")),"331",IF(AND(OR(L41="131",M41="131"),H41='131-CT'!$E$7),"131",""))</f>
        <v/>
      </c>
      <c r="O41" s="90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21"/>
      <c r="AC41" s="211" t="str">
        <f>IF(F41=VLOOKUP(F41,NXT!$C$12:$C$305,1,0),"","x")</f>
        <v/>
      </c>
    </row>
    <row r="42" spans="1:30" s="560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927</v>
      </c>
      <c r="E42" s="184">
        <v>41689</v>
      </c>
      <c r="F42" s="189" t="s">
        <v>426</v>
      </c>
      <c r="G42" s="570" t="s">
        <v>446</v>
      </c>
      <c r="H42" s="44" t="s">
        <v>447</v>
      </c>
      <c r="I42" s="256"/>
      <c r="J42" s="256"/>
      <c r="K42" s="568">
        <v>326400</v>
      </c>
      <c r="L42" s="569" t="s">
        <v>253</v>
      </c>
      <c r="M42" s="569" t="s">
        <v>367</v>
      </c>
      <c r="N42" s="52" t="str">
        <f>IF(AND('331-CT'!$E$7=TH!H42,OR(L42="331",M42="331")),"331",IF(AND(OR(L42="131",M42="131"),H42='131-CT'!$E$7),"131",""))</f>
        <v/>
      </c>
      <c r="O42" s="90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21"/>
      <c r="AC42" s="560" t="str">
        <f>IF(VLOOKUP(H42,DS_131,1,0)&lt;&gt;"","","x")</f>
        <v/>
      </c>
    </row>
    <row r="43" spans="1:30" s="560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928</v>
      </c>
      <c r="E43" s="184">
        <v>41690</v>
      </c>
      <c r="F43" s="189" t="s">
        <v>429</v>
      </c>
      <c r="G43" s="628" t="s">
        <v>448</v>
      </c>
      <c r="H43" s="7" t="s">
        <v>431</v>
      </c>
      <c r="I43" s="256">
        <v>500</v>
      </c>
      <c r="J43" s="256">
        <v>10300</v>
      </c>
      <c r="K43" s="568">
        <f>ROUND(I43*J43,0)</f>
        <v>5150000</v>
      </c>
      <c r="L43" s="569" t="s">
        <v>253</v>
      </c>
      <c r="M43" s="569" t="s">
        <v>177</v>
      </c>
      <c r="N43" s="52" t="str">
        <f>IF(AND('331-CT'!$E$7=TH!H43,OR(L43="331",M43="331")),"331",IF(AND(OR(L43="131",M43="131"),H43='131-CT'!$E$7),"131",""))</f>
        <v/>
      </c>
      <c r="O43" s="90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21"/>
      <c r="AC43" s="211" t="str">
        <f>IF(F43=VLOOKUP(F43,NXT!$C$12:$C$305,1,0),"","x")</f>
        <v/>
      </c>
    </row>
    <row r="44" spans="1:30" s="560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928</v>
      </c>
      <c r="E44" s="184">
        <v>41690</v>
      </c>
      <c r="F44" s="189" t="s">
        <v>426</v>
      </c>
      <c r="G44" s="628" t="s">
        <v>448</v>
      </c>
      <c r="H44" s="7" t="s">
        <v>431</v>
      </c>
      <c r="I44" s="256"/>
      <c r="J44" s="256"/>
      <c r="K44" s="568">
        <v>515000</v>
      </c>
      <c r="L44" s="569" t="s">
        <v>253</v>
      </c>
      <c r="M44" s="569" t="s">
        <v>367</v>
      </c>
      <c r="N44" s="52" t="str">
        <f>IF(AND('331-CT'!$E$7=TH!H44,OR(L44="331",M44="331")),"331",IF(AND(OR(L44="131",M44="131"),H44='131-CT'!$E$7),"131",""))</f>
        <v/>
      </c>
      <c r="O44" s="90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21"/>
      <c r="AC44" s="560" t="str">
        <f>IF(VLOOKUP(H44,DS_131,1,0)&lt;&gt;"","","x")</f>
        <v/>
      </c>
      <c r="AD44" s="211"/>
    </row>
    <row r="45" spans="1:30" s="560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929</v>
      </c>
      <c r="E45" s="184">
        <v>41691</v>
      </c>
      <c r="F45" s="189" t="s">
        <v>442</v>
      </c>
      <c r="G45" s="628" t="s">
        <v>449</v>
      </c>
      <c r="H45" s="7" t="s">
        <v>444</v>
      </c>
      <c r="I45" s="256">
        <v>608</v>
      </c>
      <c r="J45" s="256">
        <v>10500</v>
      </c>
      <c r="K45" s="568">
        <f>ROUND(I45*J45,0)</f>
        <v>6384000</v>
      </c>
      <c r="L45" s="569" t="s">
        <v>253</v>
      </c>
      <c r="M45" s="569" t="s">
        <v>177</v>
      </c>
      <c r="N45" s="52" t="str">
        <f>IF(AND('331-CT'!$E$7=TH!H45,OR(L45="331",M45="331")),"331",IF(AND(OR(L45="131",M45="131"),H45='131-CT'!$E$7),"131",""))</f>
        <v/>
      </c>
      <c r="O45" s="90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21"/>
      <c r="AC45" s="211" t="str">
        <f>IF(F45=VLOOKUP(F45,NXT!$C$12:$C$305,1,0),"","x")</f>
        <v/>
      </c>
      <c r="AD45" s="211"/>
    </row>
    <row r="46" spans="1:30" s="560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929</v>
      </c>
      <c r="E46" s="184">
        <v>41691</v>
      </c>
      <c r="F46" s="189" t="s">
        <v>442</v>
      </c>
      <c r="G46" s="628" t="s">
        <v>449</v>
      </c>
      <c r="H46" s="7" t="s">
        <v>444</v>
      </c>
      <c r="I46" s="256">
        <v>633</v>
      </c>
      <c r="J46" s="256">
        <v>10500</v>
      </c>
      <c r="K46" s="568">
        <f>ROUND(I46*J46,0)</f>
        <v>6646500</v>
      </c>
      <c r="L46" s="569" t="s">
        <v>253</v>
      </c>
      <c r="M46" s="569" t="s">
        <v>177</v>
      </c>
      <c r="N46" s="52" t="str">
        <f>IF(AND('331-CT'!$E$7=TH!H46,OR(L46="331",M46="331")),"331",IF(AND(OR(L46="131",M46="131"),H46='131-CT'!$E$7),"131",""))</f>
        <v/>
      </c>
      <c r="O46" s="90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21"/>
      <c r="AC46" s="211" t="str">
        <f>IF(F46=VLOOKUP(F46,NXT!$C$12:$C$305,1,0),"","x")</f>
        <v/>
      </c>
      <c r="AD46" s="211"/>
    </row>
    <row r="47" spans="1:30" s="560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929</v>
      </c>
      <c r="E47" s="184">
        <v>41691</v>
      </c>
      <c r="F47" s="189" t="s">
        <v>426</v>
      </c>
      <c r="G47" s="628" t="s">
        <v>449</v>
      </c>
      <c r="H47" s="7" t="s">
        <v>444</v>
      </c>
      <c r="I47" s="256"/>
      <c r="J47" s="256"/>
      <c r="K47" s="568">
        <v>1303050</v>
      </c>
      <c r="L47" s="569" t="s">
        <v>253</v>
      </c>
      <c r="M47" s="569" t="s">
        <v>367</v>
      </c>
      <c r="N47" s="52" t="str">
        <f>IF(AND('331-CT'!$E$7=TH!H47,OR(L47="331",M47="331")),"331",IF(AND(OR(L47="131",M47="131"),H47='131-CT'!$E$7),"131",""))</f>
        <v/>
      </c>
      <c r="O47" s="902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21"/>
      <c r="AC47" s="560" t="str">
        <f>IF(VLOOKUP(H47,DS_131,1,0)&lt;&gt;"","","x")</f>
        <v/>
      </c>
      <c r="AD47" s="211"/>
    </row>
    <row r="48" spans="1:30" s="560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930</v>
      </c>
      <c r="E48" s="184">
        <v>41694</v>
      </c>
      <c r="F48" s="189" t="s">
        <v>427</v>
      </c>
      <c r="G48" s="628" t="s">
        <v>450</v>
      </c>
      <c r="H48" s="7" t="s">
        <v>916</v>
      </c>
      <c r="I48" s="256">
        <v>490</v>
      </c>
      <c r="J48" s="256">
        <v>17300</v>
      </c>
      <c r="K48" s="568">
        <f>ROUND(I48*J48,0)</f>
        <v>8477000</v>
      </c>
      <c r="L48" s="569" t="s">
        <v>253</v>
      </c>
      <c r="M48" s="569" t="s">
        <v>177</v>
      </c>
      <c r="N48" s="52" t="str">
        <f>IF(AND('331-CT'!$E$7=TH!H48,OR(L48="331",M48="331")),"331",IF(AND(OR(L48="131",M48="131"),H48='131-CT'!$E$7),"131",""))</f>
        <v/>
      </c>
      <c r="O48" s="90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21"/>
      <c r="AC48" s="211" t="str">
        <f>IF(F48=VLOOKUP(F48,NXT!$C$12:$C$305,1,0),"","x")</f>
        <v/>
      </c>
      <c r="AD48" s="211"/>
    </row>
    <row r="49" spans="1:31" s="560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930</v>
      </c>
      <c r="E49" s="184">
        <v>41694</v>
      </c>
      <c r="F49" s="40" t="s">
        <v>451</v>
      </c>
      <c r="G49" s="628" t="s">
        <v>450</v>
      </c>
      <c r="H49" s="7" t="s">
        <v>916</v>
      </c>
      <c r="I49" s="256">
        <v>980</v>
      </c>
      <c r="J49" s="256">
        <v>1500</v>
      </c>
      <c r="K49" s="568">
        <f>ROUND(I49*J49,0)</f>
        <v>1470000</v>
      </c>
      <c r="L49" s="569" t="s">
        <v>253</v>
      </c>
      <c r="M49" s="569" t="s">
        <v>177</v>
      </c>
      <c r="N49" s="52" t="str">
        <f>IF(AND('331-CT'!$E$7=TH!H49,OR(L49="331",M49="331")),"331",IF(AND(OR(L49="131",M49="131"),H49='131-CT'!$E$7),"131",""))</f>
        <v/>
      </c>
      <c r="O49" s="90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21"/>
      <c r="AC49" s="211" t="str">
        <f>IF(F49=VLOOKUP(F49,NXT!$C$12:$C$305,1,0),"","x")</f>
        <v/>
      </c>
    </row>
    <row r="50" spans="1:31" s="560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930</v>
      </c>
      <c r="E50" s="184">
        <v>41694</v>
      </c>
      <c r="F50" s="40" t="s">
        <v>426</v>
      </c>
      <c r="G50" s="628" t="s">
        <v>450</v>
      </c>
      <c r="H50" s="7" t="s">
        <v>916</v>
      </c>
      <c r="I50" s="256"/>
      <c r="J50" s="256"/>
      <c r="K50" s="38">
        <v>994700</v>
      </c>
      <c r="L50" s="569" t="s">
        <v>253</v>
      </c>
      <c r="M50" s="569" t="s">
        <v>367</v>
      </c>
      <c r="N50" s="52" t="str">
        <f>IF(AND('331-CT'!$E$7=TH!H50,OR(L50="331",M50="331")),"331",IF(AND(OR(L50="131",M50="131"),H50='131-CT'!$E$7),"131",""))</f>
        <v/>
      </c>
      <c r="O50" s="902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21"/>
      <c r="AC50" s="560" t="str">
        <f>IF(VLOOKUP(H50,DS_131,1,0)&lt;&gt;"","","x")</f>
        <v/>
      </c>
    </row>
    <row r="51" spans="1:31" s="560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931</v>
      </c>
      <c r="E51" s="184">
        <v>41697</v>
      </c>
      <c r="F51" s="189" t="s">
        <v>452</v>
      </c>
      <c r="G51" s="628" t="s">
        <v>453</v>
      </c>
      <c r="H51" s="7" t="s">
        <v>919</v>
      </c>
      <c r="I51" s="256">
        <v>2500</v>
      </c>
      <c r="J51" s="256">
        <v>4800</v>
      </c>
      <c r="K51" s="568">
        <f>ROUND(I51*J51,0)</f>
        <v>12000000</v>
      </c>
      <c r="L51" s="569" t="s">
        <v>253</v>
      </c>
      <c r="M51" s="569" t="s">
        <v>177</v>
      </c>
      <c r="N51" s="52" t="str">
        <f>IF(AND('331-CT'!$E$7=TH!H51,OR(L51="331",M51="331")),"331",IF(AND(OR(L51="131",M51="131"),H51='131-CT'!$E$7),"131",""))</f>
        <v/>
      </c>
      <c r="O51" s="90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21"/>
      <c r="AC51" s="211" t="str">
        <f>IF(F51=VLOOKUP(F51,NXT!$C$12:$C$305,1,0),"","x")</f>
        <v/>
      </c>
      <c r="AD51" s="211"/>
    </row>
    <row r="52" spans="1:31" s="560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931</v>
      </c>
      <c r="E52" s="184">
        <v>41697</v>
      </c>
      <c r="F52" s="189" t="s">
        <v>426</v>
      </c>
      <c r="G52" s="628" t="s">
        <v>453</v>
      </c>
      <c r="H52" s="7" t="s">
        <v>919</v>
      </c>
      <c r="I52" s="256"/>
      <c r="J52" s="256"/>
      <c r="K52" s="568">
        <v>1200000</v>
      </c>
      <c r="L52" s="569" t="s">
        <v>253</v>
      </c>
      <c r="M52" s="569" t="s">
        <v>367</v>
      </c>
      <c r="N52" s="52" t="str">
        <f>IF(AND('331-CT'!$E$7=TH!H52,OR(L52="331",M52="331")),"331",IF(AND(OR(L52="131",M52="131"),H52='131-CT'!$E$7),"131",""))</f>
        <v/>
      </c>
      <c r="O52" s="90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21"/>
      <c r="AC52" s="560" t="str">
        <f>IF(VLOOKUP(H52,DS_131,1,0)&lt;&gt;"","","x")</f>
        <v/>
      </c>
      <c r="AD52" s="211"/>
    </row>
    <row r="53" spans="1:31" s="560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932</v>
      </c>
      <c r="E53" s="184">
        <v>41698</v>
      </c>
      <c r="F53" s="189" t="s">
        <v>454</v>
      </c>
      <c r="G53" s="628" t="s">
        <v>455</v>
      </c>
      <c r="H53" s="7" t="s">
        <v>917</v>
      </c>
      <c r="I53" s="256">
        <v>313</v>
      </c>
      <c r="J53" s="256">
        <v>7000</v>
      </c>
      <c r="K53" s="568">
        <f>ROUND(I53*J53,0)</f>
        <v>2191000</v>
      </c>
      <c r="L53" s="569" t="s">
        <v>253</v>
      </c>
      <c r="M53" s="569" t="s">
        <v>177</v>
      </c>
      <c r="N53" s="52" t="str">
        <f>IF(AND('331-CT'!$E$7=TH!H53,OR(L53="331",M53="331")),"331",IF(AND(OR(L53="131",M53="131"),H53='131-CT'!$E$7),"131",""))</f>
        <v/>
      </c>
      <c r="O53" s="902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21"/>
      <c r="AC53" s="211" t="str">
        <f>IF(F53=VLOOKUP(F53,NXT!$C$12:$C$305,1,0),"","x")</f>
        <v/>
      </c>
    </row>
    <row r="54" spans="1:31" s="560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932</v>
      </c>
      <c r="E54" s="184">
        <v>41698</v>
      </c>
      <c r="F54" s="189" t="s">
        <v>436</v>
      </c>
      <c r="G54" s="628" t="s">
        <v>455</v>
      </c>
      <c r="H54" s="7" t="s">
        <v>917</v>
      </c>
      <c r="I54" s="256">
        <v>586</v>
      </c>
      <c r="J54" s="256">
        <v>8600</v>
      </c>
      <c r="K54" s="568">
        <f>ROUND(I54*J54,0)</f>
        <v>5039600</v>
      </c>
      <c r="L54" s="569" t="s">
        <v>253</v>
      </c>
      <c r="M54" s="569" t="s">
        <v>177</v>
      </c>
      <c r="N54" s="52" t="str">
        <f>IF(AND('331-CT'!$E$7=TH!H54,OR(L54="331",M54="331")),"331",IF(AND(OR(L54="131",M54="131"),H54='131-CT'!$E$7),"131",""))</f>
        <v/>
      </c>
      <c r="O54" s="90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21"/>
      <c r="AC54" s="211" t="str">
        <f>IF(F54=VLOOKUP(F54,NXT!$C$12:$C$305,1,0),"","x")</f>
        <v/>
      </c>
    </row>
    <row r="55" spans="1:31" s="560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932</v>
      </c>
      <c r="E55" s="184">
        <v>41698</v>
      </c>
      <c r="F55" s="189" t="s">
        <v>456</v>
      </c>
      <c r="G55" s="628" t="s">
        <v>455</v>
      </c>
      <c r="H55" s="7" t="s">
        <v>917</v>
      </c>
      <c r="I55" s="256">
        <v>310</v>
      </c>
      <c r="J55" s="256">
        <v>13500</v>
      </c>
      <c r="K55" s="568">
        <f>ROUND(I55*J55,0)</f>
        <v>4185000</v>
      </c>
      <c r="L55" s="569" t="s">
        <v>253</v>
      </c>
      <c r="M55" s="569" t="s">
        <v>177</v>
      </c>
      <c r="N55" s="52" t="str">
        <f>IF(AND('331-CT'!$E$7=TH!H55,OR(L55="331",M55="331")),"331",IF(AND(OR(L55="131",M55="131"),H55='131-CT'!$E$7),"131",""))</f>
        <v/>
      </c>
      <c r="O55" s="90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21"/>
      <c r="AC55" s="211" t="str">
        <f>IF(F55=VLOOKUP(F55,NXT!$C$12:$C$305,1,0),"","x")</f>
        <v/>
      </c>
    </row>
    <row r="56" spans="1:31" s="560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932</v>
      </c>
      <c r="E56" s="184">
        <v>41698</v>
      </c>
      <c r="F56" s="189" t="s">
        <v>457</v>
      </c>
      <c r="G56" s="628" t="s">
        <v>455</v>
      </c>
      <c r="H56" s="7" t="s">
        <v>917</v>
      </c>
      <c r="I56" s="256">
        <v>200</v>
      </c>
      <c r="J56" s="256">
        <v>8000</v>
      </c>
      <c r="K56" s="568">
        <f>ROUND(I56*J56,0)</f>
        <v>1600000</v>
      </c>
      <c r="L56" s="569" t="s">
        <v>253</v>
      </c>
      <c r="M56" s="569" t="s">
        <v>177</v>
      </c>
      <c r="N56" s="52" t="str">
        <f>IF(AND('331-CT'!$E$7=TH!H56,OR(L56="331",M56="331")),"331",IF(AND(OR(L56="131",M56="131"),H56='131-CT'!$E$7),"131",""))</f>
        <v/>
      </c>
      <c r="O56" s="90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21"/>
      <c r="AC56" s="211" t="str">
        <f>IF(F56=VLOOKUP(F56,NXT!$C$12:$C$305,1,0),"","x")</f>
        <v/>
      </c>
    </row>
    <row r="57" spans="1:31" s="560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932</v>
      </c>
      <c r="E57" s="731">
        <v>41698</v>
      </c>
      <c r="F57" s="443" t="s">
        <v>426</v>
      </c>
      <c r="G57" s="40" t="s">
        <v>455</v>
      </c>
      <c r="H57" s="7" t="s">
        <v>917</v>
      </c>
      <c r="I57" s="256"/>
      <c r="J57" s="256"/>
      <c r="K57" s="568">
        <v>1301560</v>
      </c>
      <c r="L57" s="569" t="s">
        <v>253</v>
      </c>
      <c r="M57" s="569" t="s">
        <v>367</v>
      </c>
      <c r="N57" s="52" t="str">
        <f>IF(AND('331-CT'!$E$7=TH!H57,OR(L57="331",M57="331")),"331",IF(AND(OR(L57="131",M57="131"),H57='131-CT'!$E$7),"131",""))</f>
        <v/>
      </c>
      <c r="O57" s="90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21"/>
      <c r="AC57" s="560" t="str">
        <f>IF(VLOOKUP(H57,DS_131,1,0)&lt;&gt;"","","x")</f>
        <v/>
      </c>
      <c r="AD57" s="211"/>
      <c r="AE57" s="211"/>
    </row>
    <row r="58" spans="1:31" s="560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933</v>
      </c>
      <c r="E58" s="731">
        <v>41698</v>
      </c>
      <c r="F58" s="443" t="s">
        <v>458</v>
      </c>
      <c r="G58" s="40" t="s">
        <v>459</v>
      </c>
      <c r="H58" s="7" t="s">
        <v>460</v>
      </c>
      <c r="I58" s="256">
        <v>210</v>
      </c>
      <c r="J58" s="256">
        <v>13000</v>
      </c>
      <c r="K58" s="568">
        <f>ROUND(I58*J58,0)</f>
        <v>2730000</v>
      </c>
      <c r="L58" s="569" t="s">
        <v>253</v>
      </c>
      <c r="M58" s="569" t="s">
        <v>177</v>
      </c>
      <c r="N58" s="52" t="str">
        <f>IF(AND('331-CT'!$E$7=TH!H58,OR(L58="331",M58="331")),"331",IF(AND(OR(L58="131",M58="131"),H58='131-CT'!$E$7),"131",""))</f>
        <v/>
      </c>
      <c r="O58" s="90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21"/>
      <c r="AC58" s="211" t="str">
        <f>IF(F58=VLOOKUP(F58,NXT!$C$12:$C$305,1,0),"","x")</f>
        <v/>
      </c>
      <c r="AD58" s="211"/>
      <c r="AE58" s="211"/>
    </row>
    <row r="59" spans="1:31" s="560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933</v>
      </c>
      <c r="E59" s="184">
        <v>41698</v>
      </c>
      <c r="F59" s="189" t="s">
        <v>461</v>
      </c>
      <c r="G59" s="628" t="s">
        <v>459</v>
      </c>
      <c r="H59" s="7" t="s">
        <v>460</v>
      </c>
      <c r="I59" s="256">
        <v>250</v>
      </c>
      <c r="J59" s="256">
        <v>14200</v>
      </c>
      <c r="K59" s="568">
        <f>ROUND(I59*J59,0)</f>
        <v>3550000</v>
      </c>
      <c r="L59" s="569" t="s">
        <v>253</v>
      </c>
      <c r="M59" s="569" t="s">
        <v>177</v>
      </c>
      <c r="N59" s="52" t="str">
        <f>IF(AND('331-CT'!$E$7=TH!H59,OR(L59="331",M59="331")),"331",IF(AND(OR(L59="131",M59="131"),H59='131-CT'!$E$7),"131",""))</f>
        <v/>
      </c>
      <c r="O59" s="90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21"/>
      <c r="AC59" s="211" t="str">
        <f>IF(F59=VLOOKUP(F59,NXT!$C$12:$C$305,1,0),"","x")</f>
        <v/>
      </c>
    </row>
    <row r="60" spans="1:31" s="560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933</v>
      </c>
      <c r="E60" s="184">
        <v>41698</v>
      </c>
      <c r="F60" s="189" t="s">
        <v>462</v>
      </c>
      <c r="G60" s="628" t="s">
        <v>459</v>
      </c>
      <c r="H60" s="7" t="s">
        <v>460</v>
      </c>
      <c r="I60" s="256">
        <v>100</v>
      </c>
      <c r="J60" s="256">
        <v>8000</v>
      </c>
      <c r="K60" s="568">
        <f>ROUND(I60*J60,0)</f>
        <v>800000</v>
      </c>
      <c r="L60" s="569" t="s">
        <v>253</v>
      </c>
      <c r="M60" s="569" t="s">
        <v>177</v>
      </c>
      <c r="N60" s="52" t="str">
        <f>IF(AND('331-CT'!$E$7=TH!H60,OR(L60="331",M60="331")),"331",IF(AND(OR(L60="131",M60="131"),H60='131-CT'!$E$7),"131",""))</f>
        <v/>
      </c>
      <c r="O60" s="90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21"/>
      <c r="AC60" s="211" t="str">
        <f>IF(F60=VLOOKUP(F60,NXT!$C$12:$C$305,1,0),"","x")</f>
        <v/>
      </c>
    </row>
    <row r="61" spans="1:31" s="560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933</v>
      </c>
      <c r="E61" s="184">
        <v>41698</v>
      </c>
      <c r="F61" s="189" t="s">
        <v>426</v>
      </c>
      <c r="G61" s="628" t="s">
        <v>459</v>
      </c>
      <c r="H61" s="7" t="s">
        <v>460</v>
      </c>
      <c r="I61" s="256"/>
      <c r="J61" s="256"/>
      <c r="K61" s="568">
        <v>708000</v>
      </c>
      <c r="L61" s="569" t="s">
        <v>253</v>
      </c>
      <c r="M61" s="569" t="s">
        <v>367</v>
      </c>
      <c r="N61" s="52" t="str">
        <f>IF(AND('331-CT'!$E$7=TH!H61,OR(L61="331",M61="331")),"331",IF(AND(OR(L61="131",M61="131"),H61='131-CT'!$E$7),"131",""))</f>
        <v/>
      </c>
      <c r="O61" s="90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21"/>
      <c r="AC61" s="560" t="str">
        <f>IF(VLOOKUP(H61,DS_131,1,0)&lt;&gt;"","","x")</f>
        <v/>
      </c>
    </row>
    <row r="62" spans="1:31" s="560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934</v>
      </c>
      <c r="E62" s="184">
        <v>41698</v>
      </c>
      <c r="F62" s="189" t="s">
        <v>452</v>
      </c>
      <c r="G62" s="570" t="s">
        <v>463</v>
      </c>
      <c r="H62" s="44" t="s">
        <v>464</v>
      </c>
      <c r="I62" s="256">
        <v>500</v>
      </c>
      <c r="J62" s="256">
        <v>5700</v>
      </c>
      <c r="K62" s="568">
        <f>ROUND(I62*J62,0)</f>
        <v>2850000</v>
      </c>
      <c r="L62" s="569" t="s">
        <v>253</v>
      </c>
      <c r="M62" s="569" t="s">
        <v>177</v>
      </c>
      <c r="N62" s="52" t="str">
        <f>IF(AND('331-CT'!$E$7=TH!H62,OR(L62="331",M62="331")),"331",IF(AND(OR(L62="131",M62="131"),H62='131-CT'!$E$7),"131",""))</f>
        <v/>
      </c>
      <c r="O62" s="90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21"/>
      <c r="AC62" s="211" t="str">
        <f>IF(F62=VLOOKUP(F62,NXT!$C$12:$C$305,1,0),"","x")</f>
        <v/>
      </c>
    </row>
    <row r="63" spans="1:31" s="560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934</v>
      </c>
      <c r="E63" s="184">
        <v>41698</v>
      </c>
      <c r="F63" s="189" t="s">
        <v>426</v>
      </c>
      <c r="G63" s="628" t="s">
        <v>463</v>
      </c>
      <c r="H63" s="7" t="s">
        <v>464</v>
      </c>
      <c r="I63" s="256"/>
      <c r="J63" s="256"/>
      <c r="K63" s="568">
        <v>285000</v>
      </c>
      <c r="L63" s="569" t="s">
        <v>253</v>
      </c>
      <c r="M63" s="569" t="s">
        <v>367</v>
      </c>
      <c r="N63" s="52" t="str">
        <f>IF(AND('331-CT'!$E$7=TH!H63,OR(L63="331",M63="331")),"331",IF(AND(OR(L63="131",M63="131"),H63='131-CT'!$E$7),"131",""))</f>
        <v/>
      </c>
      <c r="O63" s="90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21"/>
      <c r="AC63" s="560" t="str">
        <f>IF(VLOOKUP(H63,DS_131,1,0)&lt;&gt;"","","x")</f>
        <v/>
      </c>
    </row>
    <row r="64" spans="1:31" s="560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935</v>
      </c>
      <c r="E64" s="184">
        <v>41702</v>
      </c>
      <c r="F64" s="189" t="s">
        <v>465</v>
      </c>
      <c r="G64" s="628" t="s">
        <v>466</v>
      </c>
      <c r="H64" s="7" t="s">
        <v>467</v>
      </c>
      <c r="I64" s="256">
        <v>1115</v>
      </c>
      <c r="J64" s="256">
        <v>8740</v>
      </c>
      <c r="K64" s="568">
        <f>ROUND(I64*J64,0)</f>
        <v>9745100</v>
      </c>
      <c r="L64" s="569" t="s">
        <v>253</v>
      </c>
      <c r="M64" s="569" t="s">
        <v>177</v>
      </c>
      <c r="N64" s="52" t="str">
        <f>IF(AND('331-CT'!$E$7=TH!H64,OR(L64="331",M64="331")),"331",IF(AND(OR(L64="131",M64="131"),H64='131-CT'!$E$7),"131",""))</f>
        <v/>
      </c>
      <c r="O64" s="90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21"/>
      <c r="AC64" s="211" t="str">
        <f>IF(F64=VLOOKUP(F64,NXT!$C$12:$C$305,1,0),"","x")</f>
        <v/>
      </c>
    </row>
    <row r="65" spans="1:31" s="560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935</v>
      </c>
      <c r="E65" s="184">
        <v>41702</v>
      </c>
      <c r="F65" s="189" t="s">
        <v>426</v>
      </c>
      <c r="G65" s="628" t="s">
        <v>466</v>
      </c>
      <c r="H65" s="7" t="s">
        <v>467</v>
      </c>
      <c r="I65" s="256"/>
      <c r="J65" s="256"/>
      <c r="K65" s="568">
        <v>974510</v>
      </c>
      <c r="L65" s="569" t="s">
        <v>253</v>
      </c>
      <c r="M65" s="569" t="s">
        <v>367</v>
      </c>
      <c r="N65" s="52" t="str">
        <f>IF(AND('331-CT'!$E$7=TH!H65,OR(L65="331",M65="331")),"331",IF(AND(OR(L65="131",M65="131"),H65='131-CT'!$E$7),"131",""))</f>
        <v/>
      </c>
      <c r="O65" s="90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21"/>
      <c r="AC65" s="560" t="str">
        <f>IF(VLOOKUP(H65,DS_131,1,0)&lt;&gt;"","","x")</f>
        <v/>
      </c>
    </row>
    <row r="66" spans="1:31" s="560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936</v>
      </c>
      <c r="E66" s="184">
        <v>41704</v>
      </c>
      <c r="F66" s="189" t="s">
        <v>429</v>
      </c>
      <c r="G66" s="628" t="s">
        <v>468</v>
      </c>
      <c r="H66" s="7" t="s">
        <v>431</v>
      </c>
      <c r="I66" s="256">
        <v>505</v>
      </c>
      <c r="J66" s="256">
        <v>10500</v>
      </c>
      <c r="K66" s="568">
        <f>ROUND(I66*J66,0)</f>
        <v>5302500</v>
      </c>
      <c r="L66" s="569" t="s">
        <v>253</v>
      </c>
      <c r="M66" s="569" t="s">
        <v>177</v>
      </c>
      <c r="N66" s="52" t="str">
        <f>IF(AND('331-CT'!$E$7=TH!H66,OR(L66="331",M66="331")),"331",IF(AND(OR(L66="131",M66="131"),H66='131-CT'!$E$7),"131",""))</f>
        <v/>
      </c>
      <c r="O66" s="90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21"/>
      <c r="AC66" s="211" t="str">
        <f>IF(F66=VLOOKUP(F66,NXT!$C$12:$C$305,1,0),"","x")</f>
        <v/>
      </c>
    </row>
    <row r="67" spans="1:31" s="560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936</v>
      </c>
      <c r="E67" s="184">
        <v>41704</v>
      </c>
      <c r="F67" s="189" t="s">
        <v>469</v>
      </c>
      <c r="G67" s="628" t="s">
        <v>468</v>
      </c>
      <c r="H67" s="7" t="s">
        <v>431</v>
      </c>
      <c r="I67" s="256">
        <v>520</v>
      </c>
      <c r="J67" s="256">
        <v>12500</v>
      </c>
      <c r="K67" s="568">
        <f>ROUND(I67*J67,0)</f>
        <v>6500000</v>
      </c>
      <c r="L67" s="569" t="s">
        <v>253</v>
      </c>
      <c r="M67" s="569" t="s">
        <v>177</v>
      </c>
      <c r="N67" s="52" t="str">
        <f>IF(AND('331-CT'!$E$7=TH!H67,OR(L67="331",M67="331")),"331",IF(AND(OR(L67="131",M67="131"),H67='131-CT'!$E$7),"131",""))</f>
        <v/>
      </c>
      <c r="O67" s="90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21"/>
      <c r="AC67" s="211" t="str">
        <f>IF(F67=VLOOKUP(F67,NXT!$C$12:$C$305,1,0),"","x")</f>
        <v/>
      </c>
    </row>
    <row r="68" spans="1:31" s="560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936</v>
      </c>
      <c r="E68" s="184">
        <v>41704</v>
      </c>
      <c r="F68" s="189" t="s">
        <v>426</v>
      </c>
      <c r="G68" s="628" t="s">
        <v>468</v>
      </c>
      <c r="H68" s="7" t="s">
        <v>431</v>
      </c>
      <c r="I68" s="256"/>
      <c r="J68" s="256"/>
      <c r="K68" s="568">
        <v>1180250</v>
      </c>
      <c r="L68" s="569" t="s">
        <v>253</v>
      </c>
      <c r="M68" s="569" t="s">
        <v>367</v>
      </c>
      <c r="N68" s="52" t="str">
        <f>IF(AND('331-CT'!$E$7=TH!H68,OR(L68="331",M68="331")),"331",IF(AND(OR(L68="131",M68="131"),H68='131-CT'!$E$7),"131",""))</f>
        <v/>
      </c>
      <c r="O68" s="90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21"/>
      <c r="AC68" s="560" t="str">
        <f>IF(VLOOKUP(H68,DS_131,1,0)&lt;&gt;"","","x")</f>
        <v/>
      </c>
    </row>
    <row r="69" spans="1:31" s="560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937</v>
      </c>
      <c r="E69" s="184">
        <v>41704</v>
      </c>
      <c r="F69" s="189" t="s">
        <v>452</v>
      </c>
      <c r="G69" s="628" t="s">
        <v>470</v>
      </c>
      <c r="H69" s="7" t="s">
        <v>471</v>
      </c>
      <c r="I69" s="256">
        <v>1139</v>
      </c>
      <c r="J69" s="256">
        <v>4829</v>
      </c>
      <c r="K69" s="568">
        <f>ROUND(I69*J69,0)</f>
        <v>5500231</v>
      </c>
      <c r="L69" s="569" t="s">
        <v>253</v>
      </c>
      <c r="M69" s="569" t="s">
        <v>177</v>
      </c>
      <c r="N69" s="52" t="str">
        <f>IF(AND('331-CT'!$E$7=TH!H69,OR(L69="331",M69="331")),"331",IF(AND(OR(L69="131",M69="131"),H69='131-CT'!$E$7),"131",""))</f>
        <v/>
      </c>
      <c r="O69" s="90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21"/>
      <c r="AC69" s="211" t="str">
        <f>IF(F69=VLOOKUP(F69,NXT!$C$12:$C$305,1,0),"","x")</f>
        <v/>
      </c>
    </row>
    <row r="70" spans="1:31" s="560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937</v>
      </c>
      <c r="E70" s="184">
        <v>41704</v>
      </c>
      <c r="F70" s="189" t="s">
        <v>426</v>
      </c>
      <c r="G70" s="628" t="s">
        <v>470</v>
      </c>
      <c r="H70" s="7" t="s">
        <v>471</v>
      </c>
      <c r="I70" s="256"/>
      <c r="J70" s="256"/>
      <c r="K70" s="568">
        <v>550023</v>
      </c>
      <c r="L70" s="569" t="s">
        <v>253</v>
      </c>
      <c r="M70" s="569" t="s">
        <v>367</v>
      </c>
      <c r="N70" s="52" t="str">
        <f>IF(AND('331-CT'!$E$7=TH!H70,OR(L70="331",M70="331")),"331",IF(AND(OR(L70="131",M70="131"),H70='131-CT'!$E$7),"131",""))</f>
        <v/>
      </c>
      <c r="O70" s="90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21"/>
      <c r="AC70" s="560" t="str">
        <f>IF(VLOOKUP(H70,DS_131,1,0)&lt;&gt;"","","x")</f>
        <v/>
      </c>
    </row>
    <row r="71" spans="1:31" s="560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938</v>
      </c>
      <c r="E71" s="184">
        <v>41710</v>
      </c>
      <c r="F71" s="189" t="s">
        <v>472</v>
      </c>
      <c r="G71" s="628" t="s">
        <v>473</v>
      </c>
      <c r="H71" s="7" t="s">
        <v>918</v>
      </c>
      <c r="I71" s="256">
        <v>1638</v>
      </c>
      <c r="J71" s="256">
        <v>4650</v>
      </c>
      <c r="K71" s="568">
        <f>ROUND(I71*J71,0)</f>
        <v>7616700</v>
      </c>
      <c r="L71" s="569" t="s">
        <v>253</v>
      </c>
      <c r="M71" s="569" t="s">
        <v>177</v>
      </c>
      <c r="N71" s="52" t="str">
        <f>IF(AND('331-CT'!$E$7=TH!H71,OR(L71="331",M71="331")),"331",IF(AND(OR(L71="131",M71="131"),H71='131-CT'!$E$7),"131",""))</f>
        <v/>
      </c>
      <c r="O71" s="90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21"/>
      <c r="AC71" s="211" t="str">
        <f>IF(F71=VLOOKUP(F71,NXT!$C$12:$C$305,1,0),"","x")</f>
        <v/>
      </c>
    </row>
    <row r="72" spans="1:31" s="560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938</v>
      </c>
      <c r="E72" s="184">
        <v>41710</v>
      </c>
      <c r="F72" s="189" t="s">
        <v>426</v>
      </c>
      <c r="G72" s="628" t="s">
        <v>473</v>
      </c>
      <c r="H72" s="7" t="s">
        <v>918</v>
      </c>
      <c r="I72" s="256"/>
      <c r="J72" s="256"/>
      <c r="K72" s="568">
        <v>761670</v>
      </c>
      <c r="L72" s="569" t="s">
        <v>253</v>
      </c>
      <c r="M72" s="569" t="s">
        <v>367</v>
      </c>
      <c r="N72" s="52" t="str">
        <f>IF(AND('331-CT'!$E$7=TH!H72,OR(L72="331",M72="331")),"331",IF(AND(OR(L72="131",M72="131"),H72='131-CT'!$E$7),"131",""))</f>
        <v/>
      </c>
      <c r="O72" s="90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21"/>
      <c r="AC72" s="560" t="str">
        <f>IF(VLOOKUP(H72,DS_131,1,0)&lt;&gt;"","","x")</f>
        <v/>
      </c>
    </row>
    <row r="73" spans="1:31" s="560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939</v>
      </c>
      <c r="E73" s="37">
        <v>41718</v>
      </c>
      <c r="F73" s="40" t="s">
        <v>452</v>
      </c>
      <c r="G73" s="465" t="s">
        <v>474</v>
      </c>
      <c r="H73" s="45" t="s">
        <v>475</v>
      </c>
      <c r="I73" s="256">
        <v>110</v>
      </c>
      <c r="J73" s="256">
        <v>4420</v>
      </c>
      <c r="K73" s="568">
        <f>ROUND(I73*J73,0)</f>
        <v>486200</v>
      </c>
      <c r="L73" s="569" t="s">
        <v>253</v>
      </c>
      <c r="M73" s="569" t="s">
        <v>177</v>
      </c>
      <c r="N73" s="52" t="str">
        <f>IF(AND('331-CT'!$E$7=TH!H73,OR(L73="331",M73="331")),"331",IF(AND(OR(L73="131",M73="131"),H73='131-CT'!$E$7),"131",""))</f>
        <v/>
      </c>
      <c r="O73" s="90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21"/>
      <c r="AC73" s="211" t="str">
        <f>IF(F73=VLOOKUP(F73,NXT!$C$12:$C$305,1,0),"","x")</f>
        <v/>
      </c>
      <c r="AD73" s="211"/>
      <c r="AE73" s="211"/>
    </row>
    <row r="74" spans="1:31" s="56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939</v>
      </c>
      <c r="E74" s="37">
        <v>41718</v>
      </c>
      <c r="F74" s="40" t="s">
        <v>476</v>
      </c>
      <c r="G74" s="465" t="s">
        <v>474</v>
      </c>
      <c r="H74" s="45" t="s">
        <v>475</v>
      </c>
      <c r="I74" s="256">
        <v>880</v>
      </c>
      <c r="J74" s="256">
        <v>5720</v>
      </c>
      <c r="K74" s="568">
        <f>ROUND(I74*J74,0)</f>
        <v>5033600</v>
      </c>
      <c r="L74" s="569" t="s">
        <v>253</v>
      </c>
      <c r="M74" s="569" t="s">
        <v>177</v>
      </c>
      <c r="N74" s="52" t="str">
        <f>IF(AND('331-CT'!$E$7=TH!H74,OR(L74="331",M74="331")),"331",IF(AND(OR(L74="131",M74="131"),H74='131-CT'!$E$7),"131",""))</f>
        <v/>
      </c>
      <c r="O74" s="90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21"/>
      <c r="AC74" s="211" t="str">
        <f>IF(F74=VLOOKUP(F74,NXT!$C$12:$C$305,1,0),"","x")</f>
        <v/>
      </c>
      <c r="AD74" s="211"/>
      <c r="AE74" s="211"/>
    </row>
    <row r="75" spans="1:31" s="56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939</v>
      </c>
      <c r="E75" s="184">
        <v>41718</v>
      </c>
      <c r="F75" s="189" t="s">
        <v>426</v>
      </c>
      <c r="G75" s="570" t="s">
        <v>474</v>
      </c>
      <c r="H75" s="44" t="s">
        <v>475</v>
      </c>
      <c r="I75" s="256"/>
      <c r="J75" s="256"/>
      <c r="K75" s="568">
        <v>551980</v>
      </c>
      <c r="L75" s="569" t="s">
        <v>253</v>
      </c>
      <c r="M75" s="569" t="s">
        <v>367</v>
      </c>
      <c r="N75" s="52" t="str">
        <f>IF(AND('331-CT'!$E$7=TH!H75,OR(L75="331",M75="331")),"331",IF(AND(OR(L75="131",M75="131"),H75='131-CT'!$E$7),"131",""))</f>
        <v/>
      </c>
      <c r="O75" s="90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21"/>
      <c r="AC75" s="560" t="str">
        <f>IF(VLOOKUP(H75,DS_131,1,0)&lt;&gt;"","","x")</f>
        <v/>
      </c>
    </row>
    <row r="76" spans="1:31" s="56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940</v>
      </c>
      <c r="E76" s="184">
        <v>41720</v>
      </c>
      <c r="F76" s="189" t="s">
        <v>452</v>
      </c>
      <c r="G76" s="628" t="s">
        <v>477</v>
      </c>
      <c r="H76" s="7" t="s">
        <v>478</v>
      </c>
      <c r="I76" s="256">
        <v>214</v>
      </c>
      <c r="J76" s="256">
        <v>19000</v>
      </c>
      <c r="K76" s="568">
        <f>ROUND(I76*J76,0)</f>
        <v>4066000</v>
      </c>
      <c r="L76" s="569" t="s">
        <v>253</v>
      </c>
      <c r="M76" s="569" t="s">
        <v>177</v>
      </c>
      <c r="N76" s="52" t="str">
        <f>IF(AND('331-CT'!$E$7=TH!H76,OR(L76="331",M76="331")),"331",IF(AND(OR(L76="131",M76="131"),H76='131-CT'!$E$7),"131",""))</f>
        <v/>
      </c>
      <c r="O76" s="90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21"/>
      <c r="AC76" s="211" t="str">
        <f>IF(F76=VLOOKUP(F76,NXT!$C$12:$C$305,1,0),"","x")</f>
        <v/>
      </c>
    </row>
    <row r="77" spans="1:31" s="56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940</v>
      </c>
      <c r="E77" s="184">
        <v>41720</v>
      </c>
      <c r="F77" s="189" t="s">
        <v>426</v>
      </c>
      <c r="G77" s="628" t="s">
        <v>477</v>
      </c>
      <c r="H77" s="7" t="s">
        <v>478</v>
      </c>
      <c r="I77" s="256"/>
      <c r="J77" s="256"/>
      <c r="K77" s="568">
        <v>406600</v>
      </c>
      <c r="L77" s="569" t="s">
        <v>253</v>
      </c>
      <c r="M77" s="569" t="s">
        <v>367</v>
      </c>
      <c r="N77" s="52" t="str">
        <f>IF(AND('331-CT'!$E$7=TH!H77,OR(L77="331",M77="331")),"331",IF(AND(OR(L77="131",M77="131"),H77='131-CT'!$E$7),"131",""))</f>
        <v/>
      </c>
      <c r="O77" s="90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21"/>
      <c r="AC77" s="560" t="str">
        <f>IF(VLOOKUP(H77,DS_131,1,0)&lt;&gt;"","","x")</f>
        <v/>
      </c>
    </row>
    <row r="78" spans="1:31" s="560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941</v>
      </c>
      <c r="E78" s="184">
        <v>41724</v>
      </c>
      <c r="F78" s="189" t="s">
        <v>479</v>
      </c>
      <c r="G78" s="570" t="s">
        <v>480</v>
      </c>
      <c r="H78" s="7" t="s">
        <v>918</v>
      </c>
      <c r="I78" s="256">
        <v>1029</v>
      </c>
      <c r="J78" s="256">
        <v>12000</v>
      </c>
      <c r="K78" s="568">
        <f>ROUND(I78*J78,0)</f>
        <v>12348000</v>
      </c>
      <c r="L78" s="569" t="s">
        <v>253</v>
      </c>
      <c r="M78" s="569" t="s">
        <v>177</v>
      </c>
      <c r="N78" s="52" t="str">
        <f>IF(AND('331-CT'!$E$7=TH!H78,OR(L78="331",M78="331")),"331",IF(AND(OR(L78="131",M78="131"),H78='131-CT'!$E$7),"131",""))</f>
        <v/>
      </c>
      <c r="O78" s="90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21"/>
      <c r="AC78" s="211" t="str">
        <f>IF(F78=VLOOKUP(F78,NXT!$C$12:$C$305,1,0),"","x")</f>
        <v/>
      </c>
    </row>
    <row r="79" spans="1:31" s="56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941</v>
      </c>
      <c r="E79" s="37">
        <v>41724</v>
      </c>
      <c r="F79" s="189" t="s">
        <v>426</v>
      </c>
      <c r="G79" s="465" t="s">
        <v>480</v>
      </c>
      <c r="H79" s="7" t="s">
        <v>918</v>
      </c>
      <c r="I79" s="258"/>
      <c r="J79" s="256"/>
      <c r="K79" s="568">
        <v>1234800</v>
      </c>
      <c r="L79" s="569" t="s">
        <v>253</v>
      </c>
      <c r="M79" s="569" t="s">
        <v>367</v>
      </c>
      <c r="N79" s="52" t="str">
        <f>IF(AND('331-CT'!$E$7=TH!H79,OR(L79="331",M79="331")),"331",IF(AND(OR(L79="131",M79="131"),H79='131-CT'!$E$7),"131",""))</f>
        <v/>
      </c>
      <c r="O79" s="90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21"/>
      <c r="AC79" s="560" t="str">
        <f>IF(VLOOKUP(H79,DS_131,1,0)&lt;&gt;"","","x")</f>
        <v/>
      </c>
      <c r="AD79" s="211"/>
      <c r="AE79" s="211"/>
    </row>
    <row r="80" spans="1:31" s="56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942</v>
      </c>
      <c r="E80" s="37">
        <v>41728</v>
      </c>
      <c r="F80" s="189" t="s">
        <v>481</v>
      </c>
      <c r="G80" s="465" t="s">
        <v>482</v>
      </c>
      <c r="H80" s="7" t="s">
        <v>483</v>
      </c>
      <c r="I80" s="256">
        <v>400</v>
      </c>
      <c r="J80" s="258">
        <v>1260</v>
      </c>
      <c r="K80" s="568">
        <f>ROUND(I80*J80,0)</f>
        <v>504000</v>
      </c>
      <c r="L80" s="569" t="s">
        <v>253</v>
      </c>
      <c r="M80" s="569" t="s">
        <v>177</v>
      </c>
      <c r="N80" s="52" t="str">
        <f>IF(AND('331-CT'!$E$7=TH!H80,OR(L80="331",M80="331")),"331",IF(AND(OR(L80="131",M80="131"),H80='131-CT'!$E$7),"131",""))</f>
        <v/>
      </c>
      <c r="O80" s="90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21"/>
      <c r="AC80" s="211" t="str">
        <f>IF(F80=VLOOKUP(F80,NXT!$C$12:$C$305,1,0),"","x")</f>
        <v/>
      </c>
      <c r="AD80" s="211"/>
      <c r="AE80" s="211"/>
    </row>
    <row r="81" spans="1:31" s="56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942</v>
      </c>
      <c r="E81" s="37">
        <v>41728</v>
      </c>
      <c r="F81" s="189" t="s">
        <v>484</v>
      </c>
      <c r="G81" s="465" t="s">
        <v>482</v>
      </c>
      <c r="H81" s="7" t="s">
        <v>483</v>
      </c>
      <c r="I81" s="256">
        <v>600</v>
      </c>
      <c r="J81" s="258">
        <v>1300</v>
      </c>
      <c r="K81" s="568">
        <f>ROUND(I81*J81,0)</f>
        <v>780000</v>
      </c>
      <c r="L81" s="569" t="s">
        <v>253</v>
      </c>
      <c r="M81" s="569" t="s">
        <v>177</v>
      </c>
      <c r="N81" s="52" t="str">
        <f>IF(AND('331-CT'!$E$7=TH!H81,OR(L81="331",M81="331")),"331",IF(AND(OR(L81="131",M81="131"),H81='131-CT'!$E$7),"131",""))</f>
        <v/>
      </c>
      <c r="O81" s="90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21"/>
      <c r="AC81" s="211" t="str">
        <f>IF(F81=VLOOKUP(F81,NXT!$C$12:$C$305,1,0),"","x")</f>
        <v/>
      </c>
      <c r="AD81" s="211"/>
      <c r="AE81" s="211"/>
    </row>
    <row r="82" spans="1:31" s="560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942</v>
      </c>
      <c r="E82" s="37">
        <v>41728</v>
      </c>
      <c r="F82" s="189" t="s">
        <v>485</v>
      </c>
      <c r="G82" s="465" t="s">
        <v>482</v>
      </c>
      <c r="H82" s="7" t="s">
        <v>483</v>
      </c>
      <c r="I82" s="256">
        <v>400</v>
      </c>
      <c r="J82" s="258">
        <v>760</v>
      </c>
      <c r="K82" s="568">
        <f>ROUND(I82*J82,0)</f>
        <v>304000</v>
      </c>
      <c r="L82" s="569" t="s">
        <v>253</v>
      </c>
      <c r="M82" s="569" t="s">
        <v>177</v>
      </c>
      <c r="N82" s="52" t="str">
        <f>IF(AND('331-CT'!$E$7=TH!H82,OR(L82="331",M82="331")),"331",IF(AND(OR(L82="131",M82="131"),H82='131-CT'!$E$7),"131",""))</f>
        <v/>
      </c>
      <c r="O82" s="90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21"/>
      <c r="AC82" s="211" t="str">
        <f>IF(F82=VLOOKUP(F82,NXT!$C$12:$C$305,1,0),"","x")</f>
        <v/>
      </c>
      <c r="AD82" s="211"/>
      <c r="AE82" s="211"/>
    </row>
    <row r="83" spans="1:31" s="560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942</v>
      </c>
      <c r="E83" s="37">
        <v>41728</v>
      </c>
      <c r="F83" s="189" t="s">
        <v>486</v>
      </c>
      <c r="G83" s="465" t="s">
        <v>482</v>
      </c>
      <c r="H83" s="7" t="s">
        <v>483</v>
      </c>
      <c r="I83" s="256">
        <v>50</v>
      </c>
      <c r="J83" s="258">
        <v>11000</v>
      </c>
      <c r="K83" s="568">
        <f>ROUND(I83*J83,0)</f>
        <v>550000</v>
      </c>
      <c r="L83" s="569" t="s">
        <v>253</v>
      </c>
      <c r="M83" s="569" t="s">
        <v>177</v>
      </c>
      <c r="N83" s="52" t="str">
        <f>IF(AND('331-CT'!$E$7=TH!H83,OR(L83="331",M83="331")),"331",IF(AND(OR(L83="131",M83="131"),H83='131-CT'!$E$7),"131",""))</f>
        <v/>
      </c>
      <c r="O83" s="90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21"/>
      <c r="AC83" s="211" t="str">
        <f>IF(F83=VLOOKUP(F83,NXT!$C$12:$C$305,1,0),"","x")</f>
        <v/>
      </c>
      <c r="AD83" s="211"/>
      <c r="AE83" s="211"/>
    </row>
    <row r="84" spans="1:31" s="560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942</v>
      </c>
      <c r="E84" s="37">
        <v>41728</v>
      </c>
      <c r="F84" s="189" t="s">
        <v>426</v>
      </c>
      <c r="G84" s="465" t="s">
        <v>482</v>
      </c>
      <c r="H84" s="7" t="s">
        <v>483</v>
      </c>
      <c r="I84" s="256"/>
      <c r="J84" s="258"/>
      <c r="K84" s="568">
        <v>213800</v>
      </c>
      <c r="L84" s="569" t="s">
        <v>253</v>
      </c>
      <c r="M84" s="569" t="s">
        <v>367</v>
      </c>
      <c r="N84" s="52" t="str">
        <f>IF(AND('331-CT'!$E$7=TH!H84,OR(L84="331",M84="331")),"331",IF(AND(OR(L84="131",M84="131"),H84='131-CT'!$E$7),"131",""))</f>
        <v/>
      </c>
      <c r="O84" s="90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21"/>
      <c r="AC84" s="560" t="str">
        <f>IF(VLOOKUP(H84,DS_131,1,0)&lt;&gt;"","","x")</f>
        <v/>
      </c>
      <c r="AD84" s="211"/>
      <c r="AE84" s="211"/>
    </row>
    <row r="85" spans="1:31" s="560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943</v>
      </c>
      <c r="E85" s="37">
        <v>41728</v>
      </c>
      <c r="F85" s="189" t="s">
        <v>487</v>
      </c>
      <c r="G85" s="465" t="s">
        <v>488</v>
      </c>
      <c r="H85" s="7" t="s">
        <v>916</v>
      </c>
      <c r="I85" s="256">
        <v>500</v>
      </c>
      <c r="J85" s="258">
        <v>17800</v>
      </c>
      <c r="K85" s="568">
        <f>ROUND(I85*J85,0)</f>
        <v>8900000</v>
      </c>
      <c r="L85" s="569" t="s">
        <v>253</v>
      </c>
      <c r="M85" s="569" t="s">
        <v>177</v>
      </c>
      <c r="N85" s="52" t="str">
        <f>IF(AND('331-CT'!$E$7=TH!H85,OR(L85="331",M85="331")),"331",IF(AND(OR(L85="131",M85="131"),H85='131-CT'!$E$7),"131",""))</f>
        <v/>
      </c>
      <c r="O85" s="90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21"/>
      <c r="AC85" s="211" t="str">
        <f>IF(F85=VLOOKUP(F85,NXT!$C$12:$C$305,1,0),"","x")</f>
        <v/>
      </c>
      <c r="AD85" s="211"/>
      <c r="AE85" s="211"/>
    </row>
    <row r="86" spans="1:31" s="560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943</v>
      </c>
      <c r="E86" s="731">
        <v>41728</v>
      </c>
      <c r="F86" s="40" t="s">
        <v>451</v>
      </c>
      <c r="G86" s="40" t="s">
        <v>488</v>
      </c>
      <c r="H86" s="7" t="s">
        <v>916</v>
      </c>
      <c r="I86" s="256">
        <v>1000</v>
      </c>
      <c r="J86" s="256">
        <v>1500</v>
      </c>
      <c r="K86" s="568">
        <f>ROUND(I86*J86,0)</f>
        <v>1500000</v>
      </c>
      <c r="L86" s="569" t="s">
        <v>253</v>
      </c>
      <c r="M86" s="569" t="s">
        <v>177</v>
      </c>
      <c r="N86" s="52" t="str">
        <f>IF(AND('331-CT'!$E$7=TH!H86,OR(L86="331",M86="331")),"331",IF(AND(OR(L86="131",M86="131"),H86='131-CT'!$E$7),"131",""))</f>
        <v/>
      </c>
      <c r="O86" s="90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21"/>
      <c r="AC86" s="211" t="str">
        <f>IF(F86=VLOOKUP(F86,NXT!$C$12:$C$305,1,0),"","x")</f>
        <v/>
      </c>
      <c r="AD86" s="211"/>
      <c r="AE86" s="211"/>
    </row>
    <row r="87" spans="1:31" s="560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943</v>
      </c>
      <c r="E87" s="37">
        <v>41728</v>
      </c>
      <c r="F87" s="189" t="s">
        <v>426</v>
      </c>
      <c r="G87" s="465" t="s">
        <v>488</v>
      </c>
      <c r="H87" s="7" t="s">
        <v>916</v>
      </c>
      <c r="I87" s="256"/>
      <c r="J87" s="258"/>
      <c r="K87" s="568">
        <v>1015000</v>
      </c>
      <c r="L87" s="569" t="s">
        <v>253</v>
      </c>
      <c r="M87" s="569" t="s">
        <v>367</v>
      </c>
      <c r="N87" s="52" t="str">
        <f>IF(AND('331-CT'!$E$7=TH!H87,OR(L87="331",M87="331")),"331",IF(AND(OR(L87="131",M87="131"),H87='131-CT'!$E$7),"131",""))</f>
        <v/>
      </c>
      <c r="O87" s="90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21"/>
      <c r="AC87" s="560" t="str">
        <f>IF(VLOOKUP(H87,DS_131,1,0)&lt;&gt;"","","x")</f>
        <v/>
      </c>
      <c r="AD87" s="211"/>
      <c r="AE87" s="211"/>
    </row>
    <row r="88" spans="1:31" s="560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920</v>
      </c>
      <c r="E88" s="37">
        <v>41730</v>
      </c>
      <c r="F88" s="189" t="s">
        <v>489</v>
      </c>
      <c r="G88" s="465" t="s">
        <v>490</v>
      </c>
      <c r="H88" s="7" t="s">
        <v>478</v>
      </c>
      <c r="I88" s="256">
        <v>302</v>
      </c>
      <c r="J88" s="258">
        <v>12900</v>
      </c>
      <c r="K88" s="568">
        <f>ROUND(I88*J88,0)</f>
        <v>3895800</v>
      </c>
      <c r="L88" s="569" t="s">
        <v>253</v>
      </c>
      <c r="M88" s="569" t="s">
        <v>177</v>
      </c>
      <c r="N88" s="52" t="str">
        <f>IF(AND('331-CT'!$E$7=TH!H88,OR(L88="331",M88="331")),"331",IF(AND(OR(L88="131",M88="131"),H88='131-CT'!$E$7),"131",""))</f>
        <v/>
      </c>
      <c r="O88" s="90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21"/>
      <c r="AC88" s="211" t="str">
        <f>IF(F88=VLOOKUP(F88,NXT!$C$12:$C$305,1,0),"","x")</f>
        <v/>
      </c>
      <c r="AD88" s="211"/>
      <c r="AE88" s="211"/>
    </row>
    <row r="89" spans="1:31" s="21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920</v>
      </c>
      <c r="E89" s="37">
        <v>41730</v>
      </c>
      <c r="F89" s="189" t="s">
        <v>491</v>
      </c>
      <c r="G89" s="465" t="s">
        <v>490</v>
      </c>
      <c r="H89" s="7" t="s">
        <v>478</v>
      </c>
      <c r="I89" s="256">
        <v>300</v>
      </c>
      <c r="J89" s="258">
        <v>7000</v>
      </c>
      <c r="K89" s="568">
        <f>ROUND(I89*J89,0)</f>
        <v>2100000</v>
      </c>
      <c r="L89" s="569" t="s">
        <v>253</v>
      </c>
      <c r="M89" s="569" t="s">
        <v>177</v>
      </c>
      <c r="N89" s="52" t="str">
        <f>IF(AND('331-CT'!$E$7=TH!H89,OR(L89="331",M89="331")),"331",IF(AND(OR(L89="131",M89="131"),H89='131-CT'!$E$7),"131",""))</f>
        <v/>
      </c>
      <c r="O89" s="90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21"/>
      <c r="AC89" s="211" t="str">
        <f>IF(F89=VLOOKUP(F89,NXT!$C$12:$C$305,1,0),"","x")</f>
        <v/>
      </c>
    </row>
    <row r="90" spans="1:31" s="21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920</v>
      </c>
      <c r="E90" s="37">
        <v>41730</v>
      </c>
      <c r="F90" s="189" t="s">
        <v>492</v>
      </c>
      <c r="G90" s="465" t="s">
        <v>490</v>
      </c>
      <c r="H90" s="7" t="s">
        <v>478</v>
      </c>
      <c r="I90" s="256">
        <v>402</v>
      </c>
      <c r="J90" s="258">
        <v>9900</v>
      </c>
      <c r="K90" s="568">
        <f>ROUND(I90*J90,0)</f>
        <v>3979800</v>
      </c>
      <c r="L90" s="569" t="s">
        <v>253</v>
      </c>
      <c r="M90" s="569" t="s">
        <v>177</v>
      </c>
      <c r="N90" s="52" t="str">
        <f>IF(AND('331-CT'!$E$7=TH!H90,OR(L90="331",M90="331")),"331",IF(AND(OR(L90="131",M90="131"),H90='131-CT'!$E$7),"131",""))</f>
        <v/>
      </c>
      <c r="O90" s="90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21"/>
      <c r="AC90" s="211" t="str">
        <f>IF(F90=VLOOKUP(F90,NXT!$C$12:$C$305,1,0),"","x")</f>
        <v/>
      </c>
    </row>
    <row r="91" spans="1:31" s="21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920</v>
      </c>
      <c r="E91" s="37">
        <v>41730</v>
      </c>
      <c r="F91" s="189" t="s">
        <v>493</v>
      </c>
      <c r="G91" s="465" t="s">
        <v>490</v>
      </c>
      <c r="H91" s="7" t="s">
        <v>478</v>
      </c>
      <c r="I91" s="256">
        <v>550</v>
      </c>
      <c r="J91" s="258">
        <v>6400</v>
      </c>
      <c r="K91" s="568">
        <f>ROUND(I91*J91,0)</f>
        <v>3520000</v>
      </c>
      <c r="L91" s="569" t="s">
        <v>253</v>
      </c>
      <c r="M91" s="569" t="s">
        <v>177</v>
      </c>
      <c r="N91" s="52" t="str">
        <f>IF(AND('331-CT'!$E$7=TH!H91,OR(L91="331",M91="331")),"331",IF(AND(OR(L91="131",M91="131"),H91='131-CT'!$E$7),"131",""))</f>
        <v/>
      </c>
      <c r="O91" s="90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21"/>
      <c r="AC91" s="211" t="str">
        <f>IF(F91=VLOOKUP(F91,NXT!$C$12:$C$305,1,0),"","x")</f>
        <v/>
      </c>
    </row>
    <row r="92" spans="1:31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920</v>
      </c>
      <c r="E92" s="37">
        <v>41730</v>
      </c>
      <c r="F92" s="787" t="s">
        <v>426</v>
      </c>
      <c r="G92" s="465" t="s">
        <v>490</v>
      </c>
      <c r="H92" s="7" t="s">
        <v>478</v>
      </c>
      <c r="I92" s="257"/>
      <c r="J92" s="258"/>
      <c r="K92" s="568">
        <v>1349560</v>
      </c>
      <c r="L92" s="569" t="s">
        <v>253</v>
      </c>
      <c r="M92" s="569" t="s">
        <v>367</v>
      </c>
      <c r="N92" s="52" t="str">
        <f>IF(AND('331-CT'!$E$7=TH!H92,OR(L92="331",M92="331")),"331",IF(AND(OR(L92="131",M92="131"),H92='131-CT'!$E$7),"131",""))</f>
        <v/>
      </c>
      <c r="O92" s="90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21"/>
      <c r="AC92" s="560" t="str">
        <f>IF(VLOOKUP(H92,DS_131,1,0)&lt;&gt;"","","x")</f>
        <v/>
      </c>
      <c r="AD92" s="560"/>
      <c r="AE92" s="560"/>
    </row>
    <row r="93" spans="1:31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921</v>
      </c>
      <c r="E93" s="37">
        <v>41730</v>
      </c>
      <c r="F93" s="189" t="s">
        <v>494</v>
      </c>
      <c r="G93" s="465" t="s">
        <v>495</v>
      </c>
      <c r="H93" s="7" t="s">
        <v>496</v>
      </c>
      <c r="I93" s="257">
        <v>260</v>
      </c>
      <c r="J93" s="258">
        <v>14300</v>
      </c>
      <c r="K93" s="568">
        <f>ROUND(I93*J93,0)</f>
        <v>3718000</v>
      </c>
      <c r="L93" s="569" t="s">
        <v>253</v>
      </c>
      <c r="M93" s="569" t="s">
        <v>177</v>
      </c>
      <c r="N93" s="52" t="str">
        <f>IF(AND('331-CT'!$E$7=TH!H93,OR(L93="331",M93="331")),"331",IF(AND(OR(L93="131",M93="131"),H93='131-CT'!$E$7),"131",""))</f>
        <v/>
      </c>
      <c r="O93" s="90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21"/>
      <c r="AC93" s="211" t="str">
        <f>IF(F93=VLOOKUP(F93,NXT!$C$12:$C$305,1,0),"","x")</f>
        <v/>
      </c>
      <c r="AD93" s="560"/>
      <c r="AE93" s="560"/>
    </row>
    <row r="94" spans="1:31" s="560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921</v>
      </c>
      <c r="E94" s="37">
        <v>41730</v>
      </c>
      <c r="F94" s="189" t="s">
        <v>497</v>
      </c>
      <c r="G94" s="465" t="s">
        <v>495</v>
      </c>
      <c r="H94" s="7" t="s">
        <v>496</v>
      </c>
      <c r="I94" s="256">
        <v>2100</v>
      </c>
      <c r="J94" s="258">
        <v>2300</v>
      </c>
      <c r="K94" s="568">
        <f>ROUND(I94*J94,0)</f>
        <v>4830000</v>
      </c>
      <c r="L94" s="569" t="s">
        <v>253</v>
      </c>
      <c r="M94" s="569" t="s">
        <v>177</v>
      </c>
      <c r="N94" s="52" t="str">
        <f>IF(AND('331-CT'!$E$7=TH!H94,OR(L94="331",M94="331")),"331",IF(AND(OR(L94="131",M94="131"),H94='131-CT'!$E$7),"131",""))</f>
        <v/>
      </c>
      <c r="O94" s="90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21"/>
      <c r="AC94" s="211" t="str">
        <f>IF(F94=VLOOKUP(F94,NXT!$C$12:$C$305,1,0),"","x")</f>
        <v/>
      </c>
    </row>
    <row r="95" spans="1:31" s="560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921</v>
      </c>
      <c r="E95" s="37">
        <v>41730</v>
      </c>
      <c r="F95" s="189" t="s">
        <v>426</v>
      </c>
      <c r="G95" s="465" t="s">
        <v>495</v>
      </c>
      <c r="H95" s="7" t="s">
        <v>496</v>
      </c>
      <c r="I95" s="258"/>
      <c r="J95" s="258"/>
      <c r="K95" s="38">
        <v>854800</v>
      </c>
      <c r="L95" s="569" t="s">
        <v>253</v>
      </c>
      <c r="M95" s="569" t="s">
        <v>367</v>
      </c>
      <c r="N95" s="52" t="str">
        <f>IF(AND('331-CT'!$E$7=TH!H95,OR(L95="331",M95="331")),"331",IF(AND(OR(L95="131",M95="131"),H95='131-CT'!$E$7),"131",""))</f>
        <v/>
      </c>
      <c r="O95" s="90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21"/>
      <c r="AC95" s="560" t="str">
        <f>IF(VLOOKUP(H95,DS_131,1,0)&lt;&gt;"","","x")</f>
        <v/>
      </c>
      <c r="AD95" s="211"/>
      <c r="AE95" s="211"/>
    </row>
    <row r="96" spans="1:31" s="560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922</v>
      </c>
      <c r="E96" s="37">
        <v>41733</v>
      </c>
      <c r="F96" s="189" t="s">
        <v>498</v>
      </c>
      <c r="G96" s="570" t="s">
        <v>499</v>
      </c>
      <c r="H96" s="7" t="s">
        <v>917</v>
      </c>
      <c r="I96" s="256">
        <v>325</v>
      </c>
      <c r="J96" s="256">
        <v>8300</v>
      </c>
      <c r="K96" s="568">
        <f>ROUND(I96*J96,0)</f>
        <v>2697500</v>
      </c>
      <c r="L96" s="569" t="s">
        <v>253</v>
      </c>
      <c r="M96" s="569" t="s">
        <v>177</v>
      </c>
      <c r="N96" s="52" t="str">
        <f>IF(AND('331-CT'!$E$7=TH!H96,OR(L96="331",M96="331")),"331",IF(AND(OR(L96="131",M96="131"),H96='131-CT'!$E$7),"131",""))</f>
        <v/>
      </c>
      <c r="O96" s="90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21"/>
      <c r="AC96" s="211" t="str">
        <f>IF(F96=VLOOKUP(F96,NXT!$C$12:$C$305,1,0),"","x")</f>
        <v/>
      </c>
    </row>
    <row r="97" spans="1:31" s="560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922</v>
      </c>
      <c r="E97" s="37">
        <v>41733</v>
      </c>
      <c r="F97" s="189" t="s">
        <v>500</v>
      </c>
      <c r="G97" s="570" t="s">
        <v>499</v>
      </c>
      <c r="H97" s="7" t="s">
        <v>917</v>
      </c>
      <c r="I97" s="256">
        <v>577</v>
      </c>
      <c r="J97" s="256">
        <v>8600</v>
      </c>
      <c r="K97" s="568">
        <f>ROUND(I97*J97,0)</f>
        <v>4962200</v>
      </c>
      <c r="L97" s="569" t="s">
        <v>253</v>
      </c>
      <c r="M97" s="569" t="s">
        <v>177</v>
      </c>
      <c r="N97" s="52" t="str">
        <f>IF(AND('331-CT'!$E$7=TH!H97,OR(L97="331",M97="331")),"331",IF(AND(OR(L97="131",M97="131"),H97='131-CT'!$E$7),"131",""))</f>
        <v/>
      </c>
      <c r="O97" s="90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21"/>
      <c r="AC97" s="211" t="str">
        <f>IF(F97=VLOOKUP(F97,NXT!$C$12:$C$305,1,0),"","x")</f>
        <v/>
      </c>
    </row>
    <row r="98" spans="1:31" s="560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922</v>
      </c>
      <c r="E98" s="37">
        <v>41733</v>
      </c>
      <c r="F98" s="40" t="s">
        <v>426</v>
      </c>
      <c r="G98" s="465" t="s">
        <v>499</v>
      </c>
      <c r="H98" s="7" t="s">
        <v>917</v>
      </c>
      <c r="I98" s="256"/>
      <c r="J98" s="256"/>
      <c r="K98" s="568">
        <v>765970</v>
      </c>
      <c r="L98" s="569" t="s">
        <v>253</v>
      </c>
      <c r="M98" s="569" t="s">
        <v>367</v>
      </c>
      <c r="N98" s="52" t="str">
        <f>IF(AND('331-CT'!$E$7=TH!H98,OR(L98="331",M98="331")),"331",IF(AND(OR(L98="131",M98="131"),H98='131-CT'!$E$7),"131",""))</f>
        <v/>
      </c>
      <c r="O98" s="90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21"/>
      <c r="AC98" s="560" t="str">
        <f>IF(VLOOKUP(H98,DS_131,1,0)&lt;&gt;"","","x")</f>
        <v/>
      </c>
    </row>
    <row r="99" spans="1:31" s="560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923</v>
      </c>
      <c r="E99" s="37">
        <v>41740</v>
      </c>
      <c r="F99" s="40" t="s">
        <v>442</v>
      </c>
      <c r="G99" s="465" t="s">
        <v>501</v>
      </c>
      <c r="H99" s="45" t="s">
        <v>444</v>
      </c>
      <c r="I99" s="256">
        <v>720</v>
      </c>
      <c r="J99" s="256">
        <v>10500</v>
      </c>
      <c r="K99" s="568">
        <f>ROUND(I99*J99,0)</f>
        <v>7560000</v>
      </c>
      <c r="L99" s="569" t="s">
        <v>253</v>
      </c>
      <c r="M99" s="569" t="s">
        <v>177</v>
      </c>
      <c r="N99" s="52" t="str">
        <f>IF(AND('331-CT'!$E$7=TH!H99,OR(L99="331",M99="331")),"331",IF(AND(OR(L99="131",M99="131"),H99='131-CT'!$E$7),"131",""))</f>
        <v/>
      </c>
      <c r="O99" s="90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21"/>
      <c r="AC99" s="211" t="str">
        <f>IF(F99=VLOOKUP(F99,NXT!$C$12:$C$305,1,0),"","x")</f>
        <v/>
      </c>
    </row>
    <row r="100" spans="1:31" s="56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923</v>
      </c>
      <c r="E100" s="37">
        <v>41740</v>
      </c>
      <c r="F100" s="40" t="s">
        <v>502</v>
      </c>
      <c r="G100" s="465" t="s">
        <v>501</v>
      </c>
      <c r="H100" s="45" t="s">
        <v>444</v>
      </c>
      <c r="I100" s="256">
        <v>340</v>
      </c>
      <c r="J100" s="256">
        <v>8500</v>
      </c>
      <c r="K100" s="568">
        <f>ROUND(I100*J100,0)</f>
        <v>2890000</v>
      </c>
      <c r="L100" s="569" t="s">
        <v>253</v>
      </c>
      <c r="M100" s="569" t="s">
        <v>177</v>
      </c>
      <c r="N100" s="52" t="str">
        <f>IF(AND('331-CT'!$E$7=TH!H100,OR(L100="331",M100="331")),"331",IF(AND(OR(L100="131",M100="131"),H100='131-CT'!$E$7),"131",""))</f>
        <v/>
      </c>
      <c r="O100" s="90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21"/>
      <c r="AC100" s="211" t="str">
        <f>IF(F100=VLOOKUP(F100,NXT!$C$12:$C$305,1,0),"","x")</f>
        <v/>
      </c>
    </row>
    <row r="101" spans="1:31" s="56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923</v>
      </c>
      <c r="E101" s="37">
        <v>41740</v>
      </c>
      <c r="F101" s="296" t="s">
        <v>426</v>
      </c>
      <c r="G101" s="465" t="s">
        <v>501</v>
      </c>
      <c r="H101" s="7" t="s">
        <v>444</v>
      </c>
      <c r="I101" s="256"/>
      <c r="J101" s="258"/>
      <c r="K101" s="568">
        <v>1045000</v>
      </c>
      <c r="L101" s="569" t="s">
        <v>253</v>
      </c>
      <c r="M101" s="569" t="s">
        <v>367</v>
      </c>
      <c r="N101" s="52" t="str">
        <f>IF(AND('331-CT'!$E$7=TH!H101,OR(L101="331",M101="331")),"331",IF(AND(OR(L101="131",M101="131"),H101='131-CT'!$E$7),"131",""))</f>
        <v/>
      </c>
      <c r="O101" s="90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21"/>
      <c r="AC101" s="560" t="str">
        <f>IF(VLOOKUP(H101,DS_131,1,0)&lt;&gt;"","","x")</f>
        <v/>
      </c>
    </row>
    <row r="102" spans="1:31" s="56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924</v>
      </c>
      <c r="E102" s="37">
        <v>41744</v>
      </c>
      <c r="F102" s="189" t="s">
        <v>503</v>
      </c>
      <c r="G102" s="465" t="s">
        <v>504</v>
      </c>
      <c r="H102" s="7" t="s">
        <v>475</v>
      </c>
      <c r="I102" s="258">
        <v>100</v>
      </c>
      <c r="J102" s="258">
        <v>6100</v>
      </c>
      <c r="K102" s="568">
        <f>ROUND(I102*J102,0)</f>
        <v>610000</v>
      </c>
      <c r="L102" s="569" t="s">
        <v>253</v>
      </c>
      <c r="M102" s="569" t="s">
        <v>177</v>
      </c>
      <c r="N102" s="52" t="str">
        <f>IF(AND('331-CT'!$E$7=TH!H102,OR(L102="331",M102="331")),"331",IF(AND(OR(L102="131",M102="131"),H102='131-CT'!$E$7),"131",""))</f>
        <v/>
      </c>
      <c r="O102" s="90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21"/>
      <c r="AC102" s="211" t="str">
        <f>IF(F102=VLOOKUP(F102,NXT!$C$12:$C$305,1,0),"","x")</f>
        <v/>
      </c>
      <c r="AD102" s="211"/>
      <c r="AE102" s="211"/>
    </row>
    <row r="103" spans="1:31" s="56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924</v>
      </c>
      <c r="E103" s="191">
        <v>41744</v>
      </c>
      <c r="F103" s="189" t="s">
        <v>426</v>
      </c>
      <c r="G103" s="570" t="s">
        <v>504</v>
      </c>
      <c r="H103" s="7" t="s">
        <v>475</v>
      </c>
      <c r="I103" s="256"/>
      <c r="J103" s="256"/>
      <c r="K103" s="568">
        <v>61000</v>
      </c>
      <c r="L103" s="569" t="s">
        <v>253</v>
      </c>
      <c r="M103" s="569" t="s">
        <v>367</v>
      </c>
      <c r="N103" s="52" t="str">
        <f>IF(AND('331-CT'!$E$7=TH!H103,OR(L103="331",M103="331")),"331",IF(AND(OR(L103="131",M103="131"),H103='131-CT'!$E$7),"131",""))</f>
        <v/>
      </c>
      <c r="O103" s="90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21"/>
      <c r="AC103" s="560" t="str">
        <f>IF(VLOOKUP(H103,DS_131,1,0)&lt;&gt;"","","x")</f>
        <v/>
      </c>
      <c r="AD103" s="211"/>
      <c r="AE103" s="211"/>
    </row>
    <row r="104" spans="1:31" s="560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925</v>
      </c>
      <c r="E104" s="191">
        <v>41746</v>
      </c>
      <c r="F104" s="189" t="s">
        <v>465</v>
      </c>
      <c r="G104" s="570" t="s">
        <v>505</v>
      </c>
      <c r="H104" s="7" t="s">
        <v>467</v>
      </c>
      <c r="I104" s="256">
        <v>1015</v>
      </c>
      <c r="J104" s="256">
        <v>8740</v>
      </c>
      <c r="K104" s="568">
        <f>ROUND(I104*J104,0)</f>
        <v>8871100</v>
      </c>
      <c r="L104" s="569" t="s">
        <v>253</v>
      </c>
      <c r="M104" s="569" t="s">
        <v>177</v>
      </c>
      <c r="N104" s="52" t="str">
        <f>IF(AND('331-CT'!$E$7=TH!H104,OR(L104="331",M104="331")),"331",IF(AND(OR(L104="131",M104="131"),H104='131-CT'!$E$7),"131",""))</f>
        <v/>
      </c>
      <c r="O104" s="90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21"/>
      <c r="AC104" s="211" t="str">
        <f>IF(F104=VLOOKUP(F104,NXT!$C$12:$C$305,1,0),"","x")</f>
        <v/>
      </c>
      <c r="AD104" s="211"/>
      <c r="AE104" s="211"/>
    </row>
    <row r="105" spans="1:31" s="560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925</v>
      </c>
      <c r="E105" s="191">
        <v>41746</v>
      </c>
      <c r="F105" s="296" t="s">
        <v>426</v>
      </c>
      <c r="G105" s="570" t="s">
        <v>505</v>
      </c>
      <c r="H105" s="7" t="s">
        <v>467</v>
      </c>
      <c r="I105" s="256"/>
      <c r="J105" s="256"/>
      <c r="K105" s="568">
        <v>887110</v>
      </c>
      <c r="L105" s="569" t="s">
        <v>253</v>
      </c>
      <c r="M105" s="569" t="s">
        <v>367</v>
      </c>
      <c r="N105" s="52" t="str">
        <f>IF(AND('331-CT'!$E$7=TH!H105,OR(L105="331",M105="331")),"331",IF(AND(OR(L105="131",M105="131"),H105='131-CT'!$E$7),"131",""))</f>
        <v/>
      </c>
      <c r="O105" s="90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21"/>
      <c r="AC105" s="560" t="str">
        <f>IF(VLOOKUP(H105,DS_131,1,0)&lt;&gt;"","","x")</f>
        <v/>
      </c>
      <c r="AD105" s="211"/>
      <c r="AE105" s="211"/>
    </row>
    <row r="106" spans="1:31" s="56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926</v>
      </c>
      <c r="E106" s="191">
        <v>41746</v>
      </c>
      <c r="F106" s="189" t="s">
        <v>506</v>
      </c>
      <c r="G106" s="570" t="s">
        <v>507</v>
      </c>
      <c r="H106" s="7" t="s">
        <v>508</v>
      </c>
      <c r="I106" s="256">
        <v>436</v>
      </c>
      <c r="J106" s="256">
        <v>5900</v>
      </c>
      <c r="K106" s="568">
        <f>ROUND(I106*J106,0)</f>
        <v>2572400</v>
      </c>
      <c r="L106" s="569" t="s">
        <v>253</v>
      </c>
      <c r="M106" s="569" t="s">
        <v>177</v>
      </c>
      <c r="N106" s="52" t="str">
        <f>IF(AND('331-CT'!$E$7=TH!H106,OR(L106="331",M106="331")),"331",IF(AND(OR(L106="131",M106="131"),H106='131-CT'!$E$7),"131",""))</f>
        <v/>
      </c>
      <c r="O106" s="90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21"/>
      <c r="AC106" s="211" t="str">
        <f>IF(F106=VLOOKUP(F106,NXT!$C$12:$C$305,1,0),"","x")</f>
        <v/>
      </c>
      <c r="AD106" s="211"/>
      <c r="AE106" s="211"/>
    </row>
    <row r="107" spans="1:31" s="56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926</v>
      </c>
      <c r="E107" s="191">
        <v>41746</v>
      </c>
      <c r="F107" s="189" t="s">
        <v>509</v>
      </c>
      <c r="G107" s="570" t="s">
        <v>507</v>
      </c>
      <c r="H107" s="7" t="s">
        <v>508</v>
      </c>
      <c r="I107" s="256">
        <v>302</v>
      </c>
      <c r="J107" s="256">
        <v>6250</v>
      </c>
      <c r="K107" s="568">
        <f>ROUND(I107*J107,0)</f>
        <v>1887500</v>
      </c>
      <c r="L107" s="569" t="s">
        <v>253</v>
      </c>
      <c r="M107" s="569" t="s">
        <v>177</v>
      </c>
      <c r="N107" s="52" t="str">
        <f>IF(AND('331-CT'!$E$7=TH!H107,OR(L107="331",M107="331")),"331",IF(AND(OR(L107="131",M107="131"),H107='131-CT'!$E$7),"131",""))</f>
        <v/>
      </c>
      <c r="O107" s="90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21"/>
      <c r="AC107" s="211" t="str">
        <f>IF(F107=VLOOKUP(F107,NXT!$C$12:$C$305,1,0),"","x")</f>
        <v/>
      </c>
      <c r="AD107" s="211"/>
      <c r="AE107" s="211"/>
    </row>
    <row r="108" spans="1:31" s="56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926</v>
      </c>
      <c r="E108" s="191">
        <v>41746</v>
      </c>
      <c r="F108" s="189" t="s">
        <v>510</v>
      </c>
      <c r="G108" s="570" t="s">
        <v>507</v>
      </c>
      <c r="H108" s="7" t="s">
        <v>508</v>
      </c>
      <c r="I108" s="256">
        <v>303</v>
      </c>
      <c r="J108" s="256">
        <v>6550</v>
      </c>
      <c r="K108" s="568">
        <f>ROUND(I108*J108,0)</f>
        <v>1984650</v>
      </c>
      <c r="L108" s="569" t="s">
        <v>253</v>
      </c>
      <c r="M108" s="569" t="s">
        <v>177</v>
      </c>
      <c r="N108" s="52" t="str">
        <f>IF(AND('331-CT'!$E$7=TH!H108,OR(L108="331",M108="331")),"331",IF(AND(OR(L108="131",M108="131"),H108='131-CT'!$E$7),"131",""))</f>
        <v/>
      </c>
      <c r="O108" s="90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21"/>
      <c r="AC108" s="211" t="str">
        <f>IF(F108=VLOOKUP(F108,NXT!$C$12:$C$305,1,0),"","x")</f>
        <v/>
      </c>
      <c r="AD108" s="211"/>
      <c r="AE108" s="211"/>
    </row>
    <row r="109" spans="1:31" s="56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926</v>
      </c>
      <c r="E109" s="191">
        <v>41746</v>
      </c>
      <c r="F109" s="189" t="s">
        <v>411</v>
      </c>
      <c r="G109" s="570" t="s">
        <v>507</v>
      </c>
      <c r="H109" s="7" t="s">
        <v>508</v>
      </c>
      <c r="I109" s="256">
        <v>200</v>
      </c>
      <c r="J109" s="256">
        <v>6800</v>
      </c>
      <c r="K109" s="568">
        <f>ROUND(I109*J109,0)</f>
        <v>1360000</v>
      </c>
      <c r="L109" s="569" t="s">
        <v>253</v>
      </c>
      <c r="M109" s="569" t="s">
        <v>177</v>
      </c>
      <c r="N109" s="52" t="str">
        <f>IF(AND('331-CT'!$E$7=TH!H109,OR(L109="331",M109="331")),"331",IF(AND(OR(L109="131",M109="131"),H109='131-CT'!$E$7),"131",""))</f>
        <v/>
      </c>
      <c r="O109" s="90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21"/>
      <c r="AC109" s="211" t="str">
        <f>IF(F109=VLOOKUP(F109,NXT!$C$12:$C$305,1,0),"","x")</f>
        <v/>
      </c>
      <c r="AD109" s="211"/>
      <c r="AE109" s="211"/>
    </row>
    <row r="110" spans="1:31" s="56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926</v>
      </c>
      <c r="E110" s="191">
        <v>41746</v>
      </c>
      <c r="F110" s="189" t="s">
        <v>426</v>
      </c>
      <c r="G110" s="570" t="s">
        <v>507</v>
      </c>
      <c r="H110" s="7" t="s">
        <v>508</v>
      </c>
      <c r="I110" s="256"/>
      <c r="J110" s="256"/>
      <c r="K110" s="568">
        <v>780455</v>
      </c>
      <c r="L110" s="569" t="s">
        <v>253</v>
      </c>
      <c r="M110" s="569" t="s">
        <v>367</v>
      </c>
      <c r="N110" s="52" t="str">
        <f>IF(AND('331-CT'!$E$7=TH!H110,OR(L110="331",M110="331")),"331",IF(AND(OR(L110="131",M110="131"),H110='131-CT'!$E$7),"131",""))</f>
        <v/>
      </c>
      <c r="O110" s="90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21"/>
      <c r="AC110" s="560" t="str">
        <f>IF(VLOOKUP(H110,DS_131,1,0)&lt;&gt;"","","x")</f>
        <v/>
      </c>
      <c r="AD110" s="211"/>
      <c r="AE110" s="211"/>
    </row>
    <row r="111" spans="1:31" s="56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927</v>
      </c>
      <c r="E111" s="191">
        <v>41748</v>
      </c>
      <c r="F111" s="189" t="s">
        <v>423</v>
      </c>
      <c r="G111" s="570" t="s">
        <v>511</v>
      </c>
      <c r="H111" s="7" t="s">
        <v>425</v>
      </c>
      <c r="I111" s="256">
        <v>1856</v>
      </c>
      <c r="J111" s="256">
        <v>5500</v>
      </c>
      <c r="K111" s="568">
        <f>ROUND(I111*J111,0)</f>
        <v>10208000</v>
      </c>
      <c r="L111" s="569" t="s">
        <v>253</v>
      </c>
      <c r="M111" s="569" t="s">
        <v>177</v>
      </c>
      <c r="N111" s="52" t="str">
        <f>IF(AND('331-CT'!$E$7=TH!H111,OR(L111="331",M111="331")),"331",IF(AND(OR(L111="131",M111="131"),H111='131-CT'!$E$7),"131",""))</f>
        <v/>
      </c>
      <c r="O111" s="90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21"/>
      <c r="AC111" s="211" t="str">
        <f>IF(F111=VLOOKUP(F111,NXT!$C$12:$C$305,1,0),"","x")</f>
        <v/>
      </c>
      <c r="AD111" s="211"/>
      <c r="AE111" s="211"/>
    </row>
    <row r="112" spans="1:31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927</v>
      </c>
      <c r="E112" s="184">
        <v>41748</v>
      </c>
      <c r="F112" s="189" t="s">
        <v>426</v>
      </c>
      <c r="G112" s="570" t="s">
        <v>511</v>
      </c>
      <c r="H112" s="44" t="s">
        <v>425</v>
      </c>
      <c r="I112" s="256"/>
      <c r="J112" s="256"/>
      <c r="K112" s="568">
        <v>1020800</v>
      </c>
      <c r="L112" s="569" t="s">
        <v>253</v>
      </c>
      <c r="M112" s="569" t="s">
        <v>367</v>
      </c>
      <c r="N112" s="52" t="str">
        <f>IF(AND('331-CT'!$E$7=TH!H112,OR(L112="331",M112="331")),"331",IF(AND(OR(L112="131",M112="131"),H112='131-CT'!$E$7),"131",""))</f>
        <v/>
      </c>
      <c r="O112" s="90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21"/>
      <c r="AC112" s="560" t="str">
        <f>IF(VLOOKUP(H112,DS_131,1,0)&lt;&gt;"","","x")</f>
        <v/>
      </c>
      <c r="AD112" s="560"/>
      <c r="AE112" s="560"/>
    </row>
    <row r="113" spans="1:31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928</v>
      </c>
      <c r="E113" s="184">
        <v>41750</v>
      </c>
      <c r="F113" s="189" t="s">
        <v>427</v>
      </c>
      <c r="G113" s="570" t="s">
        <v>512</v>
      </c>
      <c r="H113" s="7" t="s">
        <v>916</v>
      </c>
      <c r="I113" s="256">
        <v>500</v>
      </c>
      <c r="J113" s="256">
        <v>17300</v>
      </c>
      <c r="K113" s="568">
        <f>ROUND(I113*J113,0)</f>
        <v>8650000</v>
      </c>
      <c r="L113" s="569" t="s">
        <v>253</v>
      </c>
      <c r="M113" s="569" t="s">
        <v>177</v>
      </c>
      <c r="N113" s="52" t="str">
        <f>IF(AND('331-CT'!$E$7=TH!H113,OR(L113="331",M113="331")),"331",IF(AND(OR(L113="131",M113="131"),H113='131-CT'!$E$7),"131",""))</f>
        <v/>
      </c>
      <c r="O113" s="90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21"/>
      <c r="AC113" s="211" t="str">
        <f>IF(F113=VLOOKUP(F113,NXT!$C$12:$C$305,1,0),"","x")</f>
        <v/>
      </c>
      <c r="AD113" s="560"/>
      <c r="AE113" s="560"/>
    </row>
    <row r="114" spans="1:31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928</v>
      </c>
      <c r="E114" s="191">
        <v>41750</v>
      </c>
      <c r="F114" s="40" t="s">
        <v>451</v>
      </c>
      <c r="G114" s="570" t="s">
        <v>512</v>
      </c>
      <c r="H114" s="7" t="s">
        <v>916</v>
      </c>
      <c r="I114" s="256">
        <v>1000</v>
      </c>
      <c r="J114" s="256">
        <v>1500</v>
      </c>
      <c r="K114" s="568">
        <f>ROUND(I114*J114,0)</f>
        <v>1500000</v>
      </c>
      <c r="L114" s="569" t="s">
        <v>253</v>
      </c>
      <c r="M114" s="569" t="s">
        <v>177</v>
      </c>
      <c r="N114" s="52" t="str">
        <f>IF(AND('331-CT'!$E$7=TH!H114,OR(L114="331",M114="331")),"331",IF(AND(OR(L114="131",M114="131"),H114='131-CT'!$E$7),"131",""))</f>
        <v/>
      </c>
      <c r="O114" s="90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21"/>
      <c r="AC114" s="211" t="str">
        <f>IF(F114=VLOOKUP(F114,NXT!$C$12:$C$305,1,0),"","x")</f>
        <v/>
      </c>
    </row>
    <row r="115" spans="1:31" s="862" customFormat="1" ht="15.75" hidden="1" customHeight="1">
      <c r="A115" s="850" t="str">
        <f>IF(B115&lt;&gt;"",IF(AND(B115&gt;=_TM1,B115&lt;=_TM2,OR(TH!L115="1111",TH!M115="1111")),TH!D115,""),"")</f>
        <v/>
      </c>
      <c r="B115" s="851">
        <f t="shared" si="5"/>
        <v>4</v>
      </c>
      <c r="C115" s="852">
        <f t="shared" si="6"/>
        <v>41750</v>
      </c>
      <c r="D115" s="852" t="s">
        <v>928</v>
      </c>
      <c r="E115" s="853">
        <v>41750</v>
      </c>
      <c r="F115" s="854" t="s">
        <v>426</v>
      </c>
      <c r="G115" s="855" t="s">
        <v>512</v>
      </c>
      <c r="H115" s="856" t="s">
        <v>916</v>
      </c>
      <c r="I115" s="857"/>
      <c r="J115" s="857"/>
      <c r="K115" s="858">
        <v>1015000</v>
      </c>
      <c r="L115" s="859" t="s">
        <v>253</v>
      </c>
      <c r="M115" s="569" t="s">
        <v>367</v>
      </c>
      <c r="N115" s="52" t="str">
        <f>IF(AND('331-CT'!$E$7=TH!H115,OR(L115="331",M115="331")),"331",IF(AND(OR(L115="131",M115="131"),H115='131-CT'!$E$7),"131",""))</f>
        <v/>
      </c>
      <c r="O115" s="90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60"/>
      <c r="AC115" s="861" t="str">
        <f>IF(VLOOKUP(H115,DS_131,1,0)&lt;&gt;"","","x")</f>
        <v/>
      </c>
    </row>
    <row r="116" spans="1:31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929</v>
      </c>
      <c r="E116" s="191">
        <v>41752</v>
      </c>
      <c r="F116" s="296" t="s">
        <v>429</v>
      </c>
      <c r="G116" s="468" t="s">
        <v>513</v>
      </c>
      <c r="H116" s="7" t="s">
        <v>431</v>
      </c>
      <c r="I116" s="256">
        <v>500</v>
      </c>
      <c r="J116" s="256">
        <v>8200</v>
      </c>
      <c r="K116" s="568">
        <f>ROUND(I116*J116,0)</f>
        <v>4100000</v>
      </c>
      <c r="L116" s="569" t="s">
        <v>253</v>
      </c>
      <c r="M116" s="569" t="s">
        <v>177</v>
      </c>
      <c r="N116" s="52" t="str">
        <f>IF(AND('331-CT'!$E$7=TH!H116,OR(L116="331",M116="331")),"331",IF(AND(OR(L116="131",M116="131"),H116='131-CT'!$E$7),"131",""))</f>
        <v/>
      </c>
      <c r="O116" s="90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21"/>
      <c r="AC116" s="211" t="str">
        <f>IF(F116=VLOOKUP(F116,NXT!$C$12:$C$305,1,0),"","x")</f>
        <v/>
      </c>
    </row>
    <row r="117" spans="1:31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929</v>
      </c>
      <c r="E117" s="191">
        <v>41752</v>
      </c>
      <c r="F117" s="296" t="s">
        <v>429</v>
      </c>
      <c r="G117" s="468" t="s">
        <v>513</v>
      </c>
      <c r="H117" s="7" t="s">
        <v>431</v>
      </c>
      <c r="I117" s="256">
        <v>504</v>
      </c>
      <c r="J117" s="256">
        <v>10200</v>
      </c>
      <c r="K117" s="568">
        <f>ROUND(I117*J117,0)</f>
        <v>5140800</v>
      </c>
      <c r="L117" s="569" t="s">
        <v>253</v>
      </c>
      <c r="M117" s="569" t="s">
        <v>177</v>
      </c>
      <c r="N117" s="52" t="str">
        <f>IF(AND('331-CT'!$E$7=TH!H117,OR(L117="331",M117="331")),"331",IF(AND(OR(L117="131",M117="131"),H117='131-CT'!$E$7),"131",""))</f>
        <v/>
      </c>
      <c r="O117" s="90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21"/>
      <c r="AC117" s="211" t="str">
        <f>IF(F117=VLOOKUP(F117,NXT!$C$12:$C$305,1,0),"","x")</f>
        <v/>
      </c>
    </row>
    <row r="118" spans="1:31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929</v>
      </c>
      <c r="E118" s="191">
        <v>41752</v>
      </c>
      <c r="F118" s="189" t="s">
        <v>426</v>
      </c>
      <c r="G118" s="570" t="s">
        <v>513</v>
      </c>
      <c r="H118" s="7" t="s">
        <v>431</v>
      </c>
      <c r="I118" s="256"/>
      <c r="J118" s="256"/>
      <c r="K118" s="568">
        <v>924080</v>
      </c>
      <c r="L118" s="569" t="s">
        <v>253</v>
      </c>
      <c r="M118" s="569" t="s">
        <v>367</v>
      </c>
      <c r="N118" s="52" t="str">
        <f>IF(AND('331-CT'!$E$7=TH!H118,OR(L118="331",M118="331")),"331",IF(AND(OR(L118="131",M118="131"),H118='131-CT'!$E$7),"131",""))</f>
        <v/>
      </c>
      <c r="O118" s="90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21"/>
      <c r="AC118" s="560" t="str">
        <f>IF(VLOOKUP(H118,DS_131,1,0)&lt;&gt;"","","x")</f>
        <v/>
      </c>
    </row>
    <row r="119" spans="1:31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930</v>
      </c>
      <c r="E119" s="191">
        <v>41755</v>
      </c>
      <c r="F119" s="296" t="s">
        <v>514</v>
      </c>
      <c r="G119" s="570" t="s">
        <v>515</v>
      </c>
      <c r="H119" s="7" t="s">
        <v>917</v>
      </c>
      <c r="I119" s="708">
        <v>305</v>
      </c>
      <c r="J119" s="256">
        <v>9400</v>
      </c>
      <c r="K119" s="568">
        <f>ROUND(I119*J119,0)</f>
        <v>2867000</v>
      </c>
      <c r="L119" s="569" t="s">
        <v>253</v>
      </c>
      <c r="M119" s="569" t="s">
        <v>177</v>
      </c>
      <c r="N119" s="52" t="str">
        <f>IF(AND('331-CT'!$E$7=TH!H119,OR(L119="331",M119="331")),"331",IF(AND(OR(L119="131",M119="131"),H119='131-CT'!$E$7),"131",""))</f>
        <v/>
      </c>
      <c r="O119" s="90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21"/>
      <c r="AC119" s="211" t="str">
        <f>IF(F119=VLOOKUP(F119,NXT!$C$12:$C$305,1,0),"","x")</f>
        <v/>
      </c>
    </row>
    <row r="120" spans="1:31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930</v>
      </c>
      <c r="E120" s="191">
        <v>41755</v>
      </c>
      <c r="F120" s="189" t="s">
        <v>500</v>
      </c>
      <c r="G120" s="570" t="s">
        <v>515</v>
      </c>
      <c r="H120" s="7" t="s">
        <v>917</v>
      </c>
      <c r="I120" s="708">
        <v>530</v>
      </c>
      <c r="J120" s="708">
        <v>8600</v>
      </c>
      <c r="K120" s="568">
        <f>ROUND(I120*J120,0)</f>
        <v>4558000</v>
      </c>
      <c r="L120" s="569" t="s">
        <v>253</v>
      </c>
      <c r="M120" s="569" t="s">
        <v>177</v>
      </c>
      <c r="N120" s="52" t="str">
        <f>IF(AND('331-CT'!$E$7=TH!H120,OR(L120="331",M120="331")),"331",IF(AND(OR(L120="131",M120="131"),H120='131-CT'!$E$7),"131",""))</f>
        <v/>
      </c>
      <c r="O120" s="90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21"/>
      <c r="AC120" s="211" t="str">
        <f>IF(F120=VLOOKUP(F120,NXT!$C$12:$C$305,1,0),"","x")</f>
        <v/>
      </c>
    </row>
    <row r="121" spans="1:31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930</v>
      </c>
      <c r="E121" s="191">
        <v>41755</v>
      </c>
      <c r="F121" s="189" t="s">
        <v>426</v>
      </c>
      <c r="G121" s="570" t="s">
        <v>515</v>
      </c>
      <c r="H121" s="7" t="s">
        <v>917</v>
      </c>
      <c r="I121" s="708"/>
      <c r="J121" s="256"/>
      <c r="K121" s="568">
        <v>742500</v>
      </c>
      <c r="L121" s="569" t="s">
        <v>253</v>
      </c>
      <c r="M121" s="569" t="s">
        <v>367</v>
      </c>
      <c r="N121" s="52" t="str">
        <f>IF(AND('331-CT'!$E$7=TH!H121,OR(L121="331",M121="331")),"331",IF(AND(OR(L121="131",M121="131"),H121='131-CT'!$E$7),"131",""))</f>
        <v/>
      </c>
      <c r="O121" s="90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21"/>
      <c r="AC121" s="560" t="str">
        <f>IF(VLOOKUP(H121,DS_131,1,0)&lt;&gt;"","","x")</f>
        <v/>
      </c>
    </row>
    <row r="122" spans="1:31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931</v>
      </c>
      <c r="E122" s="191">
        <v>41762</v>
      </c>
      <c r="F122" s="189" t="s">
        <v>427</v>
      </c>
      <c r="G122" s="570" t="s">
        <v>516</v>
      </c>
      <c r="H122" s="7" t="s">
        <v>916</v>
      </c>
      <c r="I122" s="708">
        <v>500</v>
      </c>
      <c r="J122" s="256">
        <v>17300</v>
      </c>
      <c r="K122" s="568">
        <f>ROUND(I122*J122,0)</f>
        <v>8650000</v>
      </c>
      <c r="L122" s="569" t="s">
        <v>253</v>
      </c>
      <c r="M122" s="569" t="s">
        <v>177</v>
      </c>
      <c r="N122" s="52" t="str">
        <f>IF(AND('331-CT'!$E$7=TH!H122,OR(L122="331",M122="331")),"331",IF(AND(OR(L122="131",M122="131"),H122='131-CT'!$E$7),"131",""))</f>
        <v/>
      </c>
      <c r="O122" s="90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21"/>
      <c r="AC122" s="211" t="str">
        <f>IF(F122=VLOOKUP(F122,NXT!$C$12:$C$305,1,0),"","x")</f>
        <v/>
      </c>
    </row>
    <row r="123" spans="1:31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931</v>
      </c>
      <c r="E123" s="37">
        <v>41762</v>
      </c>
      <c r="F123" s="40" t="s">
        <v>451</v>
      </c>
      <c r="G123" s="467" t="s">
        <v>516</v>
      </c>
      <c r="H123" s="7" t="s">
        <v>916</v>
      </c>
      <c r="I123" s="548">
        <v>1000</v>
      </c>
      <c r="J123" s="258">
        <v>1500</v>
      </c>
      <c r="K123" s="568">
        <f>ROUND(I123*J123,0)</f>
        <v>1500000</v>
      </c>
      <c r="L123" s="569" t="s">
        <v>253</v>
      </c>
      <c r="M123" s="569" t="s">
        <v>177</v>
      </c>
      <c r="N123" s="52" t="str">
        <f>IF(AND('331-CT'!$E$7=TH!H123,OR(L123="331",M123="331")),"331",IF(AND(OR(L123="131",M123="131"),H123='131-CT'!$E$7),"131",""))</f>
        <v/>
      </c>
      <c r="O123" s="90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21"/>
      <c r="AC123" s="211" t="str">
        <f>IF(F123=VLOOKUP(F123,NXT!$C$12:$C$305,1,0),"","x")</f>
        <v/>
      </c>
    </row>
    <row r="124" spans="1:31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931</v>
      </c>
      <c r="E124" s="37">
        <v>41762</v>
      </c>
      <c r="F124" s="40" t="s">
        <v>426</v>
      </c>
      <c r="G124" s="467" t="s">
        <v>516</v>
      </c>
      <c r="H124" s="7" t="s">
        <v>916</v>
      </c>
      <c r="I124" s="708"/>
      <c r="J124" s="258"/>
      <c r="K124" s="568">
        <v>1015000</v>
      </c>
      <c r="L124" s="569" t="s">
        <v>253</v>
      </c>
      <c r="M124" s="569" t="s">
        <v>367</v>
      </c>
      <c r="N124" s="52" t="str">
        <f>IF(AND('331-CT'!$E$7=TH!H124,OR(L124="331",M124="331")),"331",IF(AND(OR(L124="131",M124="131"),H124='131-CT'!$E$7),"131",""))</f>
        <v/>
      </c>
      <c r="O124" s="90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21"/>
      <c r="AC124" s="560" t="str">
        <f>IF(VLOOKUP(H124,DS_131,1,0)&lt;&gt;"","","x")</f>
        <v/>
      </c>
    </row>
    <row r="125" spans="1:31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932</v>
      </c>
      <c r="E125" s="37">
        <v>41765</v>
      </c>
      <c r="F125" s="40" t="s">
        <v>500</v>
      </c>
      <c r="G125" s="467" t="s">
        <v>517</v>
      </c>
      <c r="H125" s="7" t="s">
        <v>917</v>
      </c>
      <c r="I125" s="708">
        <v>500</v>
      </c>
      <c r="J125" s="258">
        <v>8600</v>
      </c>
      <c r="K125" s="568">
        <f>ROUND(I125*J125,0)</f>
        <v>4300000</v>
      </c>
      <c r="L125" s="569" t="s">
        <v>253</v>
      </c>
      <c r="M125" s="569" t="s">
        <v>177</v>
      </c>
      <c r="N125" s="52" t="str">
        <f>IF(AND('331-CT'!$E$7=TH!H125,OR(L125="331",M125="331")),"331",IF(AND(OR(L125="131",M125="131"),H125='131-CT'!$E$7),"131",""))</f>
        <v/>
      </c>
      <c r="O125" s="90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21"/>
      <c r="AC125" s="211" t="str">
        <f>IF(F125=VLOOKUP(F125,NXT!$C$12:$C$305,1,0),"","x")</f>
        <v/>
      </c>
    </row>
    <row r="126" spans="1:31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932</v>
      </c>
      <c r="E126" s="184">
        <v>41765</v>
      </c>
      <c r="F126" s="189" t="s">
        <v>518</v>
      </c>
      <c r="G126" s="570" t="s">
        <v>517</v>
      </c>
      <c r="H126" s="7" t="s">
        <v>917</v>
      </c>
      <c r="I126" s="256">
        <v>200</v>
      </c>
      <c r="J126" s="256">
        <v>7000</v>
      </c>
      <c r="K126" s="568">
        <f>ROUND(I126*J126,0)</f>
        <v>1400000</v>
      </c>
      <c r="L126" s="569" t="s">
        <v>253</v>
      </c>
      <c r="M126" s="569" t="s">
        <v>177</v>
      </c>
      <c r="N126" s="52" t="str">
        <f>IF(AND('331-CT'!$E$7=TH!H126,OR(L126="331",M126="331")),"331",IF(AND(OR(L126="131",M126="131"),H126='131-CT'!$E$7),"131",""))</f>
        <v/>
      </c>
      <c r="O126" s="90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21"/>
      <c r="AC126" s="211" t="str">
        <f>IF(F126=VLOOKUP(F126,NXT!$C$12:$C$305,1,0),"","x")</f>
        <v/>
      </c>
      <c r="AD126" s="560"/>
      <c r="AE126" s="560"/>
    </row>
    <row r="127" spans="1:31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932</v>
      </c>
      <c r="E127" s="184">
        <v>41765</v>
      </c>
      <c r="F127" s="189" t="s">
        <v>426</v>
      </c>
      <c r="G127" s="570" t="s">
        <v>517</v>
      </c>
      <c r="H127" s="7" t="s">
        <v>917</v>
      </c>
      <c r="I127" s="256"/>
      <c r="J127" s="256"/>
      <c r="K127" s="568">
        <v>570000</v>
      </c>
      <c r="L127" s="569" t="s">
        <v>253</v>
      </c>
      <c r="M127" s="569" t="s">
        <v>367</v>
      </c>
      <c r="N127" s="52" t="str">
        <f>IF(AND('331-CT'!$E$7=TH!H127,OR(L127="331",M127="331")),"331",IF(AND(OR(L127="131",M127="131"),H127='131-CT'!$E$7),"131",""))</f>
        <v/>
      </c>
      <c r="O127" s="90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21"/>
      <c r="AC127" s="560" t="str">
        <f>IF(VLOOKUP(H127,DS_131,1,0)&lt;&gt;"","","x")</f>
        <v/>
      </c>
      <c r="AD127" s="560"/>
      <c r="AE127" s="560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933</v>
      </c>
      <c r="E128" s="37">
        <v>41772</v>
      </c>
      <c r="F128" s="189" t="s">
        <v>452</v>
      </c>
      <c r="G128" s="467" t="s">
        <v>519</v>
      </c>
      <c r="H128" s="7" t="s">
        <v>478</v>
      </c>
      <c r="I128" s="256">
        <v>200</v>
      </c>
      <c r="J128" s="258">
        <v>19000</v>
      </c>
      <c r="K128" s="568">
        <f>ROUND(I128*J128,0)</f>
        <v>3800000</v>
      </c>
      <c r="L128" s="569" t="s">
        <v>253</v>
      </c>
      <c r="M128" s="569" t="s">
        <v>177</v>
      </c>
      <c r="N128" s="52" t="str">
        <f>IF(AND('331-CT'!$E$7=TH!H128,OR(L128="331",M128="331")),"331",IF(AND(OR(L128="131",M128="131"),H128='131-CT'!$E$7),"131",""))</f>
        <v/>
      </c>
      <c r="O128" s="90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21"/>
      <c r="AC128" s="211" t="str">
        <f>IF(F128=VLOOKUP(F128,NXT!$C$12:$C$305,1,0),"","x")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933</v>
      </c>
      <c r="E129" s="37">
        <v>41772</v>
      </c>
      <c r="F129" s="189" t="s">
        <v>426</v>
      </c>
      <c r="G129" s="467" t="s">
        <v>519</v>
      </c>
      <c r="H129" s="7" t="s">
        <v>478</v>
      </c>
      <c r="I129" s="256"/>
      <c r="J129" s="258"/>
      <c r="K129" s="568">
        <v>380000</v>
      </c>
      <c r="L129" s="569" t="s">
        <v>253</v>
      </c>
      <c r="M129" s="569" t="s">
        <v>367</v>
      </c>
      <c r="N129" s="52" t="str">
        <f>IF(AND('331-CT'!$E$7=TH!H129,OR(L129="331",M129="331")),"331",IF(AND(OR(L129="131",M129="131"),H129='131-CT'!$E$7),"131",""))</f>
        <v/>
      </c>
      <c r="O129" s="90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21"/>
      <c r="AC129" s="560" t="str">
        <f>IF(VLOOKUP(H129,DS_131,1,0)&lt;&gt;"","","x")</f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934</v>
      </c>
      <c r="E130" s="37">
        <v>41774</v>
      </c>
      <c r="F130" s="189" t="s">
        <v>442</v>
      </c>
      <c r="G130" s="467" t="s">
        <v>520</v>
      </c>
      <c r="H130" s="7" t="s">
        <v>444</v>
      </c>
      <c r="I130" s="256">
        <v>300</v>
      </c>
      <c r="J130" s="258">
        <v>10500</v>
      </c>
      <c r="K130" s="568">
        <f>ROUND(I130*J130,0)</f>
        <v>3150000</v>
      </c>
      <c r="L130" s="569" t="s">
        <v>253</v>
      </c>
      <c r="M130" s="569" t="s">
        <v>177</v>
      </c>
      <c r="N130" s="52" t="str">
        <f>IF(AND('331-CT'!$E$7=TH!H130,OR(L130="331",M130="331")),"331",IF(AND(OR(L130="131",M130="131"),H130='131-CT'!$E$7),"131",""))</f>
        <v/>
      </c>
      <c r="O130" s="90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21"/>
      <c r="AC130" s="211" t="str">
        <f>IF(F130=VLOOKUP(F130,NXT!$C$12:$C$305,1,0),"","x")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934</v>
      </c>
      <c r="E131" s="37">
        <v>41774</v>
      </c>
      <c r="F131" s="189" t="s">
        <v>426</v>
      </c>
      <c r="G131" s="467" t="s">
        <v>520</v>
      </c>
      <c r="H131" s="7" t="s">
        <v>444</v>
      </c>
      <c r="I131" s="256"/>
      <c r="J131" s="258"/>
      <c r="K131" s="568">
        <v>315000</v>
      </c>
      <c r="L131" s="569" t="s">
        <v>253</v>
      </c>
      <c r="M131" s="569" t="s">
        <v>367</v>
      </c>
      <c r="N131" s="52" t="str">
        <f>IF(AND('331-CT'!$E$7=TH!H131,OR(L131="331",M131="331")),"331",IF(AND(OR(L131="131",M131="131"),H131='131-CT'!$E$7),"131",""))</f>
        <v/>
      </c>
      <c r="O131" s="90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21"/>
      <c r="AC131" s="560" t="str">
        <f>IF(VLOOKUP(H131,DS_131,1,0)&lt;&gt;"","","x")</f>
        <v/>
      </c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935</v>
      </c>
      <c r="E132" s="37">
        <v>41774</v>
      </c>
      <c r="F132" s="189" t="s">
        <v>521</v>
      </c>
      <c r="G132" s="467" t="s">
        <v>522</v>
      </c>
      <c r="H132" s="7" t="s">
        <v>918</v>
      </c>
      <c r="I132" s="256">
        <v>987</v>
      </c>
      <c r="J132" s="258">
        <v>12000</v>
      </c>
      <c r="K132" s="568">
        <f>ROUND(I132*J132,0)</f>
        <v>11844000</v>
      </c>
      <c r="L132" s="569" t="s">
        <v>253</v>
      </c>
      <c r="M132" s="569" t="s">
        <v>177</v>
      </c>
      <c r="N132" s="52" t="str">
        <f>IF(AND('331-CT'!$E$7=TH!H132,OR(L132="331",M132="331")),"331",IF(AND(OR(L132="131",M132="131"),H132='131-CT'!$E$7),"131",""))</f>
        <v/>
      </c>
      <c r="O132" s="90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21"/>
      <c r="AC132" s="211" t="str">
        <f>IF(F132=VLOOKUP(F132,NXT!$C$12:$C$305,1,0),"","x")</f>
        <v/>
      </c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935</v>
      </c>
      <c r="E133" s="37">
        <v>41774</v>
      </c>
      <c r="F133" s="189" t="s">
        <v>426</v>
      </c>
      <c r="G133" s="467" t="s">
        <v>522</v>
      </c>
      <c r="H133" s="7" t="s">
        <v>918</v>
      </c>
      <c r="I133" s="256"/>
      <c r="J133" s="258"/>
      <c r="K133" s="38">
        <v>1184400</v>
      </c>
      <c r="L133" s="569" t="s">
        <v>253</v>
      </c>
      <c r="M133" s="569" t="s">
        <v>367</v>
      </c>
      <c r="N133" s="52" t="str">
        <f>IF(AND('331-CT'!$E$7=TH!H133,OR(L133="331",M133="331")),"331",IF(AND(OR(L133="131",M133="131"),H133='131-CT'!$E$7),"131",""))</f>
        <v/>
      </c>
      <c r="O133" s="90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21"/>
      <c r="AC133" s="560" t="str">
        <f>IF(VLOOKUP(H133,DS_131,1,0)&lt;&gt;"","","x")</f>
        <v/>
      </c>
    </row>
    <row r="134" spans="1:31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936</v>
      </c>
      <c r="E134" s="37">
        <v>41774</v>
      </c>
      <c r="F134" s="189" t="s">
        <v>523</v>
      </c>
      <c r="G134" s="467" t="s">
        <v>524</v>
      </c>
      <c r="H134" s="7" t="s">
        <v>431</v>
      </c>
      <c r="I134" s="257">
        <v>995</v>
      </c>
      <c r="J134" s="258">
        <v>11300</v>
      </c>
      <c r="K134" s="568">
        <f>ROUND(I134*J134,0)</f>
        <v>11243500</v>
      </c>
      <c r="L134" s="569" t="s">
        <v>253</v>
      </c>
      <c r="M134" s="569" t="s">
        <v>177</v>
      </c>
      <c r="N134" s="52" t="str">
        <f>IF(AND('331-CT'!$E$7=TH!H134,OR(L134="331",M134="331")),"331",IF(AND(OR(L134="131",M134="131"),H134='131-CT'!$E$7),"131",""))</f>
        <v/>
      </c>
      <c r="O134" s="90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21"/>
      <c r="AC134" s="211" t="str">
        <f>IF(F134=VLOOKUP(F134,NXT!$C$12:$C$305,1,0),"","x")</f>
        <v/>
      </c>
      <c r="AD134" s="560"/>
      <c r="AE134" s="560"/>
    </row>
    <row r="135" spans="1:31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936</v>
      </c>
      <c r="E135" s="37">
        <v>41774</v>
      </c>
      <c r="F135" s="189" t="s">
        <v>525</v>
      </c>
      <c r="G135" s="467" t="s">
        <v>524</v>
      </c>
      <c r="H135" s="7" t="s">
        <v>431</v>
      </c>
      <c r="I135" s="257">
        <v>497</v>
      </c>
      <c r="J135" s="258">
        <v>10500</v>
      </c>
      <c r="K135" s="568">
        <f>ROUND(I135*J135,0)</f>
        <v>5218500</v>
      </c>
      <c r="L135" s="569" t="s">
        <v>253</v>
      </c>
      <c r="M135" s="569" t="s">
        <v>177</v>
      </c>
      <c r="N135" s="52" t="str">
        <f>IF(AND('331-CT'!$E$7=TH!H135,OR(L135="331",M135="331")),"331",IF(AND(OR(L135="131",M135="131"),H135='131-CT'!$E$7),"131",""))</f>
        <v/>
      </c>
      <c r="O135" s="90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21"/>
      <c r="AC135" s="211" t="str">
        <f>IF(F135=VLOOKUP(F135,NXT!$C$12:$C$305,1,0),"","x")</f>
        <v/>
      </c>
      <c r="AD135" s="560"/>
      <c r="AE135" s="560"/>
    </row>
    <row r="136" spans="1:31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936</v>
      </c>
      <c r="E136" s="37">
        <v>41774</v>
      </c>
      <c r="F136" s="189" t="s">
        <v>426</v>
      </c>
      <c r="G136" s="467" t="s">
        <v>524</v>
      </c>
      <c r="H136" s="7" t="s">
        <v>431</v>
      </c>
      <c r="I136" s="256"/>
      <c r="J136" s="258"/>
      <c r="K136" s="568">
        <v>1646200</v>
      </c>
      <c r="L136" s="569" t="s">
        <v>253</v>
      </c>
      <c r="M136" s="569" t="s">
        <v>367</v>
      </c>
      <c r="N136" s="52" t="str">
        <f>IF(AND('331-CT'!$E$7=TH!H136,OR(L136="331",M136="331")),"331",IF(AND(OR(L136="131",M136="131"),H136='131-CT'!$E$7),"131",""))</f>
        <v/>
      </c>
      <c r="O136" s="90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21"/>
      <c r="AC136" s="560" t="str">
        <f>IF(VLOOKUP(H136,DS_131,1,0)&lt;&gt;"","","x")</f>
        <v/>
      </c>
      <c r="AD136" s="560"/>
      <c r="AE136" s="560"/>
    </row>
    <row r="137" spans="1:31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937</v>
      </c>
      <c r="E137" s="37">
        <v>41778</v>
      </c>
      <c r="F137" s="189" t="s">
        <v>489</v>
      </c>
      <c r="G137" s="467" t="s">
        <v>526</v>
      </c>
      <c r="H137" s="7" t="s">
        <v>917</v>
      </c>
      <c r="I137" s="258">
        <v>205</v>
      </c>
      <c r="J137" s="258">
        <v>12900</v>
      </c>
      <c r="K137" s="568">
        <f>ROUND(I137*J137,0)</f>
        <v>2644500</v>
      </c>
      <c r="L137" s="569" t="s">
        <v>253</v>
      </c>
      <c r="M137" s="569" t="s">
        <v>177</v>
      </c>
      <c r="N137" s="52" t="str">
        <f>IF(AND('331-CT'!$E$7=TH!H137,OR(L137="331",M137="331")),"331",IF(AND(OR(L137="131",M137="131"),H137='131-CT'!$E$7),"131",""))</f>
        <v/>
      </c>
      <c r="O137" s="90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21"/>
      <c r="AC137" s="211" t="str">
        <f>IF(F137=VLOOKUP(F137,NXT!$C$12:$C$305,1,0),"","x")</f>
        <v/>
      </c>
    </row>
    <row r="138" spans="1:31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937</v>
      </c>
      <c r="E138" s="37">
        <v>41778</v>
      </c>
      <c r="F138" s="40" t="s">
        <v>493</v>
      </c>
      <c r="G138" s="465" t="s">
        <v>526</v>
      </c>
      <c r="H138" s="7" t="s">
        <v>917</v>
      </c>
      <c r="I138" s="256">
        <v>297</v>
      </c>
      <c r="J138" s="256">
        <v>6400</v>
      </c>
      <c r="K138" s="568">
        <f>ROUND(I138*J138,0)</f>
        <v>1900800</v>
      </c>
      <c r="L138" s="569" t="s">
        <v>253</v>
      </c>
      <c r="M138" s="569" t="s">
        <v>177</v>
      </c>
      <c r="N138" s="52" t="str">
        <f>IF(AND('331-CT'!$E$7=TH!H138,OR(L138="331",M138="331")),"331",IF(AND(OR(L138="131",M138="131"),H138='131-CT'!$E$7),"131",""))</f>
        <v/>
      </c>
      <c r="O138" s="90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21"/>
      <c r="AC138" s="211" t="str">
        <f>IF(F138=VLOOKUP(F138,NXT!$C$12:$C$305,1,0),"","x")</f>
        <v/>
      </c>
    </row>
    <row r="139" spans="1:31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937</v>
      </c>
      <c r="E139" s="37">
        <v>41778</v>
      </c>
      <c r="F139" s="40" t="s">
        <v>492</v>
      </c>
      <c r="G139" s="465" t="s">
        <v>526</v>
      </c>
      <c r="H139" s="7" t="s">
        <v>917</v>
      </c>
      <c r="I139" s="256">
        <v>374</v>
      </c>
      <c r="J139" s="256">
        <v>9300</v>
      </c>
      <c r="K139" s="568">
        <f>ROUND(I139*J139,0)</f>
        <v>3478200</v>
      </c>
      <c r="L139" s="569" t="s">
        <v>253</v>
      </c>
      <c r="M139" s="569" t="s">
        <v>177</v>
      </c>
      <c r="N139" s="52" t="str">
        <f>IF(AND('331-CT'!$E$7=TH!H139,OR(L139="331",M139="331")),"331",IF(AND(OR(L139="131",M139="131"),H139='131-CT'!$E$7),"131",""))</f>
        <v/>
      </c>
      <c r="O139" s="90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21"/>
      <c r="AC139" s="211" t="str">
        <f>IF(F139=VLOOKUP(F139,NXT!$C$12:$C$305,1,0),"","x")</f>
        <v/>
      </c>
    </row>
    <row r="140" spans="1:31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937</v>
      </c>
      <c r="E140" s="184">
        <v>41778</v>
      </c>
      <c r="F140" s="189" t="s">
        <v>500</v>
      </c>
      <c r="G140" s="570" t="s">
        <v>526</v>
      </c>
      <c r="H140" s="7" t="s">
        <v>917</v>
      </c>
      <c r="I140" s="256">
        <v>399</v>
      </c>
      <c r="J140" s="256">
        <v>8500</v>
      </c>
      <c r="K140" s="568">
        <f>ROUND(I140*J140,0)</f>
        <v>3391500</v>
      </c>
      <c r="L140" s="569" t="s">
        <v>253</v>
      </c>
      <c r="M140" s="569" t="s">
        <v>177</v>
      </c>
      <c r="N140" s="52" t="str">
        <f>IF(AND('331-CT'!$E$7=TH!H140,OR(L140="331",M140="331")),"331",IF(AND(OR(L140="131",M140="131"),H140='131-CT'!$E$7),"131",""))</f>
        <v/>
      </c>
      <c r="O140" s="90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21"/>
      <c r="AC140" s="211" t="str">
        <f>IF(F140=VLOOKUP(F140,NXT!$C$12:$C$305,1,0),"","x")</f>
        <v/>
      </c>
    </row>
    <row r="141" spans="1:31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937</v>
      </c>
      <c r="E141" s="184">
        <v>41778</v>
      </c>
      <c r="F141" s="189" t="s">
        <v>426</v>
      </c>
      <c r="G141" s="570" t="s">
        <v>526</v>
      </c>
      <c r="H141" s="7" t="s">
        <v>917</v>
      </c>
      <c r="I141" s="256"/>
      <c r="J141" s="256"/>
      <c r="K141" s="568">
        <v>1141500</v>
      </c>
      <c r="L141" s="569" t="s">
        <v>253</v>
      </c>
      <c r="M141" s="569" t="s">
        <v>367</v>
      </c>
      <c r="N141" s="52" t="str">
        <f>IF(AND('331-CT'!$E$7=TH!H141,OR(L141="331",M141="331")),"331",IF(AND(OR(L141="131",M141="131"),H141='131-CT'!$E$7),"131",""))</f>
        <v/>
      </c>
      <c r="O141" s="90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21"/>
      <c r="AC141" s="560" t="str">
        <f>IF(VLOOKUP(H141,DS_131,1,0)&lt;&gt;"","","x")</f>
        <v/>
      </c>
    </row>
    <row r="142" spans="1:31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938</v>
      </c>
      <c r="E142" s="184">
        <v>41779</v>
      </c>
      <c r="F142" s="189" t="s">
        <v>527</v>
      </c>
      <c r="G142" s="468" t="s">
        <v>528</v>
      </c>
      <c r="H142" s="7" t="s">
        <v>475</v>
      </c>
      <c r="I142" s="258">
        <v>150</v>
      </c>
      <c r="J142" s="258">
        <v>4000</v>
      </c>
      <c r="K142" s="568">
        <f>ROUND(I142*J142,0)</f>
        <v>600000</v>
      </c>
      <c r="L142" s="569" t="s">
        <v>253</v>
      </c>
      <c r="M142" s="569" t="s">
        <v>177</v>
      </c>
      <c r="N142" s="52" t="str">
        <f>IF(AND('331-CT'!$E$7=TH!H142,OR(L142="331",M142="331")),"331",IF(AND(OR(L142="131",M142="131"),H142='131-CT'!$E$7),"131",""))</f>
        <v/>
      </c>
      <c r="O142" s="90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21"/>
      <c r="AC142" s="211" t="str">
        <f>IF(F142=VLOOKUP(F142,NXT!$C$12:$C$305,1,0),"","x")</f>
        <v/>
      </c>
    </row>
    <row r="143" spans="1:31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938</v>
      </c>
      <c r="E143" s="184">
        <v>41779</v>
      </c>
      <c r="F143" s="296" t="s">
        <v>529</v>
      </c>
      <c r="G143" s="468" t="s">
        <v>528</v>
      </c>
      <c r="H143" s="7" t="s">
        <v>475</v>
      </c>
      <c r="I143" s="258">
        <v>1250</v>
      </c>
      <c r="J143" s="256">
        <v>4600</v>
      </c>
      <c r="K143" s="568">
        <f>ROUND(I143*J143,0)</f>
        <v>5750000</v>
      </c>
      <c r="L143" s="569" t="s">
        <v>253</v>
      </c>
      <c r="M143" s="569" t="s">
        <v>177</v>
      </c>
      <c r="N143" s="52" t="str">
        <f>IF(AND('331-CT'!$E$7=TH!H143,OR(L143="331",M143="331")),"331",IF(AND(OR(L143="131",M143="131"),H143='131-CT'!$E$7),"131",""))</f>
        <v/>
      </c>
      <c r="O143" s="90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21"/>
      <c r="AC143" s="211" t="str">
        <f>IF(F143=VLOOKUP(F143,NXT!$C$12:$C$305,1,0),"","x")</f>
        <v/>
      </c>
    </row>
    <row r="144" spans="1:31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938</v>
      </c>
      <c r="E144" s="184">
        <v>41779</v>
      </c>
      <c r="F144" s="189" t="s">
        <v>426</v>
      </c>
      <c r="G144" s="570" t="s">
        <v>528</v>
      </c>
      <c r="H144" s="7" t="s">
        <v>475</v>
      </c>
      <c r="I144" s="256"/>
      <c r="J144" s="256"/>
      <c r="K144" s="568">
        <v>635000</v>
      </c>
      <c r="L144" s="569" t="s">
        <v>253</v>
      </c>
      <c r="M144" s="569" t="s">
        <v>367</v>
      </c>
      <c r="N144" s="52" t="str">
        <f>IF(AND('331-CT'!$E$7=TH!H144,OR(L144="331",M144="331")),"331",IF(AND(OR(L144="131",M144="131"),H144='131-CT'!$E$7),"131",""))</f>
        <v/>
      </c>
      <c r="O144" s="90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21"/>
      <c r="AC144" s="560" t="str">
        <f>IF(VLOOKUP(H144,DS_131,1,0)&lt;&gt;"","","x")</f>
        <v/>
      </c>
    </row>
    <row r="145" spans="1:31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939</v>
      </c>
      <c r="E145" s="184">
        <v>41780</v>
      </c>
      <c r="F145" s="189" t="s">
        <v>530</v>
      </c>
      <c r="G145" s="570" t="s">
        <v>531</v>
      </c>
      <c r="H145" s="7" t="s">
        <v>483</v>
      </c>
      <c r="I145" s="256">
        <v>1200</v>
      </c>
      <c r="J145" s="256">
        <v>1500</v>
      </c>
      <c r="K145" s="568">
        <f>ROUND(I145*J145,0)</f>
        <v>1800000</v>
      </c>
      <c r="L145" s="569" t="s">
        <v>253</v>
      </c>
      <c r="M145" s="569" t="s">
        <v>177</v>
      </c>
      <c r="N145" s="52" t="str">
        <f>IF(AND('331-CT'!$E$7=TH!H145,OR(L145="331",M145="331")),"331",IF(AND(OR(L145="131",M145="131"),H145='131-CT'!$E$7),"131",""))</f>
        <v/>
      </c>
      <c r="O145" s="90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21"/>
      <c r="AC145" s="211" t="str">
        <f>IF(F145=VLOOKUP(F145,NXT!$C$12:$C$305,1,0),"","x")</f>
        <v/>
      </c>
    </row>
    <row r="146" spans="1:31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939</v>
      </c>
      <c r="E146" s="184">
        <v>41780</v>
      </c>
      <c r="F146" s="189" t="s">
        <v>426</v>
      </c>
      <c r="G146" s="570" t="s">
        <v>531</v>
      </c>
      <c r="H146" s="7" t="s">
        <v>483</v>
      </c>
      <c r="I146" s="256"/>
      <c r="J146" s="256"/>
      <c r="K146" s="568">
        <v>180000</v>
      </c>
      <c r="L146" s="569" t="s">
        <v>253</v>
      </c>
      <c r="M146" s="569" t="s">
        <v>367</v>
      </c>
      <c r="N146" s="52" t="str">
        <f>IF(AND('331-CT'!$E$7=TH!H146,OR(L146="331",M146="331")),"331",IF(AND(OR(L146="131",M146="131"),H146='131-CT'!$E$7),"131",""))</f>
        <v/>
      </c>
      <c r="O146" s="90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21"/>
      <c r="AC146" s="560" t="str">
        <f>IF(VLOOKUP(H146,DS_131,1,0)&lt;&gt;"","","x")</f>
        <v/>
      </c>
    </row>
    <row r="147" spans="1:31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940</v>
      </c>
      <c r="E147" s="184">
        <v>41780</v>
      </c>
      <c r="F147" s="189" t="s">
        <v>472</v>
      </c>
      <c r="G147" s="468" t="s">
        <v>532</v>
      </c>
      <c r="H147" s="7" t="s">
        <v>918</v>
      </c>
      <c r="I147" s="256">
        <v>1305</v>
      </c>
      <c r="J147" s="256">
        <v>4650</v>
      </c>
      <c r="K147" s="568">
        <f>ROUND(I147*J147,0)</f>
        <v>6068250</v>
      </c>
      <c r="L147" s="569" t="s">
        <v>253</v>
      </c>
      <c r="M147" s="569" t="s">
        <v>177</v>
      </c>
      <c r="N147" s="52" t="str">
        <f>IF(AND('331-CT'!$E$7=TH!H147,OR(L147="331",M147="331")),"331",IF(AND(OR(L147="131",M147="131"),H147='131-CT'!$E$7),"131",""))</f>
        <v/>
      </c>
      <c r="O147" s="90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21"/>
      <c r="AC147" s="211" t="str">
        <f>IF(F147=VLOOKUP(F147,NXT!$C$12:$C$305,1,0),"","x")</f>
        <v/>
      </c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940</v>
      </c>
      <c r="E148" s="184">
        <v>41780</v>
      </c>
      <c r="F148" s="189" t="s">
        <v>426</v>
      </c>
      <c r="G148" s="468" t="s">
        <v>532</v>
      </c>
      <c r="H148" s="7" t="s">
        <v>918</v>
      </c>
      <c r="I148" s="256"/>
      <c r="J148" s="256"/>
      <c r="K148" s="568">
        <v>606825</v>
      </c>
      <c r="L148" s="569" t="s">
        <v>253</v>
      </c>
      <c r="M148" s="569" t="s">
        <v>367</v>
      </c>
      <c r="N148" s="52" t="str">
        <f>IF(AND('331-CT'!$E$7=TH!H148,OR(L148="331",M148="331")),"331",IF(AND(OR(L148="131",M148="131"),H148='131-CT'!$E$7),"131",""))</f>
        <v/>
      </c>
      <c r="O148" s="90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21"/>
      <c r="AC148" s="560" t="str">
        <f>IF(VLOOKUP(H148,DS_131,1,0)&lt;&gt;"","","x")</f>
        <v/>
      </c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941</v>
      </c>
      <c r="E149" s="37">
        <v>41781</v>
      </c>
      <c r="F149" s="40" t="s">
        <v>533</v>
      </c>
      <c r="G149" s="465" t="s">
        <v>534</v>
      </c>
      <c r="H149" s="45" t="s">
        <v>431</v>
      </c>
      <c r="I149" s="256">
        <v>497</v>
      </c>
      <c r="J149" s="256">
        <v>17800</v>
      </c>
      <c r="K149" s="568">
        <f>ROUND(I149*J149,0)</f>
        <v>8846600</v>
      </c>
      <c r="L149" s="569" t="s">
        <v>253</v>
      </c>
      <c r="M149" s="569" t="s">
        <v>177</v>
      </c>
      <c r="N149" s="52" t="str">
        <f>IF(AND('331-CT'!$E$7=TH!H149,OR(L149="331",M149="331")),"331",IF(AND(OR(L149="131",M149="131"),H149='131-CT'!$E$7),"131",""))</f>
        <v/>
      </c>
      <c r="O149" s="90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21"/>
      <c r="AC149" s="211" t="str">
        <f>IF(F149=VLOOKUP(F149,NXT!$C$12:$C$305,1,0),"","x")</f>
        <v/>
      </c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941</v>
      </c>
      <c r="E150" s="37">
        <v>41781</v>
      </c>
      <c r="F150" s="40" t="s">
        <v>426</v>
      </c>
      <c r="G150" s="465" t="s">
        <v>534</v>
      </c>
      <c r="H150" s="45" t="s">
        <v>431</v>
      </c>
      <c r="I150" s="256"/>
      <c r="J150" s="256"/>
      <c r="K150" s="38">
        <v>884660</v>
      </c>
      <c r="L150" s="569" t="s">
        <v>253</v>
      </c>
      <c r="M150" s="569" t="s">
        <v>367</v>
      </c>
      <c r="N150" s="52" t="str">
        <f>IF(AND('331-CT'!$E$7=TH!H150,OR(L150="331",M150="331")),"331",IF(AND(OR(L150="131",M150="131"),H150='131-CT'!$E$7),"131",""))</f>
        <v/>
      </c>
      <c r="O150" s="90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21"/>
      <c r="AC150" s="560" t="str">
        <f>IF(VLOOKUP(H150,DS_131,1,0)&lt;&gt;"","","x")</f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942</v>
      </c>
      <c r="E151" s="37">
        <v>41786</v>
      </c>
      <c r="F151" s="40" t="s">
        <v>469</v>
      </c>
      <c r="G151" s="465" t="s">
        <v>535</v>
      </c>
      <c r="H151" s="45" t="s">
        <v>431</v>
      </c>
      <c r="I151" s="256">
        <v>998</v>
      </c>
      <c r="J151" s="256">
        <v>12300</v>
      </c>
      <c r="K151" s="568">
        <f>ROUND(I151*J151,0)</f>
        <v>12275400</v>
      </c>
      <c r="L151" s="569" t="s">
        <v>253</v>
      </c>
      <c r="M151" s="569" t="s">
        <v>177</v>
      </c>
      <c r="N151" s="52" t="str">
        <f>IF(AND('331-CT'!$E$7=TH!H151,OR(L151="331",M151="331")),"331",IF(AND(OR(L151="131",M151="131"),H151='131-CT'!$E$7),"131",""))</f>
        <v/>
      </c>
      <c r="O151" s="90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21"/>
      <c r="AC151" s="211" t="str">
        <f>IF(F151=VLOOKUP(F151,NXT!$C$12:$C$305,1,0),"","x")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942</v>
      </c>
      <c r="E152" s="751">
        <v>41786</v>
      </c>
      <c r="F152" s="189" t="s">
        <v>426</v>
      </c>
      <c r="G152" s="468" t="s">
        <v>535</v>
      </c>
      <c r="H152" s="7" t="s">
        <v>431</v>
      </c>
      <c r="I152" s="256"/>
      <c r="J152" s="256"/>
      <c r="K152" s="568">
        <v>1227540</v>
      </c>
      <c r="L152" s="569" t="s">
        <v>253</v>
      </c>
      <c r="M152" s="569" t="s">
        <v>367</v>
      </c>
      <c r="N152" s="52" t="str">
        <f>IF(AND('331-CT'!$E$7=TH!H152,OR(L152="331",M152="331")),"331",IF(AND(OR(L152="131",M152="131"),H152='131-CT'!$E$7),"131",""))</f>
        <v/>
      </c>
      <c r="O152" s="90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21"/>
      <c r="AC152" s="560" t="str">
        <f>IF(VLOOKUP(H152,DS_131,1,0)&lt;&gt;"","","x")</f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943</v>
      </c>
      <c r="E153" s="751">
        <v>41788</v>
      </c>
      <c r="F153" s="189" t="s">
        <v>442</v>
      </c>
      <c r="G153" s="468" t="s">
        <v>536</v>
      </c>
      <c r="H153" s="7" t="s">
        <v>444</v>
      </c>
      <c r="I153" s="256">
        <v>496</v>
      </c>
      <c r="J153" s="256">
        <v>10500</v>
      </c>
      <c r="K153" s="568">
        <f>ROUND(I153*J153,0)</f>
        <v>5208000</v>
      </c>
      <c r="L153" s="569" t="s">
        <v>253</v>
      </c>
      <c r="M153" s="569" t="s">
        <v>177</v>
      </c>
      <c r="N153" s="52" t="str">
        <f>IF(AND('331-CT'!$E$7=TH!H153,OR(L153="331",M153="331")),"331",IF(AND(OR(L153="131",M153="131"),H153='131-CT'!$E$7),"131",""))</f>
        <v/>
      </c>
      <c r="O153" s="90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21"/>
      <c r="AC153" s="211" t="str">
        <f>IF(F153=VLOOKUP(F153,NXT!$C$12:$C$305,1,0),"","x")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943</v>
      </c>
      <c r="E154" s="751">
        <v>41788</v>
      </c>
      <c r="F154" s="296" t="s">
        <v>426</v>
      </c>
      <c r="G154" s="468" t="s">
        <v>536</v>
      </c>
      <c r="H154" s="7" t="s">
        <v>444</v>
      </c>
      <c r="I154" s="257"/>
      <c r="J154" s="257"/>
      <c r="K154" s="568">
        <v>520800</v>
      </c>
      <c r="L154" s="569" t="s">
        <v>253</v>
      </c>
      <c r="M154" s="569" t="s">
        <v>367</v>
      </c>
      <c r="N154" s="52" t="str">
        <f>IF(AND('331-CT'!$E$7=TH!H154,OR(L154="331",M154="331")),"331",IF(AND(OR(L154="131",M154="131"),H154='131-CT'!$E$7),"131",""))</f>
        <v/>
      </c>
      <c r="O154" s="90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21"/>
      <c r="AC154" s="560" t="str">
        <f>IF(VLOOKUP(H154,DS_131,1,0)&lt;&gt;"","","x")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944</v>
      </c>
      <c r="E155" s="751">
        <v>41788</v>
      </c>
      <c r="F155" s="189" t="s">
        <v>514</v>
      </c>
      <c r="G155" s="570" t="s">
        <v>537</v>
      </c>
      <c r="H155" s="7" t="s">
        <v>917</v>
      </c>
      <c r="I155" s="256">
        <v>304</v>
      </c>
      <c r="J155" s="256">
        <v>9400</v>
      </c>
      <c r="K155" s="568">
        <f>ROUND(I155*J155,0)</f>
        <v>2857600</v>
      </c>
      <c r="L155" s="569" t="s">
        <v>253</v>
      </c>
      <c r="M155" s="569" t="s">
        <v>177</v>
      </c>
      <c r="N155" s="52" t="str">
        <f>IF(AND('331-CT'!$E$7=TH!H155,OR(L155="331",M155="331")),"331",IF(AND(OR(L155="131",M155="131"),H155='131-CT'!$E$7),"131",""))</f>
        <v/>
      </c>
      <c r="O155" s="90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21"/>
      <c r="AC155" s="211" t="str">
        <f>IF(F155=VLOOKUP(F155,NXT!$C$12:$C$305,1,0),"","x")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944</v>
      </c>
      <c r="E156" s="751">
        <v>41788</v>
      </c>
      <c r="F156" s="189" t="s">
        <v>538</v>
      </c>
      <c r="G156" s="468" t="s">
        <v>537</v>
      </c>
      <c r="H156" s="7" t="s">
        <v>917</v>
      </c>
      <c r="I156" s="256">
        <v>154</v>
      </c>
      <c r="J156" s="256">
        <v>11600</v>
      </c>
      <c r="K156" s="568">
        <f>ROUND(I156*J156,0)</f>
        <v>1786400</v>
      </c>
      <c r="L156" s="569" t="s">
        <v>253</v>
      </c>
      <c r="M156" s="569" t="s">
        <v>177</v>
      </c>
      <c r="N156" s="52" t="str">
        <f>IF(AND('331-CT'!$E$7=TH!H156,OR(L156="331",M156="331")),"331",IF(AND(OR(L156="131",M156="131"),H156='131-CT'!$E$7),"131",""))</f>
        <v/>
      </c>
      <c r="O156" s="90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21"/>
      <c r="AC156" s="211" t="str">
        <f>IF(F156=VLOOKUP(F156,NXT!$C$12:$C$305,1,0),"","x")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944</v>
      </c>
      <c r="E157" s="751">
        <v>41788</v>
      </c>
      <c r="F157" s="296" t="s">
        <v>500</v>
      </c>
      <c r="G157" s="468" t="s">
        <v>537</v>
      </c>
      <c r="H157" s="7" t="s">
        <v>917</v>
      </c>
      <c r="I157" s="256">
        <v>500</v>
      </c>
      <c r="J157" s="256">
        <v>8600</v>
      </c>
      <c r="K157" s="568">
        <f>ROUND(I157*J157,0)</f>
        <v>4300000</v>
      </c>
      <c r="L157" s="569" t="s">
        <v>253</v>
      </c>
      <c r="M157" s="569" t="s">
        <v>177</v>
      </c>
      <c r="N157" s="52" t="str">
        <f>IF(AND('331-CT'!$E$7=TH!H157,OR(L157="331",M157="331")),"331",IF(AND(OR(L157="131",M157="131"),H157='131-CT'!$E$7),"131",""))</f>
        <v/>
      </c>
      <c r="O157" s="90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21"/>
      <c r="AC157" s="211" t="str">
        <f>IF(F157=VLOOKUP(F157,NXT!$C$12:$C$305,1,0),"","x")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944</v>
      </c>
      <c r="E158" s="751">
        <v>41788</v>
      </c>
      <c r="F158" s="296" t="s">
        <v>426</v>
      </c>
      <c r="G158" s="468" t="s">
        <v>537</v>
      </c>
      <c r="H158" s="7" t="s">
        <v>917</v>
      </c>
      <c r="I158" s="256"/>
      <c r="J158" s="256"/>
      <c r="K158" s="568">
        <v>894400</v>
      </c>
      <c r="L158" s="569" t="s">
        <v>253</v>
      </c>
      <c r="M158" s="569" t="s">
        <v>367</v>
      </c>
      <c r="N158" s="52" t="str">
        <f>IF(AND('331-CT'!$E$7=TH!H158,OR(L158="331",M158="331")),"331",IF(AND(OR(L158="131",M158="131"),H158='131-CT'!$E$7),"131",""))</f>
        <v/>
      </c>
      <c r="O158" s="90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21"/>
      <c r="AC158" s="560" t="str">
        <f>IF(VLOOKUP(H158,DS_131,1,0)&lt;&gt;"","","x")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945</v>
      </c>
      <c r="E159" s="751">
        <v>41788</v>
      </c>
      <c r="F159" s="296" t="s">
        <v>539</v>
      </c>
      <c r="G159" s="468" t="s">
        <v>540</v>
      </c>
      <c r="H159" s="7" t="s">
        <v>541</v>
      </c>
      <c r="I159" s="256">
        <v>209</v>
      </c>
      <c r="J159" s="256">
        <v>8800</v>
      </c>
      <c r="K159" s="568">
        <f>ROUND(I159*J159,0)</f>
        <v>1839200</v>
      </c>
      <c r="L159" s="569" t="s">
        <v>253</v>
      </c>
      <c r="M159" s="569" t="s">
        <v>177</v>
      </c>
      <c r="N159" s="52" t="str">
        <f>IF(AND('331-CT'!$E$7=TH!H159,OR(L159="331",M159="331")),"331",IF(AND(OR(L159="131",M159="131"),H159='131-CT'!$E$7),"131",""))</f>
        <v/>
      </c>
      <c r="O159" s="90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21"/>
      <c r="AC159" s="211" t="str">
        <f>IF(F159=VLOOKUP(F159,NXT!$C$12:$C$305,1,0),"","x")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945</v>
      </c>
      <c r="E160" s="184">
        <v>41788</v>
      </c>
      <c r="F160" s="189" t="s">
        <v>426</v>
      </c>
      <c r="G160" s="570" t="s">
        <v>540</v>
      </c>
      <c r="H160" s="7" t="s">
        <v>541</v>
      </c>
      <c r="I160" s="256"/>
      <c r="J160" s="256"/>
      <c r="K160" s="568">
        <v>183920</v>
      </c>
      <c r="L160" s="569" t="s">
        <v>253</v>
      </c>
      <c r="M160" s="569" t="s">
        <v>367</v>
      </c>
      <c r="N160" s="52" t="str">
        <f>IF(AND('331-CT'!$E$7=TH!H160,OR(L160="331",M160="331")),"331",IF(AND(OR(L160="131",M160="131"),H160='131-CT'!$E$7),"131",""))</f>
        <v/>
      </c>
      <c r="O160" s="90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21"/>
      <c r="AC160" s="560" t="str">
        <f>IF(VLOOKUP(H160,DS_131,1,0)&lt;&gt;"","","x")</f>
        <v/>
      </c>
      <c r="AD160" s="560"/>
      <c r="AE160" s="560"/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946</v>
      </c>
      <c r="E161" s="184">
        <v>41789</v>
      </c>
      <c r="F161" s="189" t="s">
        <v>423</v>
      </c>
      <c r="G161" s="570" t="s">
        <v>542</v>
      </c>
      <c r="H161" s="7" t="s">
        <v>425</v>
      </c>
      <c r="I161" s="256">
        <v>1983</v>
      </c>
      <c r="J161" s="256">
        <v>5500</v>
      </c>
      <c r="K161" s="568">
        <f>ROUND(I161*J161,0)</f>
        <v>10906500</v>
      </c>
      <c r="L161" s="569" t="s">
        <v>253</v>
      </c>
      <c r="M161" s="569" t="s">
        <v>177</v>
      </c>
      <c r="N161" s="52" t="str">
        <f>IF(AND('331-CT'!$E$7=TH!H161,OR(L161="331",M161="331")),"331",IF(AND(OR(L161="131",M161="131"),H161='131-CT'!$E$7),"131",""))</f>
        <v/>
      </c>
      <c r="O161" s="90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21"/>
      <c r="AC161" s="211" t="str">
        <f>IF(F161=VLOOKUP(F161,NXT!$C$12:$C$305,1,0),"","x")</f>
        <v/>
      </c>
      <c r="AD161" s="560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946</v>
      </c>
      <c r="E162" s="37">
        <v>41789</v>
      </c>
      <c r="F162" s="189" t="s">
        <v>426</v>
      </c>
      <c r="G162" s="467" t="s">
        <v>542</v>
      </c>
      <c r="H162" s="7" t="s">
        <v>425</v>
      </c>
      <c r="I162" s="257"/>
      <c r="J162" s="258"/>
      <c r="K162" s="38">
        <v>1090650</v>
      </c>
      <c r="L162" s="569" t="s">
        <v>253</v>
      </c>
      <c r="M162" s="569" t="s">
        <v>367</v>
      </c>
      <c r="N162" s="52" t="str">
        <f>IF(AND('331-CT'!$E$7=TH!H162,OR(L162="331",M162="331")),"331",IF(AND(OR(L162="131",M162="131"),H162='131-CT'!$E$7),"131",""))</f>
        <v/>
      </c>
      <c r="O162" s="90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21"/>
      <c r="AC162" s="560" t="str">
        <f>IF(VLOOKUP(H162,DS_131,1,0)&lt;&gt;"","","x")</f>
        <v/>
      </c>
      <c r="AD162" s="560"/>
      <c r="AE162" s="560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948</v>
      </c>
      <c r="E163" s="37">
        <v>41792</v>
      </c>
      <c r="F163" s="189" t="s">
        <v>427</v>
      </c>
      <c r="G163" s="467" t="s">
        <v>545</v>
      </c>
      <c r="H163" s="7" t="s">
        <v>916</v>
      </c>
      <c r="I163" s="256">
        <v>1000</v>
      </c>
      <c r="J163" s="258">
        <v>17300</v>
      </c>
      <c r="K163" s="568">
        <f>ROUND(I163*J163,0)</f>
        <v>17300000</v>
      </c>
      <c r="L163" s="569" t="s">
        <v>253</v>
      </c>
      <c r="M163" s="569" t="s">
        <v>177</v>
      </c>
      <c r="N163" s="52" t="str">
        <f>IF(AND('331-CT'!$E$7=TH!H163,OR(L163="331",M163="331")),"331",IF(AND(OR(L163="131",M163="131"),H163='131-CT'!$E$7),"131",""))</f>
        <v/>
      </c>
      <c r="O163" s="90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21"/>
      <c r="AC163" s="211" t="str">
        <f>IF(F163=VLOOKUP(F163,NXT!$C$12:$C$305,1,0),"","x")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948</v>
      </c>
      <c r="E164" s="37">
        <v>41792</v>
      </c>
      <c r="F164" s="189" t="s">
        <v>426</v>
      </c>
      <c r="G164" s="467" t="s">
        <v>545</v>
      </c>
      <c r="H164" s="7" t="s">
        <v>916</v>
      </c>
      <c r="I164" s="257"/>
      <c r="J164" s="258"/>
      <c r="K164" s="38">
        <v>1730000</v>
      </c>
      <c r="L164" s="569" t="s">
        <v>253</v>
      </c>
      <c r="M164" s="569" t="s">
        <v>367</v>
      </c>
      <c r="N164" s="52" t="str">
        <f>IF(AND('331-CT'!$E$7=TH!H164,OR(L164="331",M164="331")),"331",IF(AND(OR(L164="131",M164="131"),H164='131-CT'!$E$7),"131",""))</f>
        <v/>
      </c>
      <c r="O164" s="90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21"/>
      <c r="AC164" s="560" t="str">
        <f>IF(VLOOKUP(H164,DS_131,1,0)&lt;&gt;"","","x")</f>
        <v/>
      </c>
      <c r="AD164" s="560"/>
      <c r="AE164" s="560"/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949</v>
      </c>
      <c r="E165" s="191">
        <v>41792</v>
      </c>
      <c r="F165" s="189" t="s">
        <v>546</v>
      </c>
      <c r="G165" s="468" t="s">
        <v>547</v>
      </c>
      <c r="H165" s="7" t="s">
        <v>464</v>
      </c>
      <c r="I165" s="256">
        <v>910</v>
      </c>
      <c r="J165" s="256">
        <v>5700</v>
      </c>
      <c r="K165" s="568">
        <f>ROUND(I165*J165,0)</f>
        <v>5187000</v>
      </c>
      <c r="L165" s="569" t="s">
        <v>253</v>
      </c>
      <c r="M165" s="569" t="s">
        <v>177</v>
      </c>
      <c r="N165" s="52" t="str">
        <f>IF(AND('331-CT'!$E$7=TH!H165,OR(L165="331",M165="331")),"331",IF(AND(OR(L165="131",M165="131"),H165='131-CT'!$E$7),"131",""))</f>
        <v/>
      </c>
      <c r="O165" s="90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21"/>
      <c r="AC165" s="211" t="str">
        <f>IF(F165=VLOOKUP(F165,NXT!$C$12:$C$305,1,0),"","x")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949</v>
      </c>
      <c r="E166" s="191">
        <v>41792</v>
      </c>
      <c r="F166" s="189" t="s">
        <v>426</v>
      </c>
      <c r="G166" s="468" t="s">
        <v>547</v>
      </c>
      <c r="H166" s="7" t="s">
        <v>464</v>
      </c>
      <c r="I166" s="256"/>
      <c r="J166" s="256"/>
      <c r="K166" s="568">
        <v>518700</v>
      </c>
      <c r="L166" s="569" t="s">
        <v>253</v>
      </c>
      <c r="M166" s="569" t="s">
        <v>367</v>
      </c>
      <c r="N166" s="52" t="str">
        <f>IF(AND('331-CT'!$E$7=TH!H166,OR(L166="331",M166="331")),"331",IF(AND(OR(L166="131",M166="131"),H166='131-CT'!$E$7),"131",""))</f>
        <v/>
      </c>
      <c r="O166" s="90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21"/>
      <c r="AC166" s="560" t="str">
        <f>IF(VLOOKUP(H166,DS_131,1,0)&lt;&gt;"","","x")</f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950</v>
      </c>
      <c r="E167" s="191">
        <v>41792</v>
      </c>
      <c r="F167" s="40" t="s">
        <v>451</v>
      </c>
      <c r="G167" s="570" t="s">
        <v>548</v>
      </c>
      <c r="H167" s="7" t="s">
        <v>916</v>
      </c>
      <c r="I167" s="256">
        <v>2000</v>
      </c>
      <c r="J167" s="256">
        <v>1500</v>
      </c>
      <c r="K167" s="568">
        <f>ROUND(I167*J167,0)</f>
        <v>3000000</v>
      </c>
      <c r="L167" s="569" t="s">
        <v>253</v>
      </c>
      <c r="M167" s="569" t="s">
        <v>177</v>
      </c>
      <c r="N167" s="52" t="str">
        <f>IF(AND('331-CT'!$E$7=TH!H167,OR(L167="331",M167="331")),"331",IF(AND(OR(L167="131",M167="131"),H167='131-CT'!$E$7),"131",""))</f>
        <v/>
      </c>
      <c r="O167" s="90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21"/>
      <c r="AC167" s="211" t="str">
        <f>IF(F167=VLOOKUP(F167,NXT!$C$12:$C$305,1,0),"","x")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950</v>
      </c>
      <c r="E168" s="191">
        <v>41792</v>
      </c>
      <c r="F168" s="189" t="s">
        <v>426</v>
      </c>
      <c r="G168" s="468" t="s">
        <v>548</v>
      </c>
      <c r="H168" s="7" t="s">
        <v>916</v>
      </c>
      <c r="I168" s="256"/>
      <c r="J168" s="256"/>
      <c r="K168" s="568">
        <v>300000</v>
      </c>
      <c r="L168" s="569" t="s">
        <v>253</v>
      </c>
      <c r="M168" s="569" t="s">
        <v>367</v>
      </c>
      <c r="N168" s="52" t="str">
        <f>IF(AND('331-CT'!$E$7=TH!H168,OR(L168="331",M168="331")),"331",IF(AND(OR(L168="131",M168="131"),H168='131-CT'!$E$7),"131",""))</f>
        <v/>
      </c>
      <c r="O168" s="90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21"/>
      <c r="AC168" s="560" t="str">
        <f>IF(VLOOKUP(H168,DS_131,1,0)&lt;&gt;"","","x")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951</v>
      </c>
      <c r="E169" s="191">
        <v>41794</v>
      </c>
      <c r="F169" s="189" t="s">
        <v>506</v>
      </c>
      <c r="G169" s="468" t="s">
        <v>549</v>
      </c>
      <c r="H169" s="7" t="s">
        <v>508</v>
      </c>
      <c r="I169" s="256">
        <v>500</v>
      </c>
      <c r="J169" s="256">
        <v>5900</v>
      </c>
      <c r="K169" s="568">
        <f>ROUND(I169*J169,0)</f>
        <v>2950000</v>
      </c>
      <c r="L169" s="569" t="s">
        <v>253</v>
      </c>
      <c r="M169" s="569" t="s">
        <v>177</v>
      </c>
      <c r="N169" s="52" t="str">
        <f>IF(AND('331-CT'!$E$7=TH!H169,OR(L169="331",M169="331")),"331",IF(AND(OR(L169="131",M169="131"),H169='131-CT'!$E$7),"131",""))</f>
        <v/>
      </c>
      <c r="O169" s="90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21"/>
      <c r="AC169" s="211" t="str">
        <f>IF(F169=VLOOKUP(F169,NXT!$C$12:$C$305,1,0),"","x")</f>
        <v/>
      </c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951</v>
      </c>
      <c r="E170" s="191">
        <v>41794</v>
      </c>
      <c r="F170" s="189" t="s">
        <v>509</v>
      </c>
      <c r="G170" s="570" t="s">
        <v>549</v>
      </c>
      <c r="H170" s="7" t="s">
        <v>508</v>
      </c>
      <c r="I170" s="256">
        <v>397</v>
      </c>
      <c r="J170" s="256">
        <v>6250</v>
      </c>
      <c r="K170" s="568">
        <f>ROUND(I170*J170,0)</f>
        <v>2481250</v>
      </c>
      <c r="L170" s="569" t="s">
        <v>253</v>
      </c>
      <c r="M170" s="569" t="s">
        <v>177</v>
      </c>
      <c r="N170" s="52" t="str">
        <f>IF(AND('331-CT'!$E$7=TH!H170,OR(L170="331",M170="331")),"331",IF(AND(OR(L170="131",M170="131"),H170='131-CT'!$E$7),"131",""))</f>
        <v/>
      </c>
      <c r="O170" s="90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21"/>
      <c r="AC170" s="211" t="str">
        <f>IF(F170=VLOOKUP(F170,NXT!$C$12:$C$305,1,0),"","x")</f>
        <v/>
      </c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951</v>
      </c>
      <c r="E171" s="191">
        <v>41794</v>
      </c>
      <c r="F171" s="189" t="s">
        <v>510</v>
      </c>
      <c r="G171" s="570" t="s">
        <v>549</v>
      </c>
      <c r="H171" s="7" t="s">
        <v>508</v>
      </c>
      <c r="I171" s="256">
        <v>200</v>
      </c>
      <c r="J171" s="256">
        <v>6550</v>
      </c>
      <c r="K171" s="568">
        <f>ROUND(I171*J171,0)</f>
        <v>1310000</v>
      </c>
      <c r="L171" s="569" t="s">
        <v>253</v>
      </c>
      <c r="M171" s="569" t="s">
        <v>177</v>
      </c>
      <c r="N171" s="52" t="str">
        <f>IF(AND('331-CT'!$E$7=TH!H171,OR(L171="331",M171="331")),"331",IF(AND(OR(L171="131",M171="131"),H171='131-CT'!$E$7),"131",""))</f>
        <v/>
      </c>
      <c r="O171" s="90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21"/>
      <c r="AC171" s="211" t="str">
        <f>IF(F171=VLOOKUP(F171,NXT!$C$12:$C$305,1,0),"","x")</f>
        <v/>
      </c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951</v>
      </c>
      <c r="E172" s="191">
        <v>41794</v>
      </c>
      <c r="F172" s="189" t="s">
        <v>411</v>
      </c>
      <c r="G172" s="570" t="s">
        <v>549</v>
      </c>
      <c r="H172" s="7" t="s">
        <v>508</v>
      </c>
      <c r="I172" s="256">
        <v>200</v>
      </c>
      <c r="J172" s="256">
        <v>6800</v>
      </c>
      <c r="K172" s="568">
        <f>ROUND(I172*J172,0)</f>
        <v>1360000</v>
      </c>
      <c r="L172" s="569" t="s">
        <v>253</v>
      </c>
      <c r="M172" s="569" t="s">
        <v>177</v>
      </c>
      <c r="N172" s="52" t="str">
        <f>IF(AND('331-CT'!$E$7=TH!H172,OR(L172="331",M172="331")),"331",IF(AND(OR(L172="131",M172="131"),H172='131-CT'!$E$7),"131",""))</f>
        <v/>
      </c>
      <c r="O172" s="90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21"/>
      <c r="AC172" s="211" t="str">
        <f>IF(F172=VLOOKUP(F172,NXT!$C$12:$C$305,1,0),"","x")</f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951</v>
      </c>
      <c r="E173" s="191">
        <v>41794</v>
      </c>
      <c r="F173" s="189" t="s">
        <v>426</v>
      </c>
      <c r="G173" s="570" t="s">
        <v>549</v>
      </c>
      <c r="H173" s="7" t="s">
        <v>508</v>
      </c>
      <c r="I173" s="256"/>
      <c r="J173" s="256"/>
      <c r="K173" s="568">
        <v>810125</v>
      </c>
      <c r="L173" s="569" t="s">
        <v>253</v>
      </c>
      <c r="M173" s="569" t="s">
        <v>367</v>
      </c>
      <c r="N173" s="52" t="str">
        <f>IF(AND('331-CT'!$E$7=TH!H173,OR(L173="331",M173="331")),"331",IF(AND(OR(L173="131",M173="131"),H173='131-CT'!$E$7),"131",""))</f>
        <v/>
      </c>
      <c r="O173" s="90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21"/>
      <c r="AC173" s="560" t="str">
        <f>IF(VLOOKUP(H173,DS_131,1,0)&lt;&gt;"","","x")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952</v>
      </c>
      <c r="E174" s="37">
        <v>41795</v>
      </c>
      <c r="F174" s="40" t="s">
        <v>550</v>
      </c>
      <c r="G174" s="465" t="s">
        <v>551</v>
      </c>
      <c r="H174" s="45" t="s">
        <v>552</v>
      </c>
      <c r="I174" s="256">
        <v>190</v>
      </c>
      <c r="J174" s="256">
        <v>24000</v>
      </c>
      <c r="K174" s="568">
        <f>ROUND(I174*J174,0)</f>
        <v>4560000</v>
      </c>
      <c r="L174" s="569" t="s">
        <v>253</v>
      </c>
      <c r="M174" s="569" t="s">
        <v>177</v>
      </c>
      <c r="N174" s="52" t="str">
        <f>IF(AND('331-CT'!$E$7=TH!H174,OR(L174="331",M174="331")),"331",IF(AND(OR(L174="131",M174="131"),H174='131-CT'!$E$7),"131",""))</f>
        <v/>
      </c>
      <c r="O174" s="90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21"/>
      <c r="AC174" s="211" t="str">
        <f>IF(F174=VLOOKUP(F174,NXT!$C$12:$C$305,1,0),"","x")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952</v>
      </c>
      <c r="E175" s="37">
        <v>41795</v>
      </c>
      <c r="F175" s="40" t="s">
        <v>553</v>
      </c>
      <c r="G175" s="465" t="s">
        <v>551</v>
      </c>
      <c r="H175" s="45" t="s">
        <v>552</v>
      </c>
      <c r="I175" s="256">
        <v>190</v>
      </c>
      <c r="J175" s="256">
        <v>26000</v>
      </c>
      <c r="K175" s="568">
        <f>ROUND(I175*J175,0)</f>
        <v>4940000</v>
      </c>
      <c r="L175" s="569" t="s">
        <v>253</v>
      </c>
      <c r="M175" s="569" t="s">
        <v>177</v>
      </c>
      <c r="N175" s="52" t="str">
        <f>IF(AND('331-CT'!$E$7=TH!H175,OR(L175="331",M175="331")),"331",IF(AND(OR(L175="131",M175="131"),H175='131-CT'!$E$7),"131",""))</f>
        <v/>
      </c>
      <c r="O175" s="90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21"/>
      <c r="AC175" s="211" t="str">
        <f>IF(F175=VLOOKUP(F175,NXT!$C$12:$C$305,1,0),"","x")</f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952</v>
      </c>
      <c r="E176" s="37">
        <v>41795</v>
      </c>
      <c r="F176" s="40" t="s">
        <v>426</v>
      </c>
      <c r="G176" s="467" t="s">
        <v>551</v>
      </c>
      <c r="H176" s="44" t="s">
        <v>552</v>
      </c>
      <c r="I176" s="256"/>
      <c r="J176" s="256"/>
      <c r="K176" s="568">
        <v>950000</v>
      </c>
      <c r="L176" s="569" t="s">
        <v>253</v>
      </c>
      <c r="M176" s="569" t="s">
        <v>367</v>
      </c>
      <c r="N176" s="52" t="str">
        <f>IF(AND('331-CT'!$E$7=TH!H176,OR(L176="331",M176="331")),"331",IF(AND(OR(L176="131",M176="131"),H176='131-CT'!$E$7),"131",""))</f>
        <v/>
      </c>
      <c r="O176" s="90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21"/>
      <c r="AC176" s="560" t="str">
        <f>IF(VLOOKUP(H176,DS_131,1,0)&lt;&gt;"","","x")</f>
        <v/>
      </c>
      <c r="AD176" s="560"/>
      <c r="AE176" s="560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953</v>
      </c>
      <c r="E177" s="37">
        <v>41795</v>
      </c>
      <c r="F177" s="40" t="s">
        <v>554</v>
      </c>
      <c r="G177" s="467" t="s">
        <v>555</v>
      </c>
      <c r="H177" s="44" t="s">
        <v>556</v>
      </c>
      <c r="I177" s="257">
        <v>100</v>
      </c>
      <c r="J177" s="258">
        <v>9000</v>
      </c>
      <c r="K177" s="568">
        <f>ROUND(I177*J177,0)</f>
        <v>900000</v>
      </c>
      <c r="L177" s="569" t="s">
        <v>253</v>
      </c>
      <c r="M177" s="569" t="s">
        <v>177</v>
      </c>
      <c r="N177" s="52" t="str">
        <f>IF(AND('331-CT'!$E$7=TH!H177,OR(L177="331",M177="331")),"331",IF(AND(OR(L177="131",M177="131"),H177='131-CT'!$E$7),"131",""))</f>
        <v/>
      </c>
      <c r="O177" s="90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21"/>
      <c r="AC177" s="211" t="str">
        <f>IF(F177=VLOOKUP(F177,NXT!$C$12:$C$305,1,0),"","x")</f>
        <v/>
      </c>
      <c r="AD177" s="560"/>
      <c r="AE177" s="560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953</v>
      </c>
      <c r="E178" s="37">
        <v>41795</v>
      </c>
      <c r="F178" s="40" t="s">
        <v>557</v>
      </c>
      <c r="G178" s="467" t="s">
        <v>555</v>
      </c>
      <c r="H178" s="44" t="s">
        <v>556</v>
      </c>
      <c r="I178" s="257">
        <v>200</v>
      </c>
      <c r="J178" s="257">
        <v>6400</v>
      </c>
      <c r="K178" s="568">
        <f>ROUND(I178*J178,0)</f>
        <v>1280000</v>
      </c>
      <c r="L178" s="569" t="s">
        <v>253</v>
      </c>
      <c r="M178" s="569" t="s">
        <v>177</v>
      </c>
      <c r="N178" s="52" t="str">
        <f>IF(AND('331-CT'!$E$7=TH!H178,OR(L178="331",M178="331")),"331",IF(AND(OR(L178="131",M178="131"),H178='131-CT'!$E$7),"131",""))</f>
        <v/>
      </c>
      <c r="O178" s="90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21"/>
      <c r="AC178" s="211" t="str">
        <f>IF(F178=VLOOKUP(F178,NXT!$C$12:$C$305,1,0),"","x")</f>
        <v/>
      </c>
      <c r="AE178" s="560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953</v>
      </c>
      <c r="E179" s="184">
        <v>41795</v>
      </c>
      <c r="F179" s="296" t="s">
        <v>426</v>
      </c>
      <c r="G179" s="570" t="s">
        <v>555</v>
      </c>
      <c r="H179" s="7" t="s">
        <v>556</v>
      </c>
      <c r="I179" s="256"/>
      <c r="J179" s="256"/>
      <c r="K179" s="568">
        <v>218000</v>
      </c>
      <c r="L179" s="569" t="s">
        <v>253</v>
      </c>
      <c r="M179" s="569" t="s">
        <v>367</v>
      </c>
      <c r="N179" s="52" t="str">
        <f>IF(AND('331-CT'!$E$7=TH!H179,OR(L179="331",M179="331")),"331",IF(AND(OR(L179="131",M179="131"),H179='131-CT'!$E$7),"131",""))</f>
        <v/>
      </c>
      <c r="O179" s="90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21"/>
      <c r="AC179" s="560" t="str">
        <f>IF(VLOOKUP(H179,DS_131,1,0)&lt;&gt;"","","x")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955</v>
      </c>
      <c r="E180" s="184">
        <v>41806</v>
      </c>
      <c r="F180" s="189" t="s">
        <v>560</v>
      </c>
      <c r="G180" s="468" t="s">
        <v>561</v>
      </c>
      <c r="H180" s="7" t="s">
        <v>460</v>
      </c>
      <c r="I180" s="256">
        <v>398</v>
      </c>
      <c r="J180" s="256">
        <v>25000</v>
      </c>
      <c r="K180" s="568">
        <f>ROUND(I180*J180,0)</f>
        <v>9950000</v>
      </c>
      <c r="L180" s="569" t="s">
        <v>253</v>
      </c>
      <c r="M180" s="569" t="s">
        <v>177</v>
      </c>
      <c r="N180" s="52" t="str">
        <f>IF(AND('331-CT'!$E$7=TH!H180,OR(L180="331",M180="331")),"331",IF(AND(OR(L180="131",M180="131"),H180='131-CT'!$E$7),"131",""))</f>
        <v/>
      </c>
      <c r="O180" s="90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21"/>
      <c r="AC180" s="211" t="str">
        <f>IF(F180=VLOOKUP(F180,NXT!$C$12:$C$305,1,0),"","x")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955</v>
      </c>
      <c r="E181" s="184">
        <v>41806</v>
      </c>
      <c r="F181" s="189" t="s">
        <v>426</v>
      </c>
      <c r="G181" s="468" t="s">
        <v>561</v>
      </c>
      <c r="H181" s="7" t="s">
        <v>460</v>
      </c>
      <c r="I181" s="256"/>
      <c r="J181" s="256"/>
      <c r="K181" s="568">
        <v>995000</v>
      </c>
      <c r="L181" s="569" t="s">
        <v>253</v>
      </c>
      <c r="M181" s="569" t="s">
        <v>367</v>
      </c>
      <c r="N181" s="52" t="str">
        <f>IF(AND('331-CT'!$E$7=TH!H181,OR(L181="331",M181="331")),"331",IF(AND(OR(L181="131",M181="131"),H181='131-CT'!$E$7),"131",""))</f>
        <v/>
      </c>
      <c r="O181" s="90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21"/>
      <c r="AC181" s="560" t="str">
        <f>IF(VLOOKUP(H181,DS_131,1,0)&lt;&gt;"","","x")</f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956</v>
      </c>
      <c r="E182" s="184">
        <v>41807</v>
      </c>
      <c r="F182" s="189" t="s">
        <v>558</v>
      </c>
      <c r="G182" s="465" t="s">
        <v>562</v>
      </c>
      <c r="H182" s="7" t="s">
        <v>917</v>
      </c>
      <c r="I182" s="257">
        <v>150</v>
      </c>
      <c r="J182" s="256">
        <v>10500</v>
      </c>
      <c r="K182" s="568">
        <f>ROUND(I182*J182,0)</f>
        <v>1575000</v>
      </c>
      <c r="L182" s="569" t="s">
        <v>253</v>
      </c>
      <c r="M182" s="569" t="s">
        <v>177</v>
      </c>
      <c r="N182" s="52" t="str">
        <f>IF(AND('331-CT'!$E$7=TH!H182,OR(L182="331",M182="331")),"331",IF(AND(OR(L182="131",M182="131"),H182='131-CT'!$E$7),"131",""))</f>
        <v/>
      </c>
      <c r="O182" s="90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21"/>
      <c r="AC182" s="211" t="str">
        <f>IF(F182=VLOOKUP(F182,NXT!$C$12:$C$305,1,0),"","x")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956</v>
      </c>
      <c r="E183" s="184">
        <v>41807</v>
      </c>
      <c r="F183" s="189" t="s">
        <v>426</v>
      </c>
      <c r="G183" s="465" t="s">
        <v>562</v>
      </c>
      <c r="H183" s="7" t="s">
        <v>917</v>
      </c>
      <c r="I183" s="257"/>
      <c r="J183" s="256"/>
      <c r="K183" s="568">
        <v>157500</v>
      </c>
      <c r="L183" s="569" t="s">
        <v>253</v>
      </c>
      <c r="M183" s="569" t="s">
        <v>367</v>
      </c>
      <c r="N183" s="52" t="str">
        <f>IF(AND('331-CT'!$E$7=TH!H183,OR(L183="331",M183="331")),"331",IF(AND(OR(L183="131",M183="131"),H183='131-CT'!$E$7),"131",""))</f>
        <v/>
      </c>
      <c r="O183" s="90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21"/>
      <c r="AC183" s="560" t="str">
        <f>IF(VLOOKUP(H183,DS_131,1,0)&lt;&gt;"","","x")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957</v>
      </c>
      <c r="E184" s="184">
        <v>41810</v>
      </c>
      <c r="F184" s="189" t="s">
        <v>500</v>
      </c>
      <c r="G184" s="570" t="s">
        <v>563</v>
      </c>
      <c r="H184" s="7" t="s">
        <v>917</v>
      </c>
      <c r="I184" s="256">
        <v>542</v>
      </c>
      <c r="J184" s="256">
        <v>8600</v>
      </c>
      <c r="K184" s="568">
        <f>ROUND(I184*J184,0)</f>
        <v>4661200</v>
      </c>
      <c r="L184" s="569" t="s">
        <v>253</v>
      </c>
      <c r="M184" s="569" t="s">
        <v>177</v>
      </c>
      <c r="N184" s="52" t="str">
        <f>IF(AND('331-CT'!$E$7=TH!H184,OR(L184="331",M184="331")),"331",IF(AND(OR(L184="131",M184="131"),H184='131-CT'!$E$7),"131",""))</f>
        <v/>
      </c>
      <c r="O184" s="90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21"/>
      <c r="AC184" s="211" t="str">
        <f>IF(F184=VLOOKUP(F184,NXT!$C$12:$C$305,1,0),"","x")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957</v>
      </c>
      <c r="E185" s="184">
        <v>41810</v>
      </c>
      <c r="F185" s="189" t="s">
        <v>426</v>
      </c>
      <c r="G185" s="570" t="s">
        <v>563</v>
      </c>
      <c r="H185" s="7" t="s">
        <v>917</v>
      </c>
      <c r="I185" s="256"/>
      <c r="J185" s="256"/>
      <c r="K185" s="568">
        <v>466120</v>
      </c>
      <c r="L185" s="569" t="s">
        <v>253</v>
      </c>
      <c r="M185" s="569" t="s">
        <v>367</v>
      </c>
      <c r="N185" s="52" t="str">
        <f>IF(AND('331-CT'!$E$7=TH!H185,OR(L185="331",M185="331")),"331",IF(AND(OR(L185="131",M185="131"),H185='131-CT'!$E$7),"131",""))</f>
        <v/>
      </c>
      <c r="O185" s="90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21"/>
      <c r="AC185" s="560" t="str">
        <f>IF(VLOOKUP(H185,DS_131,1,0)&lt;&gt;"","","x")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958</v>
      </c>
      <c r="E186" s="37">
        <v>41813</v>
      </c>
      <c r="F186" s="40" t="s">
        <v>465</v>
      </c>
      <c r="G186" s="465" t="s">
        <v>564</v>
      </c>
      <c r="H186" s="45" t="s">
        <v>467</v>
      </c>
      <c r="I186" s="256">
        <v>984</v>
      </c>
      <c r="J186" s="256">
        <v>8740</v>
      </c>
      <c r="K186" s="568">
        <f>ROUND(I186*J186,0)</f>
        <v>8600160</v>
      </c>
      <c r="L186" s="569" t="s">
        <v>253</v>
      </c>
      <c r="M186" s="569" t="s">
        <v>177</v>
      </c>
      <c r="N186" s="52" t="str">
        <f>IF(AND('331-CT'!$E$7=TH!H186,OR(L186="331",M186="331")),"331",IF(AND(OR(L186="131",M186="131"),H186='131-CT'!$E$7),"131",""))</f>
        <v/>
      </c>
      <c r="O186" s="90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21"/>
      <c r="AC186" s="211" t="str">
        <f>IF(F186=VLOOKUP(F186,NXT!$C$12:$C$305,1,0),"","x")</f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958</v>
      </c>
      <c r="E187" s="37">
        <v>41813</v>
      </c>
      <c r="F187" s="40" t="s">
        <v>426</v>
      </c>
      <c r="G187" s="465" t="s">
        <v>564</v>
      </c>
      <c r="H187" s="45" t="s">
        <v>467</v>
      </c>
      <c r="I187" s="256"/>
      <c r="J187" s="256"/>
      <c r="K187" s="38">
        <v>860016</v>
      </c>
      <c r="L187" s="569" t="s">
        <v>253</v>
      </c>
      <c r="M187" s="569" t="s">
        <v>367</v>
      </c>
      <c r="N187" s="52" t="str">
        <f>IF(AND('331-CT'!$E$7=TH!H187,OR(L187="331",M187="331")),"331",IF(AND(OR(L187="131",M187="131"),H187='131-CT'!$E$7),"131",""))</f>
        <v/>
      </c>
      <c r="O187" s="90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21"/>
      <c r="AC187" s="560" t="str">
        <f>IF(VLOOKUP(H187,DS_131,1,0)&lt;&gt;"","","x")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959</v>
      </c>
      <c r="E188" s="37">
        <v>41814</v>
      </c>
      <c r="F188" s="40" t="s">
        <v>565</v>
      </c>
      <c r="G188" s="465" t="s">
        <v>566</v>
      </c>
      <c r="H188" s="45" t="s">
        <v>567</v>
      </c>
      <c r="I188" s="257">
        <v>396</v>
      </c>
      <c r="J188" s="256">
        <v>17600</v>
      </c>
      <c r="K188" s="568">
        <f>ROUND(I188*J188,0)</f>
        <v>6969600</v>
      </c>
      <c r="L188" s="569" t="s">
        <v>253</v>
      </c>
      <c r="M188" s="569" t="s">
        <v>177</v>
      </c>
      <c r="N188" s="52" t="str">
        <f>IF(AND('331-CT'!$E$7=TH!H188,OR(L188="331",M188="331")),"331",IF(AND(OR(L188="131",M188="131"),H188='131-CT'!$E$7),"131",""))</f>
        <v/>
      </c>
      <c r="O188" s="90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21"/>
      <c r="AC188" s="211" t="str">
        <f>IF(F188=VLOOKUP(F188,NXT!$C$12:$C$305,1,0),"","x")</f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959</v>
      </c>
      <c r="E189" s="184">
        <v>41814</v>
      </c>
      <c r="F189" s="189" t="s">
        <v>568</v>
      </c>
      <c r="G189" s="570" t="s">
        <v>566</v>
      </c>
      <c r="H189" s="7" t="s">
        <v>567</v>
      </c>
      <c r="I189" s="256">
        <v>100</v>
      </c>
      <c r="J189" s="256">
        <v>16500</v>
      </c>
      <c r="K189" s="568">
        <f>ROUND(I189*J189,0)</f>
        <v>1650000</v>
      </c>
      <c r="L189" s="569" t="s">
        <v>253</v>
      </c>
      <c r="M189" s="569" t="s">
        <v>177</v>
      </c>
      <c r="N189" s="52" t="str">
        <f>IF(AND('331-CT'!$E$7=TH!H189,OR(L189="331",M189="331")),"331",IF(AND(OR(L189="131",M189="131"),H189='131-CT'!$E$7),"131",""))</f>
        <v/>
      </c>
      <c r="O189" s="90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21"/>
      <c r="AC189" s="211" t="str">
        <f>IF(F189=VLOOKUP(F189,NXT!$C$12:$C$305,1,0),"","x")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959</v>
      </c>
      <c r="E190" s="184">
        <v>41814</v>
      </c>
      <c r="F190" s="189" t="s">
        <v>426</v>
      </c>
      <c r="G190" s="468" t="s">
        <v>566</v>
      </c>
      <c r="H190" s="7" t="s">
        <v>567</v>
      </c>
      <c r="I190" s="256"/>
      <c r="J190" s="256"/>
      <c r="K190" s="568">
        <v>861960</v>
      </c>
      <c r="L190" s="569" t="s">
        <v>253</v>
      </c>
      <c r="M190" s="569" t="s">
        <v>367</v>
      </c>
      <c r="N190" s="52" t="str">
        <f>IF(AND('331-CT'!$E$7=TH!H190,OR(L190="331",M190="331")),"331",IF(AND(OR(L190="131",M190="131"),H190='131-CT'!$E$7),"131",""))</f>
        <v/>
      </c>
      <c r="O190" s="90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21"/>
      <c r="AC190" s="560" t="str">
        <f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960</v>
      </c>
      <c r="E191" s="184">
        <v>41815</v>
      </c>
      <c r="F191" s="189" t="s">
        <v>569</v>
      </c>
      <c r="G191" s="468" t="s">
        <v>570</v>
      </c>
      <c r="H191" s="7" t="s">
        <v>431</v>
      </c>
      <c r="I191" s="256">
        <v>541</v>
      </c>
      <c r="J191" s="256">
        <v>12150</v>
      </c>
      <c r="K191" s="568">
        <f>ROUND(I191*J191,0)</f>
        <v>6573150</v>
      </c>
      <c r="L191" s="569" t="s">
        <v>253</v>
      </c>
      <c r="M191" s="569" t="s">
        <v>177</v>
      </c>
      <c r="N191" s="52" t="str">
        <f>IF(AND('331-CT'!$E$7=TH!H191,OR(L191="331",M191="331")),"331",IF(AND(OR(L191="131",M191="131"),H191='131-CT'!$E$7),"131",""))</f>
        <v/>
      </c>
      <c r="O191" s="90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21"/>
      <c r="AC191" s="211" t="str">
        <f>IF(F191=VLOOKUP(F191,NXT!$C$12:$C$305,1,0),"","x")</f>
        <v/>
      </c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960</v>
      </c>
      <c r="E192" s="184">
        <v>41815</v>
      </c>
      <c r="F192" s="189" t="s">
        <v>426</v>
      </c>
      <c r="G192" s="570" t="s">
        <v>570</v>
      </c>
      <c r="H192" s="7" t="s">
        <v>431</v>
      </c>
      <c r="I192" s="256"/>
      <c r="J192" s="256"/>
      <c r="K192" s="568">
        <v>657315</v>
      </c>
      <c r="L192" s="569" t="s">
        <v>253</v>
      </c>
      <c r="M192" s="569" t="s">
        <v>367</v>
      </c>
      <c r="N192" s="52" t="str">
        <f>IF(AND('331-CT'!$E$7=TH!H192,OR(L192="331",M192="331")),"331",IF(AND(OR(L192="131",M192="131"),H192='131-CT'!$E$7),"131",""))</f>
        <v/>
      </c>
      <c r="O192" s="90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21"/>
      <c r="AC192" s="560" t="str">
        <f>IF(VLOOKUP(H192,DS_131,1,0)&lt;&gt;"","","x")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961</v>
      </c>
      <c r="E193" s="184">
        <v>41818</v>
      </c>
      <c r="F193" s="189" t="s">
        <v>423</v>
      </c>
      <c r="G193" s="570" t="s">
        <v>571</v>
      </c>
      <c r="H193" s="7" t="s">
        <v>425</v>
      </c>
      <c r="I193" s="256">
        <v>2917</v>
      </c>
      <c r="J193" s="256">
        <v>5500</v>
      </c>
      <c r="K193" s="568">
        <f>ROUND(I193*J193,0)</f>
        <v>16043500</v>
      </c>
      <c r="L193" s="569" t="s">
        <v>253</v>
      </c>
      <c r="M193" s="569" t="s">
        <v>177</v>
      </c>
      <c r="N193" s="52" t="str">
        <f>IF(AND('331-CT'!$E$7=TH!H193,OR(L193="331",M193="331")),"331",IF(AND(OR(L193="131",M193="131"),H193='131-CT'!$E$7),"131",""))</f>
        <v/>
      </c>
      <c r="O193" s="90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21"/>
      <c r="AC193" s="211" t="str">
        <f>IF(F193=VLOOKUP(F193,NXT!$C$12:$C$305,1,0),"","x")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961</v>
      </c>
      <c r="E194" s="184">
        <v>41818</v>
      </c>
      <c r="F194" s="189" t="s">
        <v>426</v>
      </c>
      <c r="G194" s="570" t="s">
        <v>571</v>
      </c>
      <c r="H194" s="7" t="s">
        <v>425</v>
      </c>
      <c r="I194" s="256"/>
      <c r="J194" s="256"/>
      <c r="K194" s="568">
        <v>1604350</v>
      </c>
      <c r="L194" s="569" t="s">
        <v>253</v>
      </c>
      <c r="M194" s="569" t="s">
        <v>367</v>
      </c>
      <c r="N194" s="52" t="str">
        <f>IF(AND('331-CT'!$E$7=TH!H194,OR(L194="331",M194="331")),"331",IF(AND(OR(L194="131",M194="131"),H194='131-CT'!$E$7),"131",""))</f>
        <v/>
      </c>
      <c r="O194" s="90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21"/>
      <c r="AC194" s="560" t="str">
        <f>IF(VLOOKUP(H194,DS_131,1,0)&lt;&gt;"","","x")</f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962</v>
      </c>
      <c r="E195" s="184">
        <v>41820</v>
      </c>
      <c r="F195" s="189" t="s">
        <v>572</v>
      </c>
      <c r="G195" s="570" t="s">
        <v>573</v>
      </c>
      <c r="H195" s="7" t="s">
        <v>444</v>
      </c>
      <c r="I195" s="256">
        <v>550</v>
      </c>
      <c r="J195" s="256">
        <v>10500</v>
      </c>
      <c r="K195" s="568">
        <f>ROUND(I195*J195,0)</f>
        <v>5775000</v>
      </c>
      <c r="L195" s="569" t="s">
        <v>253</v>
      </c>
      <c r="M195" s="569" t="s">
        <v>177</v>
      </c>
      <c r="N195" s="52" t="str">
        <f>IF(AND('331-CT'!$E$7=TH!H195,OR(L195="331",M195="331")),"331",IF(AND(OR(L195="131",M195="131"),H195='131-CT'!$E$7),"131",""))</f>
        <v/>
      </c>
      <c r="O195" s="90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21"/>
      <c r="AC195" s="211" t="str">
        <f>IF(F195=VLOOKUP(F195,NXT!$C$12:$C$305,1,0),"","x")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962</v>
      </c>
      <c r="E196" s="184">
        <v>41820</v>
      </c>
      <c r="F196" s="189" t="s">
        <v>442</v>
      </c>
      <c r="G196" s="570" t="s">
        <v>573</v>
      </c>
      <c r="H196" s="7" t="s">
        <v>444</v>
      </c>
      <c r="I196" s="256">
        <v>500</v>
      </c>
      <c r="J196" s="256">
        <v>10500</v>
      </c>
      <c r="K196" s="568">
        <f>ROUND(I196*J196,0)</f>
        <v>5250000</v>
      </c>
      <c r="L196" s="569" t="s">
        <v>253</v>
      </c>
      <c r="M196" s="569" t="s">
        <v>177</v>
      </c>
      <c r="N196" s="52" t="str">
        <f>IF(AND('331-CT'!$E$7=TH!H196,OR(L196="331",M196="331")),"331",IF(AND(OR(L196="131",M196="131"),H196='131-CT'!$E$7),"131",""))</f>
        <v/>
      </c>
      <c r="O196" s="90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21"/>
      <c r="AC196" s="211" t="str">
        <f>IF(F196=VLOOKUP(F196,NXT!$C$12:$C$305,1,0),"","x")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962</v>
      </c>
      <c r="E197" s="184">
        <v>41820</v>
      </c>
      <c r="F197" s="189" t="s">
        <v>426</v>
      </c>
      <c r="G197" s="468" t="s">
        <v>573</v>
      </c>
      <c r="H197" s="7" t="s">
        <v>444</v>
      </c>
      <c r="I197" s="256"/>
      <c r="J197" s="256"/>
      <c r="K197" s="568">
        <v>1102500</v>
      </c>
      <c r="L197" s="569" t="s">
        <v>253</v>
      </c>
      <c r="M197" s="569" t="s">
        <v>367</v>
      </c>
      <c r="N197" s="52" t="str">
        <f>IF(AND('331-CT'!$E$7=TH!H197,OR(L197="331",M197="331")),"331",IF(AND(OR(L197="131",M197="131"),H197='131-CT'!$E$7),"131",""))</f>
        <v/>
      </c>
      <c r="O197" s="90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21"/>
      <c r="AC197" s="560" t="str">
        <f>IF(VLOOKUP(H197,DS_131,1,0)&lt;&gt;"","","x")</f>
        <v/>
      </c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963</v>
      </c>
      <c r="E198" s="184">
        <v>41820</v>
      </c>
      <c r="F198" s="189" t="s">
        <v>574</v>
      </c>
      <c r="G198" s="570" t="s">
        <v>575</v>
      </c>
      <c r="H198" s="7" t="s">
        <v>917</v>
      </c>
      <c r="I198" s="256">
        <v>203</v>
      </c>
      <c r="J198" s="256">
        <v>9800</v>
      </c>
      <c r="K198" s="568">
        <f>ROUND(I198*J198,0)</f>
        <v>1989400</v>
      </c>
      <c r="L198" s="569" t="s">
        <v>253</v>
      </c>
      <c r="M198" s="569" t="s">
        <v>177</v>
      </c>
      <c r="N198" s="52" t="str">
        <f>IF(AND('331-CT'!$E$7=TH!H198,OR(L198="331",M198="331")),"331",IF(AND(OR(L198="131",M198="131"),H198='131-CT'!$E$7),"131",""))</f>
        <v/>
      </c>
      <c r="O198" s="90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21"/>
      <c r="AC198" s="211" t="str">
        <f>IF(F198=VLOOKUP(F198,NXT!$C$12:$C$305,1,0),"","x")</f>
        <v/>
      </c>
      <c r="AD198" s="560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963</v>
      </c>
      <c r="E199" s="37">
        <v>41820</v>
      </c>
      <c r="F199" s="189" t="s">
        <v>493</v>
      </c>
      <c r="G199" s="467" t="s">
        <v>575</v>
      </c>
      <c r="H199" s="7" t="s">
        <v>917</v>
      </c>
      <c r="I199" s="256">
        <v>205</v>
      </c>
      <c r="J199" s="258">
        <v>6400</v>
      </c>
      <c r="K199" s="568">
        <f>ROUND(I199*J199,0)</f>
        <v>1312000</v>
      </c>
      <c r="L199" s="569" t="s">
        <v>253</v>
      </c>
      <c r="M199" s="569" t="s">
        <v>177</v>
      </c>
      <c r="N199" s="52" t="str">
        <f>IF(AND('331-CT'!$E$7=TH!H199,OR(L199="331",M199="331")),"331",IF(AND(OR(L199="131",M199="131"),H199='131-CT'!$E$7),"131",""))</f>
        <v/>
      </c>
      <c r="O199" s="90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21"/>
      <c r="AC199" s="211" t="str">
        <f>IF(F199=VLOOKUP(F199,NXT!$C$12:$C$305,1,0),"","x")</f>
        <v/>
      </c>
      <c r="AD199" s="560"/>
      <c r="AE199" s="560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963</v>
      </c>
      <c r="E200" s="37">
        <v>41820</v>
      </c>
      <c r="F200" s="189" t="s">
        <v>426</v>
      </c>
      <c r="G200" s="467" t="s">
        <v>575</v>
      </c>
      <c r="H200" s="7" t="s">
        <v>917</v>
      </c>
      <c r="I200" s="256"/>
      <c r="J200" s="256"/>
      <c r="K200" s="568">
        <v>330140</v>
      </c>
      <c r="L200" s="569" t="s">
        <v>253</v>
      </c>
      <c r="M200" s="569" t="s">
        <v>367</v>
      </c>
      <c r="N200" s="52" t="str">
        <f>IF(AND('331-CT'!$E$7=TH!H200,OR(L200="331",M200="331")),"331",IF(AND(OR(L200="131",M200="131"),H200='131-CT'!$E$7),"131",""))</f>
        <v/>
      </c>
      <c r="O200" s="90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21"/>
      <c r="AC200" s="560" t="str">
        <f>IF(VLOOKUP(H200,DS_131,1,0)&lt;&gt;"","","x")</f>
        <v/>
      </c>
      <c r="AE200" s="560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920</v>
      </c>
      <c r="E201" s="37">
        <v>41831</v>
      </c>
      <c r="F201" s="189" t="s">
        <v>521</v>
      </c>
      <c r="G201" s="467" t="s">
        <v>576</v>
      </c>
      <c r="H201" s="7" t="s">
        <v>918</v>
      </c>
      <c r="I201" s="256">
        <v>570</v>
      </c>
      <c r="J201" s="256">
        <v>8400</v>
      </c>
      <c r="K201" s="568">
        <f>ROUND(I201*J201,0)</f>
        <v>4788000</v>
      </c>
      <c r="L201" s="569" t="s">
        <v>253</v>
      </c>
      <c r="M201" s="569" t="s">
        <v>177</v>
      </c>
      <c r="N201" s="52" t="str">
        <f>IF(AND('331-CT'!$E$7=TH!H201,OR(L201="331",M201="331")),"331",IF(AND(OR(L201="131",M201="131"),H201='131-CT'!$E$7),"131",""))</f>
        <v/>
      </c>
      <c r="O201" s="90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>x</v>
      </c>
      <c r="AB201" s="821"/>
      <c r="AC201" s="211" t="str">
        <f>IF(F201=VLOOKUP(F201,NXT!$C$12:$C$305,1,0),"","x")</f>
        <v/>
      </c>
      <c r="AD201" s="560"/>
      <c r="AE201" s="560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920</v>
      </c>
      <c r="E202" s="37">
        <v>41831</v>
      </c>
      <c r="F202" s="189" t="s">
        <v>521</v>
      </c>
      <c r="G202" s="467" t="s">
        <v>576</v>
      </c>
      <c r="H202" s="7" t="s">
        <v>918</v>
      </c>
      <c r="I202" s="256">
        <v>564</v>
      </c>
      <c r="J202" s="256">
        <v>12000</v>
      </c>
      <c r="K202" s="568">
        <f>ROUND(I202*J202,0)</f>
        <v>6768000</v>
      </c>
      <c r="L202" s="569" t="s">
        <v>253</v>
      </c>
      <c r="M202" s="569" t="s">
        <v>177</v>
      </c>
      <c r="N202" s="52" t="str">
        <f>IF(AND('331-CT'!$E$7=TH!H202,OR(L202="331",M202="331")),"331",IF(AND(OR(L202="131",M202="131"),H202='131-CT'!$E$7),"131",""))</f>
        <v/>
      </c>
      <c r="O202" s="90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>x</v>
      </c>
      <c r="AB202" s="821"/>
      <c r="AC202" s="211" t="str">
        <f>IF(F202=VLOOKUP(F202,NXT!$C$12:$C$305,1,0),"","x")</f>
        <v/>
      </c>
      <c r="AD202" s="560"/>
      <c r="AE202" s="560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920</v>
      </c>
      <c r="E203" s="37">
        <v>41831</v>
      </c>
      <c r="F203" s="189" t="s">
        <v>426</v>
      </c>
      <c r="G203" s="467" t="s">
        <v>576</v>
      </c>
      <c r="H203" s="7" t="s">
        <v>918</v>
      </c>
      <c r="I203" s="256"/>
      <c r="J203" s="256"/>
      <c r="K203" s="38">
        <v>1155600</v>
      </c>
      <c r="L203" s="569" t="s">
        <v>253</v>
      </c>
      <c r="M203" s="569" t="s">
        <v>367</v>
      </c>
      <c r="N203" s="52" t="str">
        <f>IF(AND('331-CT'!$E$7=TH!H203,OR(L203="331",M203="331")),"331",IF(AND(OR(L203="131",M203="131"),H203='131-CT'!$E$7),"131",""))</f>
        <v/>
      </c>
      <c r="O203" s="90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>x</v>
      </c>
      <c r="AB203" s="821"/>
      <c r="AC203" s="560" t="str">
        <f>IF(VLOOKUP(H203,DS_131,1,0)&lt;&gt;"","","x")</f>
        <v/>
      </c>
      <c r="AE203" s="560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921</v>
      </c>
      <c r="E204" s="37">
        <v>41832</v>
      </c>
      <c r="F204" s="189" t="s">
        <v>577</v>
      </c>
      <c r="G204" s="467" t="s">
        <v>578</v>
      </c>
      <c r="H204" s="7" t="s">
        <v>431</v>
      </c>
      <c r="I204" s="256">
        <v>393</v>
      </c>
      <c r="J204" s="256">
        <v>10500</v>
      </c>
      <c r="K204" s="568">
        <f>ROUND(I204*J204,0)</f>
        <v>4126500</v>
      </c>
      <c r="L204" s="569" t="s">
        <v>253</v>
      </c>
      <c r="M204" s="569" t="s">
        <v>177</v>
      </c>
      <c r="N204" s="52" t="str">
        <f>IF(AND('331-CT'!$E$7=TH!H204,OR(L204="331",M204="331")),"331",IF(AND(OR(L204="131",M204="131"),H204='131-CT'!$E$7),"131",""))</f>
        <v/>
      </c>
      <c r="O204" s="90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>x</v>
      </c>
      <c r="AB204" s="821"/>
      <c r="AC204" s="211" t="str">
        <f>IF(F204=VLOOKUP(F204,NXT!$C$12:$C$305,1,0),"","x")</f>
        <v/>
      </c>
      <c r="AD204" s="560"/>
      <c r="AE204" s="560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921</v>
      </c>
      <c r="E205" s="37">
        <v>41832</v>
      </c>
      <c r="F205" s="189" t="s">
        <v>579</v>
      </c>
      <c r="G205" s="467" t="s">
        <v>578</v>
      </c>
      <c r="H205" s="7" t="s">
        <v>431</v>
      </c>
      <c r="I205" s="256">
        <v>480</v>
      </c>
      <c r="J205" s="256">
        <v>12800</v>
      </c>
      <c r="K205" s="568">
        <f>ROUND(I205*J205,0)</f>
        <v>6144000</v>
      </c>
      <c r="L205" s="569" t="s">
        <v>253</v>
      </c>
      <c r="M205" s="569" t="s">
        <v>177</v>
      </c>
      <c r="N205" s="52" t="str">
        <f>IF(AND('331-CT'!$E$7=TH!H205,OR(L205="331",M205="331")),"331",IF(AND(OR(L205="131",M205="131"),H205='131-CT'!$E$7),"131",""))</f>
        <v/>
      </c>
      <c r="O205" s="90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>x</v>
      </c>
      <c r="AB205" s="821"/>
      <c r="AC205" s="211" t="str">
        <f>IF(F205=VLOOKUP(F205,NXT!$C$12:$C$305,1,0),"","x")</f>
        <v/>
      </c>
      <c r="AD205" s="560"/>
      <c r="AE205" s="560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921</v>
      </c>
      <c r="E206" s="37">
        <v>41832</v>
      </c>
      <c r="F206" s="189" t="s">
        <v>580</v>
      </c>
      <c r="G206" s="467" t="s">
        <v>578</v>
      </c>
      <c r="H206" s="7" t="s">
        <v>431</v>
      </c>
      <c r="I206" s="256">
        <v>219</v>
      </c>
      <c r="J206" s="256">
        <v>12700</v>
      </c>
      <c r="K206" s="568">
        <f>ROUND(I206*J206,0)</f>
        <v>2781300</v>
      </c>
      <c r="L206" s="569" t="s">
        <v>253</v>
      </c>
      <c r="M206" s="569" t="s">
        <v>177</v>
      </c>
      <c r="N206" s="52" t="str">
        <f>IF(AND('331-CT'!$E$7=TH!H206,OR(L206="331",M206="331")),"331",IF(AND(OR(L206="131",M206="131"),H206='131-CT'!$E$7),"131",""))</f>
        <v/>
      </c>
      <c r="O206" s="90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>x</v>
      </c>
      <c r="AB206" s="821"/>
      <c r="AC206" s="211" t="str">
        <f>IF(F206=VLOOKUP(F206,NXT!$C$12:$C$305,1,0),"","x")</f>
        <v/>
      </c>
      <c r="AD206" s="560"/>
      <c r="AE206" s="560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921</v>
      </c>
      <c r="E207" s="37">
        <v>41832</v>
      </c>
      <c r="F207" s="189" t="s">
        <v>426</v>
      </c>
      <c r="G207" s="467" t="s">
        <v>578</v>
      </c>
      <c r="H207" s="7" t="s">
        <v>431</v>
      </c>
      <c r="I207" s="256"/>
      <c r="J207" s="256"/>
      <c r="K207" s="568">
        <v>1305180</v>
      </c>
      <c r="L207" s="569" t="s">
        <v>253</v>
      </c>
      <c r="M207" s="569" t="s">
        <v>367</v>
      </c>
      <c r="N207" s="52" t="str">
        <f>IF(AND('331-CT'!$E$7=TH!H207,OR(L207="331",M207="331")),"331",IF(AND(OR(L207="131",M207="131"),H207='131-CT'!$E$7),"131",""))</f>
        <v/>
      </c>
      <c r="O207" s="90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>x</v>
      </c>
      <c r="AB207" s="821"/>
      <c r="AC207" s="560" t="str">
        <f>IF(VLOOKUP(H207,DS_131,1,0)&lt;&gt;"","","x")</f>
        <v/>
      </c>
      <c r="AD207" s="560"/>
      <c r="AE207" s="560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922</v>
      </c>
      <c r="E208" s="37">
        <v>41834</v>
      </c>
      <c r="F208" s="189" t="s">
        <v>581</v>
      </c>
      <c r="G208" s="467" t="s">
        <v>582</v>
      </c>
      <c r="H208" s="7" t="s">
        <v>431</v>
      </c>
      <c r="I208" s="257">
        <v>300</v>
      </c>
      <c r="J208" s="257">
        <v>11619</v>
      </c>
      <c r="K208" s="568">
        <f>ROUND(I208*J208,0)</f>
        <v>3485700</v>
      </c>
      <c r="L208" s="569" t="s">
        <v>253</v>
      </c>
      <c r="M208" s="569" t="s">
        <v>177</v>
      </c>
      <c r="N208" s="52" t="str">
        <f>IF(AND('331-CT'!$E$7=TH!H208,OR(L208="331",M208="331")),"331",IF(AND(OR(L208="131",M208="131"),H208='131-CT'!$E$7),"131",""))</f>
        <v/>
      </c>
      <c r="O208" s="90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>x</v>
      </c>
      <c r="AB208" s="821"/>
      <c r="AC208" s="211" t="str">
        <f>IF(F208=VLOOKUP(F208,NXT!$C$12:$C$305,1,0),"","x")</f>
        <v/>
      </c>
      <c r="AE208" s="560"/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922</v>
      </c>
      <c r="E209" s="37">
        <v>41834</v>
      </c>
      <c r="F209" s="189" t="s">
        <v>583</v>
      </c>
      <c r="G209" s="467" t="s">
        <v>582</v>
      </c>
      <c r="H209" s="7" t="s">
        <v>431</v>
      </c>
      <c r="I209" s="257">
        <v>720</v>
      </c>
      <c r="J209" s="257">
        <v>12050</v>
      </c>
      <c r="K209" s="568">
        <f>ROUND(I209*J209,0)</f>
        <v>8676000</v>
      </c>
      <c r="L209" s="569" t="s">
        <v>253</v>
      </c>
      <c r="M209" s="569" t="s">
        <v>177</v>
      </c>
      <c r="N209" s="52" t="str">
        <f>IF(AND('331-CT'!$E$7=TH!H209,OR(L209="331",M209="331")),"331",IF(AND(OR(L209="131",M209="131"),H209='131-CT'!$E$7),"131",""))</f>
        <v/>
      </c>
      <c r="O209" s="90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>x</v>
      </c>
      <c r="AB209" s="821"/>
      <c r="AC209" s="211" t="str">
        <f>IF(F209=VLOOKUP(F209,NXT!$C$12:$C$305,1,0),"","x")</f>
        <v/>
      </c>
      <c r="AD209" s="560"/>
      <c r="AE209" s="560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922</v>
      </c>
      <c r="E210" s="37">
        <v>41834</v>
      </c>
      <c r="F210" s="189" t="s">
        <v>426</v>
      </c>
      <c r="G210" s="467" t="s">
        <v>582</v>
      </c>
      <c r="H210" s="7" t="s">
        <v>431</v>
      </c>
      <c r="I210" s="256"/>
      <c r="J210" s="256"/>
      <c r="K210" s="568">
        <v>1216170</v>
      </c>
      <c r="L210" s="569" t="s">
        <v>253</v>
      </c>
      <c r="M210" s="569" t="s">
        <v>367</v>
      </c>
      <c r="N210" s="52" t="str">
        <f>IF(AND('331-CT'!$E$7=TH!H210,OR(L210="331",M210="331")),"331",IF(AND(OR(L210="131",M210="131"),H210='131-CT'!$E$7),"131",""))</f>
        <v/>
      </c>
      <c r="O210" s="90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>x</v>
      </c>
      <c r="AB210" s="821"/>
      <c r="AC210" s="560" t="str">
        <f>IF(VLOOKUP(H210,DS_131,1,0)&lt;&gt;"","","x")</f>
        <v/>
      </c>
      <c r="AE210" s="560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923</v>
      </c>
      <c r="E211" s="37">
        <v>41834</v>
      </c>
      <c r="F211" s="189" t="s">
        <v>442</v>
      </c>
      <c r="G211" s="467" t="s">
        <v>584</v>
      </c>
      <c r="H211" s="7" t="s">
        <v>444</v>
      </c>
      <c r="I211" s="256">
        <v>522</v>
      </c>
      <c r="J211" s="256">
        <v>10500</v>
      </c>
      <c r="K211" s="568">
        <f>ROUND(I211*J211,0)</f>
        <v>5481000</v>
      </c>
      <c r="L211" s="569" t="s">
        <v>253</v>
      </c>
      <c r="M211" s="569" t="s">
        <v>177</v>
      </c>
      <c r="N211" s="52" t="str">
        <f>IF(AND('331-CT'!$E$7=TH!H211,OR(L211="331",M211="331")),"331",IF(AND(OR(L211="131",M211="131"),H211='131-CT'!$E$7),"131",""))</f>
        <v/>
      </c>
      <c r="O211" s="90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>x</v>
      </c>
      <c r="AB211" s="821"/>
      <c r="AC211" s="211" t="str">
        <f>IF(F211=VLOOKUP(F211,NXT!$C$12:$C$305,1,0),"","x")</f>
        <v/>
      </c>
      <c r="AD211" s="560"/>
      <c r="AE211" s="560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923</v>
      </c>
      <c r="E212" s="191">
        <v>41834</v>
      </c>
      <c r="F212" s="296" t="s">
        <v>580</v>
      </c>
      <c r="G212" s="468" t="s">
        <v>584</v>
      </c>
      <c r="H212" s="7" t="s">
        <v>444</v>
      </c>
      <c r="I212" s="256">
        <v>525</v>
      </c>
      <c r="J212" s="256">
        <v>9500</v>
      </c>
      <c r="K212" s="568">
        <f>ROUND(I212*J212,0)</f>
        <v>4987500</v>
      </c>
      <c r="L212" s="569" t="s">
        <v>253</v>
      </c>
      <c r="M212" s="569" t="s">
        <v>177</v>
      </c>
      <c r="N212" s="52" t="str">
        <f>IF(AND('331-CT'!$E$7=TH!H212,OR(L212="331",M212="331")),"331",IF(AND(OR(L212="131",M212="131"),H212='131-CT'!$E$7),"131",""))</f>
        <v/>
      </c>
      <c r="O212" s="90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>x</v>
      </c>
      <c r="AB212" s="821"/>
      <c r="AC212" s="211" t="str">
        <f>IF(F212=VLOOKUP(F212,NXT!$C$12:$C$305,1,0),"","x")</f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923</v>
      </c>
      <c r="E213" s="191">
        <v>41834</v>
      </c>
      <c r="F213" s="189" t="s">
        <v>426</v>
      </c>
      <c r="G213" s="468" t="s">
        <v>584</v>
      </c>
      <c r="H213" s="7" t="s">
        <v>444</v>
      </c>
      <c r="I213" s="256"/>
      <c r="J213" s="256"/>
      <c r="K213" s="568">
        <v>1046850</v>
      </c>
      <c r="L213" s="569" t="s">
        <v>253</v>
      </c>
      <c r="M213" s="569" t="s">
        <v>367</v>
      </c>
      <c r="N213" s="52" t="str">
        <f>IF(AND('331-CT'!$E$7=TH!H213,OR(L213="331",M213="331")),"331",IF(AND(OR(L213="131",M213="131"),H213='131-CT'!$E$7),"131",""))</f>
        <v/>
      </c>
      <c r="O213" s="90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>x</v>
      </c>
      <c r="AB213" s="821"/>
      <c r="AC213" s="560" t="str">
        <f>IF(VLOOKUP(H213,DS_131,1,0)&lt;&gt;"","","x")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925</v>
      </c>
      <c r="E214" s="191">
        <v>41834</v>
      </c>
      <c r="F214" s="296" t="s">
        <v>514</v>
      </c>
      <c r="G214" s="468" t="s">
        <v>586</v>
      </c>
      <c r="H214" s="7" t="s">
        <v>917</v>
      </c>
      <c r="I214" s="256">
        <v>214</v>
      </c>
      <c r="J214" s="256">
        <v>9400</v>
      </c>
      <c r="K214" s="568">
        <f>ROUND(I214*J214,0)</f>
        <v>2011600</v>
      </c>
      <c r="L214" s="569" t="s">
        <v>253</v>
      </c>
      <c r="M214" s="569" t="s">
        <v>177</v>
      </c>
      <c r="N214" s="52" t="str">
        <f>IF(AND('331-CT'!$E$7=TH!H214,OR(L214="331",M214="331")),"331",IF(AND(OR(L214="131",M214="131"),H214='131-CT'!$E$7),"131",""))</f>
        <v/>
      </c>
      <c r="O214" s="90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>x</v>
      </c>
      <c r="AB214" s="821"/>
      <c r="AC214" s="211" t="str">
        <f>IF(F214=VLOOKUP(F214,NXT!$C$12:$C$305,1,0),"","x")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925</v>
      </c>
      <c r="E215" s="191">
        <v>41834</v>
      </c>
      <c r="F215" s="189" t="s">
        <v>492</v>
      </c>
      <c r="G215" s="468" t="s">
        <v>586</v>
      </c>
      <c r="H215" s="7" t="s">
        <v>917</v>
      </c>
      <c r="I215" s="257">
        <v>133</v>
      </c>
      <c r="J215" s="256">
        <v>9300</v>
      </c>
      <c r="K215" s="568">
        <f>ROUND(I215*J215,0)</f>
        <v>1236900</v>
      </c>
      <c r="L215" s="569" t="s">
        <v>253</v>
      </c>
      <c r="M215" s="569" t="s">
        <v>177</v>
      </c>
      <c r="N215" s="52" t="str">
        <f>IF(AND('331-CT'!$E$7=TH!H215,OR(L215="331",M215="331")),"331",IF(AND(OR(L215="131",M215="131"),H215='131-CT'!$E$7),"131",""))</f>
        <v/>
      </c>
      <c r="O215" s="90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>x</v>
      </c>
      <c r="AB215" s="821"/>
      <c r="AC215" s="211" t="str">
        <f>IF(F215=VLOOKUP(F215,NXT!$C$12:$C$305,1,0),"","x")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925</v>
      </c>
      <c r="E216" s="191">
        <v>41834</v>
      </c>
      <c r="F216" s="189" t="s">
        <v>426</v>
      </c>
      <c r="G216" s="468" t="s">
        <v>586</v>
      </c>
      <c r="H216" s="7" t="s">
        <v>917</v>
      </c>
      <c r="I216" s="256"/>
      <c r="J216" s="256"/>
      <c r="K216" s="568">
        <v>324850</v>
      </c>
      <c r="L216" s="569" t="s">
        <v>253</v>
      </c>
      <c r="M216" s="569" t="s">
        <v>367</v>
      </c>
      <c r="N216" s="52" t="str">
        <f>IF(AND('331-CT'!$E$7=TH!H216,OR(L216="331",M216="331")),"331",IF(AND(OR(L216="131",M216="131"),H216='131-CT'!$E$7),"131",""))</f>
        <v/>
      </c>
      <c r="O216" s="90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>x</v>
      </c>
      <c r="AB216" s="821"/>
      <c r="AC216" s="560" t="str">
        <f>IF(VLOOKUP(H216,DS_131,1,0)&lt;&gt;"","","x")</f>
        <v/>
      </c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926</v>
      </c>
      <c r="E217" s="184">
        <v>41837</v>
      </c>
      <c r="F217" s="189" t="s">
        <v>587</v>
      </c>
      <c r="G217" s="570" t="s">
        <v>588</v>
      </c>
      <c r="H217" s="44" t="s">
        <v>589</v>
      </c>
      <c r="I217" s="256">
        <v>115</v>
      </c>
      <c r="J217" s="256">
        <v>10140</v>
      </c>
      <c r="K217" s="568">
        <f>ROUND(I217*J217,0)</f>
        <v>1166100</v>
      </c>
      <c r="L217" s="569" t="s">
        <v>253</v>
      </c>
      <c r="M217" s="569" t="s">
        <v>177</v>
      </c>
      <c r="N217" s="52" t="str">
        <f>IF(AND('331-CT'!$E$7=TH!H217,OR(L217="331",M217="331")),"331",IF(AND(OR(L217="131",M217="131"),H217='131-CT'!$E$7),"131",""))</f>
        <v/>
      </c>
      <c r="O217" s="90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>x</v>
      </c>
      <c r="AB217" s="821"/>
      <c r="AC217" s="211" t="str">
        <f>IF(F217=VLOOKUP(F217,NXT!$C$12:$C$305,1,0),"","x")</f>
        <v/>
      </c>
      <c r="AD217" s="560"/>
      <c r="AE217" s="560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926</v>
      </c>
      <c r="E218" s="37">
        <v>41837</v>
      </c>
      <c r="F218" s="40" t="s">
        <v>590</v>
      </c>
      <c r="G218" s="465" t="s">
        <v>588</v>
      </c>
      <c r="H218" s="45" t="s">
        <v>589</v>
      </c>
      <c r="I218" s="256">
        <v>15</v>
      </c>
      <c r="J218" s="256">
        <v>13490</v>
      </c>
      <c r="K218" s="568">
        <f>ROUND(I218*J218,0)</f>
        <v>202350</v>
      </c>
      <c r="L218" s="569" t="s">
        <v>253</v>
      </c>
      <c r="M218" s="569" t="s">
        <v>177</v>
      </c>
      <c r="N218" s="52" t="str">
        <f>IF(AND('331-CT'!$E$7=TH!H218,OR(L218="331",M218="331")),"331",IF(AND(OR(L218="131",M218="131"),H218='131-CT'!$E$7),"131",""))</f>
        <v/>
      </c>
      <c r="O218" s="90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>x</v>
      </c>
      <c r="AB218" s="821"/>
      <c r="AC218" s="211" t="str">
        <f>IF(F218=VLOOKUP(F218,NXT!$C$12:$C$305,1,0),"","x")</f>
        <v/>
      </c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926</v>
      </c>
      <c r="E219" s="37">
        <v>41837</v>
      </c>
      <c r="F219" s="40" t="s">
        <v>591</v>
      </c>
      <c r="G219" s="465" t="s">
        <v>588</v>
      </c>
      <c r="H219" s="45" t="s">
        <v>589</v>
      </c>
      <c r="I219" s="257">
        <v>40</v>
      </c>
      <c r="J219" s="256">
        <v>9000</v>
      </c>
      <c r="K219" s="568">
        <f>ROUND(I219*J219,0)</f>
        <v>360000</v>
      </c>
      <c r="L219" s="569" t="s">
        <v>253</v>
      </c>
      <c r="M219" s="569" t="s">
        <v>177</v>
      </c>
      <c r="N219" s="52" t="str">
        <f>IF(AND('331-CT'!$E$7=TH!H219,OR(L219="331",M219="331")),"331",IF(AND(OR(L219="131",M219="131"),H219='131-CT'!$E$7),"131",""))</f>
        <v/>
      </c>
      <c r="O219" s="90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>x</v>
      </c>
      <c r="AB219" s="821"/>
      <c r="AC219" s="211" t="str">
        <f>IF(F219=VLOOKUP(F219,NXT!$C$12:$C$305,1,0),"","x")</f>
        <v/>
      </c>
      <c r="AD219" s="560"/>
      <c r="AE219" s="560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926</v>
      </c>
      <c r="E220" s="37">
        <v>41837</v>
      </c>
      <c r="F220" s="40" t="s">
        <v>592</v>
      </c>
      <c r="G220" s="465" t="s">
        <v>588</v>
      </c>
      <c r="H220" s="45" t="s">
        <v>589</v>
      </c>
      <c r="I220" s="257">
        <v>720</v>
      </c>
      <c r="J220" s="256">
        <v>10940</v>
      </c>
      <c r="K220" s="568">
        <f>ROUND(I220*J220,0)</f>
        <v>7876800</v>
      </c>
      <c r="L220" s="569" t="s">
        <v>253</v>
      </c>
      <c r="M220" s="569" t="s">
        <v>177</v>
      </c>
      <c r="N220" s="52" t="str">
        <f>IF(AND('331-CT'!$E$7=TH!H220,OR(L220="331",M220="331")),"331",IF(AND(OR(L220="131",M220="131"),H220='131-CT'!$E$7),"131",""))</f>
        <v/>
      </c>
      <c r="O220" s="90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>x</v>
      </c>
      <c r="AB220" s="821"/>
      <c r="AC220" s="211" t="str">
        <f>IF(F220=VLOOKUP(F220,NXT!$C$12:$C$305,1,0),"","x")</f>
        <v/>
      </c>
      <c r="AD220" s="560"/>
      <c r="AE220" s="560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926</v>
      </c>
      <c r="E221" s="37">
        <v>41837</v>
      </c>
      <c r="F221" s="40" t="s">
        <v>593</v>
      </c>
      <c r="G221" s="465" t="s">
        <v>588</v>
      </c>
      <c r="H221" s="45" t="s">
        <v>589</v>
      </c>
      <c r="I221" s="257">
        <v>370</v>
      </c>
      <c r="J221" s="256">
        <v>10040</v>
      </c>
      <c r="K221" s="568">
        <f>ROUND(I221*J221,0)</f>
        <v>3714800</v>
      </c>
      <c r="L221" s="569" t="s">
        <v>253</v>
      </c>
      <c r="M221" s="569" t="s">
        <v>177</v>
      </c>
      <c r="N221" s="52" t="str">
        <f>IF(AND('331-CT'!$E$7=TH!H221,OR(L221="331",M221="331")),"331",IF(AND(OR(L221="131",M221="131"),H221='131-CT'!$E$7),"131",""))</f>
        <v/>
      </c>
      <c r="O221" s="90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>x</v>
      </c>
      <c r="AB221" s="821"/>
      <c r="AC221" s="211" t="str">
        <f>IF(F221=VLOOKUP(F221,NXT!$C$12:$C$305,1,0),"","x")</f>
        <v/>
      </c>
      <c r="AD221" s="560"/>
      <c r="AE221" s="560"/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926</v>
      </c>
      <c r="E222" s="37">
        <v>41837</v>
      </c>
      <c r="F222" s="40" t="s">
        <v>426</v>
      </c>
      <c r="G222" s="465" t="s">
        <v>588</v>
      </c>
      <c r="H222" s="45" t="s">
        <v>589</v>
      </c>
      <c r="I222" s="257"/>
      <c r="J222" s="256"/>
      <c r="K222" s="38">
        <v>1332005</v>
      </c>
      <c r="L222" s="569" t="s">
        <v>253</v>
      </c>
      <c r="M222" s="569" t="s">
        <v>367</v>
      </c>
      <c r="N222" s="52" t="str">
        <f>IF(AND('331-CT'!$E$7=TH!H222,OR(L222="331",M222="331")),"331",IF(AND(OR(L222="131",M222="131"),H222='131-CT'!$E$7),"131",""))</f>
        <v/>
      </c>
      <c r="O222" s="90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>x</v>
      </c>
      <c r="AB222" s="821"/>
      <c r="AC222" s="560" t="str">
        <f>IF(VLOOKUP(H222,DS_131,1,0)&lt;&gt;"","","x")</f>
        <v/>
      </c>
      <c r="AD222" s="560"/>
      <c r="AE222" s="560"/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927</v>
      </c>
      <c r="E223" s="37">
        <v>41837</v>
      </c>
      <c r="F223" s="40" t="s">
        <v>500</v>
      </c>
      <c r="G223" s="467" t="s">
        <v>594</v>
      </c>
      <c r="H223" s="7" t="s">
        <v>917</v>
      </c>
      <c r="I223" s="256">
        <v>500</v>
      </c>
      <c r="J223" s="256">
        <v>8600</v>
      </c>
      <c r="K223" s="568">
        <f>ROUND(I223*J223,0)</f>
        <v>4300000</v>
      </c>
      <c r="L223" s="569" t="s">
        <v>253</v>
      </c>
      <c r="M223" s="569" t="s">
        <v>177</v>
      </c>
      <c r="N223" s="52" t="str">
        <f>IF(AND('331-CT'!$E$7=TH!H223,OR(L223="331",M223="331")),"331",IF(AND(OR(L223="131",M223="131"),H223='131-CT'!$E$7),"131",""))</f>
        <v/>
      </c>
      <c r="O223" s="90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>x</v>
      </c>
      <c r="AB223" s="821"/>
      <c r="AC223" s="211" t="str">
        <f>IF(F223=VLOOKUP(F223,NXT!$C$12:$C$305,1,0),"","x")</f>
        <v/>
      </c>
      <c r="AE223" s="560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927</v>
      </c>
      <c r="E224" s="37">
        <v>41837</v>
      </c>
      <c r="F224" s="788" t="s">
        <v>518</v>
      </c>
      <c r="G224" s="467" t="s">
        <v>594</v>
      </c>
      <c r="H224" s="7" t="s">
        <v>917</v>
      </c>
      <c r="I224" s="256">
        <v>410</v>
      </c>
      <c r="J224" s="256">
        <v>7000</v>
      </c>
      <c r="K224" s="568">
        <f>ROUND(I224*J224,0)</f>
        <v>2870000</v>
      </c>
      <c r="L224" s="569" t="s">
        <v>253</v>
      </c>
      <c r="M224" s="569" t="s">
        <v>177</v>
      </c>
      <c r="N224" s="52" t="str">
        <f>IF(AND('331-CT'!$E$7=TH!H224,OR(L224="331",M224="331")),"331",IF(AND(OR(L224="131",M224="131"),H224='131-CT'!$E$7),"131",""))</f>
        <v/>
      </c>
      <c r="O224" s="90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>x</v>
      </c>
      <c r="AB224" s="821"/>
      <c r="AC224" s="211" t="str">
        <f>IF(F224=VLOOKUP(F224,NXT!$C$12:$C$305,1,0),"","x")</f>
        <v/>
      </c>
      <c r="AD224" s="560"/>
      <c r="AE224" s="560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927</v>
      </c>
      <c r="E225" s="184">
        <v>41837</v>
      </c>
      <c r="F225" s="189" t="s">
        <v>489</v>
      </c>
      <c r="G225" s="570" t="s">
        <v>594</v>
      </c>
      <c r="H225" s="7" t="s">
        <v>917</v>
      </c>
      <c r="I225" s="256">
        <v>280</v>
      </c>
      <c r="J225" s="256">
        <v>12900</v>
      </c>
      <c r="K225" s="568">
        <f>ROUND(I225*J225,0)</f>
        <v>3612000</v>
      </c>
      <c r="L225" s="569" t="s">
        <v>253</v>
      </c>
      <c r="M225" s="569" t="s">
        <v>177</v>
      </c>
      <c r="N225" s="52" t="str">
        <f>IF(AND('331-CT'!$E$7=TH!H225,OR(L225="331",M225="331")),"331",IF(AND(OR(L225="131",M225="131"),H225='131-CT'!$E$7),"131",""))</f>
        <v/>
      </c>
      <c r="O225" s="90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>x</v>
      </c>
      <c r="AB225" s="821"/>
      <c r="AC225" s="211" t="str">
        <f>IF(F225=VLOOKUP(F225,NXT!$C$12:$C$305,1,0),"","x")</f>
        <v/>
      </c>
      <c r="AD225" s="560"/>
      <c r="AE225" s="560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927</v>
      </c>
      <c r="E226" s="184">
        <v>41837</v>
      </c>
      <c r="F226" s="189" t="s">
        <v>426</v>
      </c>
      <c r="G226" s="570" t="s">
        <v>594</v>
      </c>
      <c r="H226" s="7" t="s">
        <v>917</v>
      </c>
      <c r="I226" s="256"/>
      <c r="J226" s="256"/>
      <c r="K226" s="568">
        <v>1078200</v>
      </c>
      <c r="L226" s="569" t="s">
        <v>253</v>
      </c>
      <c r="M226" s="569" t="s">
        <v>367</v>
      </c>
      <c r="N226" s="52" t="str">
        <f>IF(AND('331-CT'!$E$7=TH!H226,OR(L226="331",M226="331")),"331",IF(AND(OR(L226="131",M226="131"),H226='131-CT'!$E$7),"131",""))</f>
        <v/>
      </c>
      <c r="O226" s="90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>x</v>
      </c>
      <c r="AB226" s="821"/>
      <c r="AC226" s="560" t="str">
        <f>IF(VLOOKUP(H226,DS_131,1,0)&lt;&gt;"","","x")</f>
        <v/>
      </c>
      <c r="AD226" s="560"/>
      <c r="AE226" s="560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928</v>
      </c>
      <c r="E227" s="184">
        <v>41842</v>
      </c>
      <c r="F227" s="189" t="s">
        <v>427</v>
      </c>
      <c r="G227" s="570" t="s">
        <v>595</v>
      </c>
      <c r="H227" s="7" t="s">
        <v>916</v>
      </c>
      <c r="I227" s="256">
        <v>513</v>
      </c>
      <c r="J227" s="256">
        <v>17300</v>
      </c>
      <c r="K227" s="568">
        <f>ROUND(I227*J227,0)</f>
        <v>8874900</v>
      </c>
      <c r="L227" s="569" t="s">
        <v>253</v>
      </c>
      <c r="M227" s="569" t="s">
        <v>177</v>
      </c>
      <c r="N227" s="52" t="str">
        <f>IF(AND('331-CT'!$E$7=TH!H227,OR(L227="331",M227="331")),"331",IF(AND(OR(L227="131",M227="131"),H227='131-CT'!$E$7),"131",""))</f>
        <v/>
      </c>
      <c r="O227" s="90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>x</v>
      </c>
      <c r="AB227" s="821"/>
      <c r="AC227" s="211" t="str">
        <f>IF(F227=VLOOKUP(F227,NXT!$C$12:$C$305,1,0),"","x")</f>
        <v/>
      </c>
      <c r="AD227" s="560"/>
      <c r="AE227" s="560"/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928</v>
      </c>
      <c r="E228" s="191">
        <v>41842</v>
      </c>
      <c r="F228" s="40" t="s">
        <v>451</v>
      </c>
      <c r="G228" s="468" t="s">
        <v>595</v>
      </c>
      <c r="H228" s="7" t="s">
        <v>916</v>
      </c>
      <c r="I228" s="257">
        <v>1026</v>
      </c>
      <c r="J228" s="257">
        <v>1500</v>
      </c>
      <c r="K228" s="568">
        <f>ROUND(I228*J228,0)</f>
        <v>1539000</v>
      </c>
      <c r="L228" s="569" t="s">
        <v>253</v>
      </c>
      <c r="M228" s="569" t="s">
        <v>177</v>
      </c>
      <c r="N228" s="52" t="str">
        <f>IF(AND('331-CT'!$E$7=TH!H228,OR(L228="331",M228="331")),"331",IF(AND(OR(L228="131",M228="131"),H228='131-CT'!$E$7),"131",""))</f>
        <v/>
      </c>
      <c r="O228" s="90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>x</v>
      </c>
      <c r="AB228" s="821"/>
      <c r="AC228" s="211" t="str">
        <f>IF(F228=VLOOKUP(F228,NXT!$C$12:$C$305,1,0),"","x")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928</v>
      </c>
      <c r="E229" s="191">
        <v>41842</v>
      </c>
      <c r="F229" s="192" t="s">
        <v>426</v>
      </c>
      <c r="G229" s="468" t="s">
        <v>595</v>
      </c>
      <c r="H229" s="7" t="s">
        <v>916</v>
      </c>
      <c r="I229" s="256"/>
      <c r="J229" s="256"/>
      <c r="K229" s="568">
        <v>1041390</v>
      </c>
      <c r="L229" s="569" t="s">
        <v>253</v>
      </c>
      <c r="M229" s="569" t="s">
        <v>367</v>
      </c>
      <c r="N229" s="52" t="str">
        <f>IF(AND('331-CT'!$E$7=TH!H229,OR(L229="331",M229="331")),"331",IF(AND(OR(L229="131",M229="131"),H229='131-CT'!$E$7),"131",""))</f>
        <v/>
      </c>
      <c r="O229" s="90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>x</v>
      </c>
      <c r="AB229" s="821"/>
      <c r="AC229" s="560" t="str">
        <f>IF(VLOOKUP(H229,DS_131,1,0)&lt;&gt;"","","x")</f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929</v>
      </c>
      <c r="E230" s="191">
        <v>41842</v>
      </c>
      <c r="F230" s="189" t="s">
        <v>486</v>
      </c>
      <c r="G230" s="468" t="s">
        <v>596</v>
      </c>
      <c r="H230" s="7" t="s">
        <v>483</v>
      </c>
      <c r="I230" s="256">
        <v>1600</v>
      </c>
      <c r="J230" s="256">
        <v>11000</v>
      </c>
      <c r="K230" s="568">
        <f>ROUND(I230*J230,0)</f>
        <v>17600000</v>
      </c>
      <c r="L230" s="569" t="s">
        <v>253</v>
      </c>
      <c r="M230" s="569" t="s">
        <v>177</v>
      </c>
      <c r="N230" s="52" t="str">
        <f>IF(AND('331-CT'!$E$7=TH!H230,OR(L230="331",M230="331")),"331",IF(AND(OR(L230="131",M230="131"),H230='131-CT'!$E$7),"131",""))</f>
        <v/>
      </c>
      <c r="O230" s="90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>x</v>
      </c>
      <c r="AB230" s="821"/>
      <c r="AC230" s="211" t="str">
        <f>IF(F230=VLOOKUP(F230,NXT!$C$12:$C$305,1,0),"","x")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929</v>
      </c>
      <c r="E231" s="191">
        <v>41842</v>
      </c>
      <c r="F231" s="766" t="s">
        <v>426</v>
      </c>
      <c r="G231" s="468" t="s">
        <v>596</v>
      </c>
      <c r="H231" s="7" t="s">
        <v>483</v>
      </c>
      <c r="I231" s="256"/>
      <c r="J231" s="256"/>
      <c r="K231" s="568">
        <v>1760000</v>
      </c>
      <c r="L231" s="569" t="s">
        <v>253</v>
      </c>
      <c r="M231" s="569" t="s">
        <v>367</v>
      </c>
      <c r="N231" s="52" t="str">
        <f>IF(AND('331-CT'!$E$7=TH!H231,OR(L231="331",M231="331")),"331",IF(AND(OR(L231="131",M231="131"),H231='131-CT'!$E$7),"131",""))</f>
        <v/>
      </c>
      <c r="O231" s="90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>x</v>
      </c>
      <c r="AB231" s="821"/>
      <c r="AC231" s="560" t="str">
        <f>IF(VLOOKUP(H231,DS_131,1,0)&lt;&gt;"","","x")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930</v>
      </c>
      <c r="E232" s="191">
        <v>41843</v>
      </c>
      <c r="F232" s="192" t="s">
        <v>506</v>
      </c>
      <c r="G232" s="468" t="s">
        <v>597</v>
      </c>
      <c r="H232" s="7" t="s">
        <v>508</v>
      </c>
      <c r="I232" s="256">
        <v>563</v>
      </c>
      <c r="J232" s="256">
        <v>5900</v>
      </c>
      <c r="K232" s="568">
        <f>ROUND(I232*J232,0)</f>
        <v>3321700</v>
      </c>
      <c r="L232" s="569" t="s">
        <v>253</v>
      </c>
      <c r="M232" s="569" t="s">
        <v>177</v>
      </c>
      <c r="N232" s="52" t="str">
        <f>IF(AND('331-CT'!$E$7=TH!H232,OR(L232="331",M232="331")),"331",IF(AND(OR(L232="131",M232="131"),H232='131-CT'!$E$7),"131",""))</f>
        <v/>
      </c>
      <c r="O232" s="90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>x</v>
      </c>
      <c r="AB232" s="821"/>
      <c r="AC232" s="211" t="str">
        <f>IF(F232=VLOOKUP(F232,NXT!$C$12:$C$305,1,0),"","x")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930</v>
      </c>
      <c r="E233" s="191">
        <v>41843</v>
      </c>
      <c r="F233" s="192" t="s">
        <v>509</v>
      </c>
      <c r="G233" s="468" t="s">
        <v>597</v>
      </c>
      <c r="H233" s="7" t="s">
        <v>508</v>
      </c>
      <c r="I233" s="256">
        <v>212</v>
      </c>
      <c r="J233" s="256">
        <v>6250</v>
      </c>
      <c r="K233" s="568">
        <f>ROUND(I233*J233,0)</f>
        <v>1325000</v>
      </c>
      <c r="L233" s="569" t="s">
        <v>253</v>
      </c>
      <c r="M233" s="569" t="s">
        <v>177</v>
      </c>
      <c r="N233" s="52" t="str">
        <f>IF(AND('331-CT'!$E$7=TH!H233,OR(L233="331",M233="331")),"331",IF(AND(OR(L233="131",M233="131"),H233='131-CT'!$E$7),"131",""))</f>
        <v/>
      </c>
      <c r="O233" s="90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>x</v>
      </c>
      <c r="AB233" s="821"/>
      <c r="AC233" s="211" t="str">
        <f>IF(F233=VLOOKUP(F233,NXT!$C$12:$C$305,1,0),"","x")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930</v>
      </c>
      <c r="E234" s="191">
        <v>41843</v>
      </c>
      <c r="F234" s="192" t="s">
        <v>411</v>
      </c>
      <c r="G234" s="468" t="s">
        <v>597</v>
      </c>
      <c r="H234" s="7" t="s">
        <v>508</v>
      </c>
      <c r="I234" s="256">
        <v>197</v>
      </c>
      <c r="J234" s="256">
        <v>6800</v>
      </c>
      <c r="K234" s="568">
        <f>ROUND(I234*J234,0)</f>
        <v>1339600</v>
      </c>
      <c r="L234" s="569" t="s">
        <v>253</v>
      </c>
      <c r="M234" s="569" t="s">
        <v>177</v>
      </c>
      <c r="N234" s="52" t="str">
        <f>IF(AND('331-CT'!$E$7=TH!H234,OR(L234="331",M234="331")),"331",IF(AND(OR(L234="131",M234="131"),H234='131-CT'!$E$7),"131",""))</f>
        <v/>
      </c>
      <c r="O234" s="90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>x</v>
      </c>
      <c r="AB234" s="821"/>
      <c r="AC234" s="211" t="str">
        <f>IF(F234=VLOOKUP(F234,NXT!$C$12:$C$305,1,0),"","x")</f>
        <v/>
      </c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930</v>
      </c>
      <c r="E235" s="191">
        <v>41843</v>
      </c>
      <c r="F235" s="192" t="s">
        <v>510</v>
      </c>
      <c r="G235" s="468" t="s">
        <v>597</v>
      </c>
      <c r="H235" s="7" t="s">
        <v>508</v>
      </c>
      <c r="I235" s="256">
        <v>216</v>
      </c>
      <c r="J235" s="256">
        <v>6550</v>
      </c>
      <c r="K235" s="568">
        <f>ROUND(I235*J235,0)</f>
        <v>1414800</v>
      </c>
      <c r="L235" s="569" t="s">
        <v>253</v>
      </c>
      <c r="M235" s="569" t="s">
        <v>177</v>
      </c>
      <c r="N235" s="52" t="str">
        <f>IF(AND('331-CT'!$E$7=TH!H235,OR(L235="331",M235="331")),"331",IF(AND(OR(L235="131",M235="131"),H235='131-CT'!$E$7),"131",""))</f>
        <v/>
      </c>
      <c r="O235" s="90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>x</v>
      </c>
      <c r="AB235" s="821"/>
      <c r="AC235" s="211" t="str">
        <f>IF(F235=VLOOKUP(F235,NXT!$C$12:$C$305,1,0),"","x")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930</v>
      </c>
      <c r="E236" s="191">
        <v>41843</v>
      </c>
      <c r="F236" s="192" t="s">
        <v>426</v>
      </c>
      <c r="G236" s="468" t="s">
        <v>597</v>
      </c>
      <c r="H236" s="7" t="s">
        <v>508</v>
      </c>
      <c r="I236" s="256"/>
      <c r="J236" s="256"/>
      <c r="K236" s="568">
        <v>740110</v>
      </c>
      <c r="L236" s="569" t="s">
        <v>253</v>
      </c>
      <c r="M236" s="569" t="s">
        <v>367</v>
      </c>
      <c r="N236" s="52" t="str">
        <f>IF(AND('331-CT'!$E$7=TH!H236,OR(L236="331",M236="331")),"331",IF(AND(OR(L236="131",M236="131"),H236='131-CT'!$E$7),"131",""))</f>
        <v/>
      </c>
      <c r="O236" s="90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>x</v>
      </c>
      <c r="AB236" s="821"/>
      <c r="AC236" s="560" t="str">
        <f>IF(VLOOKUP(H236,DS_131,1,0)&lt;&gt;"","","x")</f>
        <v/>
      </c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931</v>
      </c>
      <c r="E237" s="191">
        <v>41843</v>
      </c>
      <c r="F237" s="192" t="s">
        <v>598</v>
      </c>
      <c r="G237" s="468" t="s">
        <v>599</v>
      </c>
      <c r="H237" s="7" t="s">
        <v>556</v>
      </c>
      <c r="I237" s="256">
        <v>413</v>
      </c>
      <c r="J237" s="256">
        <v>17800</v>
      </c>
      <c r="K237" s="568">
        <f>ROUND(I237*J237,0)</f>
        <v>7351400</v>
      </c>
      <c r="L237" s="569" t="s">
        <v>253</v>
      </c>
      <c r="M237" s="569" t="s">
        <v>177</v>
      </c>
      <c r="N237" s="52" t="str">
        <f>IF(AND('331-CT'!$E$7=TH!H237,OR(L237="331",M237="331")),"331",IF(AND(OR(L237="131",M237="131"),H237='131-CT'!$E$7),"131",""))</f>
        <v/>
      </c>
      <c r="O237" s="90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>x</v>
      </c>
      <c r="AB237" s="821"/>
      <c r="AC237" s="211" t="str">
        <f>IF(F237=VLOOKUP(F237,NXT!$C$12:$C$305,1,0),"","x")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931</v>
      </c>
      <c r="E238" s="191">
        <v>41843</v>
      </c>
      <c r="F238" s="192" t="s">
        <v>426</v>
      </c>
      <c r="G238" s="468" t="s">
        <v>599</v>
      </c>
      <c r="H238" s="7" t="s">
        <v>556</v>
      </c>
      <c r="I238" s="256"/>
      <c r="J238" s="256"/>
      <c r="K238" s="568">
        <v>735140</v>
      </c>
      <c r="L238" s="569" t="s">
        <v>253</v>
      </c>
      <c r="M238" s="569" t="s">
        <v>367</v>
      </c>
      <c r="N238" s="52" t="str">
        <f>IF(AND('331-CT'!$E$7=TH!H238,OR(L238="331",M238="331")),"331",IF(AND(OR(L238="131",M238="131"),H238='131-CT'!$E$7),"131",""))</f>
        <v/>
      </c>
      <c r="O238" s="90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>x</v>
      </c>
      <c r="AB238" s="821"/>
      <c r="AC238" s="560" t="str">
        <f>IF(VLOOKUP(H238,DS_131,1,0)&lt;&gt;"","","x")</f>
        <v/>
      </c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932</v>
      </c>
      <c r="E239" s="191">
        <v>41843</v>
      </c>
      <c r="F239" s="192" t="s">
        <v>600</v>
      </c>
      <c r="G239" s="468" t="s">
        <v>601</v>
      </c>
      <c r="H239" s="7" t="s">
        <v>478</v>
      </c>
      <c r="I239" s="256">
        <v>190</v>
      </c>
      <c r="J239" s="256">
        <v>19000</v>
      </c>
      <c r="K239" s="568">
        <f>ROUND(I239*J239,0)</f>
        <v>3610000</v>
      </c>
      <c r="L239" s="569" t="s">
        <v>253</v>
      </c>
      <c r="M239" s="569" t="s">
        <v>177</v>
      </c>
      <c r="N239" s="52" t="str">
        <f>IF(AND('331-CT'!$E$7=TH!H239,OR(L239="331",M239="331")),"331",IF(AND(OR(L239="131",M239="131"),H239='131-CT'!$E$7),"131",""))</f>
        <v/>
      </c>
      <c r="O239" s="90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>x</v>
      </c>
      <c r="AB239" s="821"/>
      <c r="AC239" s="211" t="str">
        <f>IF(F239=VLOOKUP(F239,NXT!$C$12:$C$305,1,0),"","x")</f>
        <v/>
      </c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932</v>
      </c>
      <c r="E240" s="191">
        <v>41843</v>
      </c>
      <c r="F240" s="192" t="s">
        <v>426</v>
      </c>
      <c r="G240" s="468" t="s">
        <v>601</v>
      </c>
      <c r="H240" s="7" t="s">
        <v>478</v>
      </c>
      <c r="I240" s="256"/>
      <c r="J240" s="256"/>
      <c r="K240" s="568">
        <v>361000</v>
      </c>
      <c r="L240" s="569" t="s">
        <v>253</v>
      </c>
      <c r="M240" s="569" t="s">
        <v>367</v>
      </c>
      <c r="N240" s="52" t="str">
        <f>IF(AND('331-CT'!$E$7=TH!H240,OR(L240="331",M240="331")),"331",IF(AND(OR(L240="131",M240="131"),H240='131-CT'!$E$7),"131",""))</f>
        <v/>
      </c>
      <c r="O240" s="90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>x</v>
      </c>
      <c r="AB240" s="821"/>
      <c r="AC240" s="560" t="str">
        <f>IF(VLOOKUP(H240,DS_131,1,0)&lt;&gt;"","","x")</f>
        <v/>
      </c>
    </row>
    <row r="241" spans="1:29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933</v>
      </c>
      <c r="E241" s="191">
        <v>41843</v>
      </c>
      <c r="F241" s="192" t="s">
        <v>602</v>
      </c>
      <c r="G241" s="468" t="s">
        <v>603</v>
      </c>
      <c r="H241" s="7" t="s">
        <v>917</v>
      </c>
      <c r="I241" s="256">
        <v>202</v>
      </c>
      <c r="J241" s="256">
        <v>6400</v>
      </c>
      <c r="K241" s="568">
        <f>ROUND(I241*J241,0)</f>
        <v>1292800</v>
      </c>
      <c r="L241" s="569" t="s">
        <v>253</v>
      </c>
      <c r="M241" s="569" t="s">
        <v>177</v>
      </c>
      <c r="N241" s="52" t="str">
        <f>IF(AND('331-CT'!$E$7=TH!H241,OR(L241="331",M241="331")),"331",IF(AND(OR(L241="131",M241="131"),H241='131-CT'!$E$7),"131",""))</f>
        <v/>
      </c>
      <c r="O241" s="90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>x</v>
      </c>
      <c r="AB241" s="821"/>
      <c r="AC241" s="211" t="str">
        <f>IF(F241=VLOOKUP(F241,NXT!$C$12:$C$305,1,0),"","x")</f>
        <v/>
      </c>
    </row>
    <row r="242" spans="1:29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933</v>
      </c>
      <c r="E242" s="191">
        <v>41843</v>
      </c>
      <c r="F242" s="192" t="s">
        <v>604</v>
      </c>
      <c r="G242" s="468" t="s">
        <v>603</v>
      </c>
      <c r="H242" s="7" t="s">
        <v>917</v>
      </c>
      <c r="I242" s="256">
        <v>103</v>
      </c>
      <c r="J242" s="256">
        <v>13500</v>
      </c>
      <c r="K242" s="568">
        <f>ROUND(I242*J242,0)</f>
        <v>1390500</v>
      </c>
      <c r="L242" s="569" t="s">
        <v>253</v>
      </c>
      <c r="M242" s="569" t="s">
        <v>177</v>
      </c>
      <c r="N242" s="52" t="str">
        <f>IF(AND('331-CT'!$E$7=TH!H242,OR(L242="331",M242="331")),"331",IF(AND(OR(L242="131",M242="131"),H242='131-CT'!$E$7),"131",""))</f>
        <v/>
      </c>
      <c r="O242" s="90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>x</v>
      </c>
      <c r="AB242" s="821"/>
      <c r="AC242" s="211" t="str">
        <f>IF(F242=VLOOKUP(F242,NXT!$C$12:$C$305,1,0),"","x")</f>
        <v/>
      </c>
    </row>
    <row r="243" spans="1:29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933</v>
      </c>
      <c r="E243" s="191">
        <v>41843</v>
      </c>
      <c r="F243" s="192" t="s">
        <v>426</v>
      </c>
      <c r="G243" s="468" t="s">
        <v>603</v>
      </c>
      <c r="H243" s="7" t="s">
        <v>917</v>
      </c>
      <c r="I243" s="256"/>
      <c r="J243" s="256"/>
      <c r="K243" s="568">
        <v>268330</v>
      </c>
      <c r="L243" s="569" t="s">
        <v>253</v>
      </c>
      <c r="M243" s="569" t="s">
        <v>367</v>
      </c>
      <c r="N243" s="52" t="str">
        <f>IF(AND('331-CT'!$E$7=TH!H243,OR(L243="331",M243="331")),"331",IF(AND(OR(L243="131",M243="131"),H243='131-CT'!$E$7),"131",""))</f>
        <v/>
      </c>
      <c r="O243" s="90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>x</v>
      </c>
      <c r="AB243" s="821"/>
      <c r="AC243" s="560" t="str">
        <f>IF(VLOOKUP(H243,DS_131,1,0)&lt;&gt;"","","x")</f>
        <v/>
      </c>
    </row>
    <row r="244" spans="1:29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934</v>
      </c>
      <c r="E244" s="191">
        <v>41845</v>
      </c>
      <c r="F244" s="192" t="s">
        <v>605</v>
      </c>
      <c r="G244" s="468" t="s">
        <v>606</v>
      </c>
      <c r="H244" s="7" t="s">
        <v>483</v>
      </c>
      <c r="I244" s="256">
        <v>100</v>
      </c>
      <c r="J244" s="256">
        <v>10500</v>
      </c>
      <c r="K244" s="568">
        <f>ROUND(I244*J244,0)</f>
        <v>1050000</v>
      </c>
      <c r="L244" s="569" t="s">
        <v>253</v>
      </c>
      <c r="M244" s="569" t="s">
        <v>177</v>
      </c>
      <c r="N244" s="52" t="str">
        <f>IF(AND('331-CT'!$E$7=TH!H244,OR(L244="331",M244="331")),"331",IF(AND(OR(L244="131",M244="131"),H244='131-CT'!$E$7),"131",""))</f>
        <v/>
      </c>
      <c r="O244" s="90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>x</v>
      </c>
      <c r="AB244" s="821"/>
      <c r="AC244" s="211" t="str">
        <f>IF(F244=VLOOKUP(F244,NXT!$C$12:$C$305,1,0),"","x")</f>
        <v/>
      </c>
    </row>
    <row r="245" spans="1:29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934</v>
      </c>
      <c r="E245" s="191">
        <v>41845</v>
      </c>
      <c r="F245" s="192" t="s">
        <v>426</v>
      </c>
      <c r="G245" s="468" t="s">
        <v>606</v>
      </c>
      <c r="H245" s="7" t="s">
        <v>483</v>
      </c>
      <c r="I245" s="256"/>
      <c r="J245" s="256"/>
      <c r="K245" s="568">
        <v>105000</v>
      </c>
      <c r="L245" s="569" t="s">
        <v>253</v>
      </c>
      <c r="M245" s="569" t="s">
        <v>367</v>
      </c>
      <c r="N245" s="52" t="str">
        <f>IF(AND('331-CT'!$E$7=TH!H245,OR(L245="331",M245="331")),"331",IF(AND(OR(L245="131",M245="131"),H245='131-CT'!$E$7),"131",""))</f>
        <v/>
      </c>
      <c r="O245" s="90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>x</v>
      </c>
      <c r="AB245" s="821"/>
      <c r="AC245" s="560" t="str">
        <f>IF(VLOOKUP(H245,DS_131,1,0)&lt;&gt;"","","x")</f>
        <v/>
      </c>
    </row>
    <row r="246" spans="1:29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935</v>
      </c>
      <c r="E246" s="191">
        <v>41845</v>
      </c>
      <c r="F246" s="192" t="s">
        <v>607</v>
      </c>
      <c r="G246" s="468" t="s">
        <v>608</v>
      </c>
      <c r="H246" s="7" t="s">
        <v>609</v>
      </c>
      <c r="I246" s="256">
        <v>371</v>
      </c>
      <c r="J246" s="256">
        <v>13000</v>
      </c>
      <c r="K246" s="568">
        <f>ROUND(I246*J246,0)</f>
        <v>4823000</v>
      </c>
      <c r="L246" s="569" t="s">
        <v>253</v>
      </c>
      <c r="M246" s="569" t="s">
        <v>177</v>
      </c>
      <c r="N246" s="52" t="str">
        <f>IF(AND('331-CT'!$E$7=TH!H246,OR(L246="331",M246="331")),"331",IF(AND(OR(L246="131",M246="131"),H246='131-CT'!$E$7),"131",""))</f>
        <v/>
      </c>
      <c r="O246" s="90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>x</v>
      </c>
      <c r="AB246" s="821"/>
      <c r="AC246" s="211" t="str">
        <f>IF(F246=VLOOKUP(F246,NXT!$C$12:$C$305,1,0),"","x")</f>
        <v/>
      </c>
    </row>
    <row r="247" spans="1:29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935</v>
      </c>
      <c r="E247" s="191">
        <v>41845</v>
      </c>
      <c r="F247" s="192" t="s">
        <v>610</v>
      </c>
      <c r="G247" s="468" t="s">
        <v>608</v>
      </c>
      <c r="H247" s="7" t="s">
        <v>609</v>
      </c>
      <c r="I247" s="256">
        <v>156</v>
      </c>
      <c r="J247" s="256">
        <v>11900</v>
      </c>
      <c r="K247" s="568">
        <f>ROUND(I247*J247,0)</f>
        <v>1856400</v>
      </c>
      <c r="L247" s="569" t="s">
        <v>253</v>
      </c>
      <c r="M247" s="569" t="s">
        <v>177</v>
      </c>
      <c r="N247" s="52" t="str">
        <f>IF(AND('331-CT'!$E$7=TH!H247,OR(L247="331",M247="331")),"331",IF(AND(OR(L247="131",M247="131"),H247='131-CT'!$E$7),"131",""))</f>
        <v/>
      </c>
      <c r="O247" s="90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>x</v>
      </c>
      <c r="AB247" s="821"/>
      <c r="AC247" s="211" t="str">
        <f>IF(F247=VLOOKUP(F247,NXT!$C$12:$C$305,1,0),"","x")</f>
        <v/>
      </c>
    </row>
    <row r="248" spans="1:29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935</v>
      </c>
      <c r="E248" s="191">
        <v>41845</v>
      </c>
      <c r="F248" s="192" t="s">
        <v>630</v>
      </c>
      <c r="G248" s="468" t="s">
        <v>608</v>
      </c>
      <c r="H248" s="7" t="s">
        <v>609</v>
      </c>
      <c r="I248" s="256">
        <v>1400</v>
      </c>
      <c r="J248" s="256">
        <v>400</v>
      </c>
      <c r="K248" s="568">
        <f>ROUND(I248*J248,0)</f>
        <v>560000</v>
      </c>
      <c r="L248" s="569" t="s">
        <v>253</v>
      </c>
      <c r="M248" s="569" t="s">
        <v>177</v>
      </c>
      <c r="N248" s="52" t="str">
        <f>IF(AND('331-CT'!$E$7=TH!H248,OR(L248="331",M248="331")),"331",IF(AND(OR(L248="131",M248="131"),H248='131-CT'!$E$7),"131",""))</f>
        <v/>
      </c>
      <c r="O248" s="90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>x</v>
      </c>
      <c r="AB248" s="821"/>
      <c r="AC248" s="211" t="str">
        <f>IF(F248=VLOOKUP(F248,NXT!$C$12:$C$305,1,0),"","x")</f>
        <v/>
      </c>
    </row>
    <row r="249" spans="1:29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935</v>
      </c>
      <c r="E249" s="191">
        <v>41845</v>
      </c>
      <c r="F249" s="192" t="s">
        <v>426</v>
      </c>
      <c r="G249" s="468" t="s">
        <v>608</v>
      </c>
      <c r="H249" s="7" t="s">
        <v>609</v>
      </c>
      <c r="I249" s="256"/>
      <c r="J249" s="256"/>
      <c r="K249" s="568">
        <v>723940</v>
      </c>
      <c r="L249" s="569" t="s">
        <v>253</v>
      </c>
      <c r="M249" s="569" t="s">
        <v>367</v>
      </c>
      <c r="N249" s="52" t="str">
        <f>IF(AND('331-CT'!$E$7=TH!H249,OR(L249="331",M249="331")),"331",IF(AND(OR(L249="131",M249="131"),H249='131-CT'!$E$7),"131",""))</f>
        <v/>
      </c>
      <c r="O249" s="90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>x</v>
      </c>
      <c r="AB249" s="821"/>
      <c r="AC249" s="560" t="str">
        <f>IF(VLOOKUP(H249,DS_131,1,0)&lt;&gt;"","","x")</f>
        <v/>
      </c>
    </row>
    <row r="250" spans="1:29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936</v>
      </c>
      <c r="E250" s="191">
        <v>41845</v>
      </c>
      <c r="F250" s="192" t="s">
        <v>611</v>
      </c>
      <c r="G250" s="468" t="s">
        <v>612</v>
      </c>
      <c r="H250" s="7" t="s">
        <v>460</v>
      </c>
      <c r="I250" s="256">
        <v>97</v>
      </c>
      <c r="J250" s="256">
        <v>7900</v>
      </c>
      <c r="K250" s="568">
        <f>ROUND(I250*J250,0)</f>
        <v>766300</v>
      </c>
      <c r="L250" s="569" t="s">
        <v>253</v>
      </c>
      <c r="M250" s="569" t="s">
        <v>177</v>
      </c>
      <c r="N250" s="52" t="str">
        <f>IF(AND('331-CT'!$E$7=TH!H250,OR(L250="331",M250="331")),"331",IF(AND(OR(L250="131",M250="131"),H250='131-CT'!$E$7),"131",""))</f>
        <v/>
      </c>
      <c r="O250" s="90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>x</v>
      </c>
      <c r="AB250" s="821"/>
      <c r="AC250" s="211" t="str">
        <f>IF(F250=VLOOKUP(F250,NXT!$C$12:$C$305,1,0),"","x")</f>
        <v/>
      </c>
    </row>
    <row r="251" spans="1:29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936</v>
      </c>
      <c r="E251" s="191">
        <v>41845</v>
      </c>
      <c r="F251" s="192" t="s">
        <v>426</v>
      </c>
      <c r="G251" s="468" t="s">
        <v>612</v>
      </c>
      <c r="H251" s="7" t="s">
        <v>460</v>
      </c>
      <c r="I251" s="256"/>
      <c r="J251" s="256"/>
      <c r="K251" s="568">
        <v>76630</v>
      </c>
      <c r="L251" s="569" t="s">
        <v>253</v>
      </c>
      <c r="M251" s="569" t="s">
        <v>367</v>
      </c>
      <c r="N251" s="52" t="str">
        <f>IF(AND('331-CT'!$E$7=TH!H251,OR(L251="331",M251="331")),"331",IF(AND(OR(L251="131",M251="131"),H251='131-CT'!$E$7),"131",""))</f>
        <v/>
      </c>
      <c r="O251" s="90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>x</v>
      </c>
      <c r="AB251" s="821"/>
      <c r="AC251" s="560" t="str">
        <f>IF(VLOOKUP(H251,DS_131,1,0)&lt;&gt;"","","x")</f>
        <v/>
      </c>
    </row>
    <row r="252" spans="1:29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937</v>
      </c>
      <c r="E252" s="191">
        <v>41849</v>
      </c>
      <c r="F252" s="192" t="s">
        <v>613</v>
      </c>
      <c r="G252" s="468" t="s">
        <v>614</v>
      </c>
      <c r="H252" s="7" t="s">
        <v>589</v>
      </c>
      <c r="I252" s="256">
        <v>1920</v>
      </c>
      <c r="J252" s="256">
        <v>9000</v>
      </c>
      <c r="K252" s="568">
        <f>ROUND(I252*J252,0)</f>
        <v>17280000</v>
      </c>
      <c r="L252" s="569" t="s">
        <v>253</v>
      </c>
      <c r="M252" s="569" t="s">
        <v>177</v>
      </c>
      <c r="N252" s="52" t="str">
        <f>IF(AND('331-CT'!$E$7=TH!H252,OR(L252="331",M252="331")),"331",IF(AND(OR(L252="131",M252="131"),H252='131-CT'!$E$7),"131",""))</f>
        <v/>
      </c>
      <c r="O252" s="90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>x</v>
      </c>
      <c r="AB252" s="821"/>
      <c r="AC252" s="211" t="str">
        <f>IF(F252=VLOOKUP(F252,NXT!$C$12:$C$305,1,0),"","x")</f>
        <v/>
      </c>
    </row>
    <row r="253" spans="1:29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937</v>
      </c>
      <c r="E253" s="191">
        <v>41849</v>
      </c>
      <c r="F253" s="192" t="s">
        <v>615</v>
      </c>
      <c r="G253" s="468" t="s">
        <v>614</v>
      </c>
      <c r="H253" s="7" t="s">
        <v>589</v>
      </c>
      <c r="I253" s="256">
        <v>560</v>
      </c>
      <c r="J253" s="256">
        <v>12000</v>
      </c>
      <c r="K253" s="568">
        <f>ROUND(I253*J253,0)</f>
        <v>6720000</v>
      </c>
      <c r="L253" s="569" t="s">
        <v>253</v>
      </c>
      <c r="M253" s="569" t="s">
        <v>177</v>
      </c>
      <c r="N253" s="52" t="str">
        <f>IF(AND('331-CT'!$E$7=TH!H253,OR(L253="331",M253="331")),"331",IF(AND(OR(L253="131",M253="131"),H253='131-CT'!$E$7),"131",""))</f>
        <v/>
      </c>
      <c r="O253" s="90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>x</v>
      </c>
      <c r="AB253" s="821"/>
      <c r="AC253" s="211" t="str">
        <f>IF(F253=VLOOKUP(F253,NXT!$C$12:$C$305,1,0),"","x")</f>
        <v/>
      </c>
    </row>
    <row r="254" spans="1:29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937</v>
      </c>
      <c r="E254" s="191">
        <v>41849</v>
      </c>
      <c r="F254" s="192" t="s">
        <v>426</v>
      </c>
      <c r="G254" s="468" t="s">
        <v>614</v>
      </c>
      <c r="H254" s="7" t="s">
        <v>589</v>
      </c>
      <c r="I254" s="256"/>
      <c r="J254" s="256"/>
      <c r="K254" s="568">
        <v>2400000</v>
      </c>
      <c r="L254" s="569" t="s">
        <v>253</v>
      </c>
      <c r="M254" s="569" t="s">
        <v>367</v>
      </c>
      <c r="N254" s="52" t="str">
        <f>IF(AND('331-CT'!$E$7=TH!H254,OR(L254="331",M254="331")),"331",IF(AND(OR(L254="131",M254="131"),H254='131-CT'!$E$7),"131",""))</f>
        <v/>
      </c>
      <c r="O254" s="90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>x</v>
      </c>
      <c r="AB254" s="821"/>
      <c r="AC254" s="560" t="str">
        <f>IF(VLOOKUP(H254,DS_131,1,0)&lt;&gt;"","","x")</f>
        <v/>
      </c>
    </row>
    <row r="255" spans="1:29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938</v>
      </c>
      <c r="E255" s="191">
        <v>41849</v>
      </c>
      <c r="F255" s="192" t="s">
        <v>572</v>
      </c>
      <c r="G255" s="468" t="s">
        <v>616</v>
      </c>
      <c r="H255" s="7" t="s">
        <v>444</v>
      </c>
      <c r="I255" s="256">
        <v>515</v>
      </c>
      <c r="J255" s="256">
        <v>10500</v>
      </c>
      <c r="K255" s="568">
        <f>ROUND(I255*J255,0)</f>
        <v>5407500</v>
      </c>
      <c r="L255" s="569" t="s">
        <v>253</v>
      </c>
      <c r="M255" s="569" t="s">
        <v>177</v>
      </c>
      <c r="N255" s="52" t="str">
        <f>IF(AND('331-CT'!$E$7=TH!H255,OR(L255="331",M255="331")),"331",IF(AND(OR(L255="131",M255="131"),H255='131-CT'!$E$7),"131",""))</f>
        <v/>
      </c>
      <c r="O255" s="90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>x</v>
      </c>
      <c r="AB255" s="821"/>
      <c r="AC255" s="211" t="str">
        <f>IF(F255=VLOOKUP(F255,NXT!$C$12:$C$305,1,0),"","x")</f>
        <v/>
      </c>
    </row>
    <row r="256" spans="1:29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938</v>
      </c>
      <c r="E256" s="191">
        <v>41849</v>
      </c>
      <c r="F256" s="192" t="s">
        <v>617</v>
      </c>
      <c r="G256" s="468" t="s">
        <v>616</v>
      </c>
      <c r="H256" s="7" t="s">
        <v>444</v>
      </c>
      <c r="I256" s="256">
        <v>500</v>
      </c>
      <c r="J256" s="256">
        <v>10500</v>
      </c>
      <c r="K256" s="568">
        <f>ROUND(I256*J256,0)</f>
        <v>5250000</v>
      </c>
      <c r="L256" s="569" t="s">
        <v>253</v>
      </c>
      <c r="M256" s="569" t="s">
        <v>177</v>
      </c>
      <c r="N256" s="52" t="str">
        <f>IF(AND('331-CT'!$E$7=TH!H256,OR(L256="331",M256="331")),"331",IF(AND(OR(L256="131",M256="131"),H256='131-CT'!$E$7),"131",""))</f>
        <v/>
      </c>
      <c r="O256" s="90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>x</v>
      </c>
      <c r="AB256" s="821"/>
      <c r="AC256" s="211" t="str">
        <f>IF(F256=VLOOKUP(F256,NXT!$C$12:$C$305,1,0),"","x")</f>
        <v/>
      </c>
    </row>
    <row r="257" spans="1:29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938</v>
      </c>
      <c r="E257" s="191">
        <v>41849</v>
      </c>
      <c r="F257" s="192" t="s">
        <v>426</v>
      </c>
      <c r="G257" s="468" t="s">
        <v>616</v>
      </c>
      <c r="H257" s="7" t="s">
        <v>444</v>
      </c>
      <c r="I257" s="256"/>
      <c r="J257" s="256"/>
      <c r="K257" s="568">
        <v>1065750</v>
      </c>
      <c r="L257" s="569" t="s">
        <v>253</v>
      </c>
      <c r="M257" s="569" t="s">
        <v>367</v>
      </c>
      <c r="N257" s="52" t="str">
        <f>IF(AND('331-CT'!$E$7=TH!H257,OR(L257="331",M257="331")),"331",IF(AND(OR(L257="131",M257="131"),H257='131-CT'!$E$7),"131",""))</f>
        <v/>
      </c>
      <c r="O257" s="90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>x</v>
      </c>
      <c r="AB257" s="821"/>
      <c r="AC257" s="560" t="str">
        <f>IF(VLOOKUP(H257,DS_131,1,0)&lt;&gt;"","","x")</f>
        <v/>
      </c>
    </row>
    <row r="258" spans="1:29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939</v>
      </c>
      <c r="E258" s="191">
        <v>41850</v>
      </c>
      <c r="F258" s="192" t="s">
        <v>423</v>
      </c>
      <c r="G258" s="468" t="s">
        <v>618</v>
      </c>
      <c r="H258" s="7" t="s">
        <v>425</v>
      </c>
      <c r="I258" s="256">
        <v>2554</v>
      </c>
      <c r="J258" s="256">
        <v>5500</v>
      </c>
      <c r="K258" s="568">
        <f>ROUND(I258*J258,0)</f>
        <v>14047000</v>
      </c>
      <c r="L258" s="569" t="s">
        <v>253</v>
      </c>
      <c r="M258" s="569" t="s">
        <v>177</v>
      </c>
      <c r="N258" s="52" t="str">
        <f>IF(AND('331-CT'!$E$7=TH!H258,OR(L258="331",M258="331")),"331",IF(AND(OR(L258="131",M258="131"),H258='131-CT'!$E$7),"131",""))</f>
        <v/>
      </c>
      <c r="O258" s="90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>x</v>
      </c>
      <c r="AB258" s="821"/>
      <c r="AC258" s="211" t="str">
        <f>IF(F258=VLOOKUP(F258,NXT!$C$12:$C$305,1,0),"","x")</f>
        <v/>
      </c>
    </row>
    <row r="259" spans="1:29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939</v>
      </c>
      <c r="E259" s="191">
        <v>41850</v>
      </c>
      <c r="F259" s="192" t="s">
        <v>619</v>
      </c>
      <c r="G259" s="468" t="s">
        <v>618</v>
      </c>
      <c r="H259" s="7" t="s">
        <v>425</v>
      </c>
      <c r="I259" s="256">
        <v>330</v>
      </c>
      <c r="J259" s="256">
        <v>4500</v>
      </c>
      <c r="K259" s="568">
        <f>ROUND(I259*J259,0)</f>
        <v>1485000</v>
      </c>
      <c r="L259" s="569" t="s">
        <v>253</v>
      </c>
      <c r="M259" s="569" t="s">
        <v>177</v>
      </c>
      <c r="N259" s="52" t="str">
        <f>IF(AND('331-CT'!$E$7=TH!H259,OR(L259="331",M259="331")),"331",IF(AND(OR(L259="131",M259="131"),H259='131-CT'!$E$7),"131",""))</f>
        <v/>
      </c>
      <c r="O259" s="90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>x</v>
      </c>
      <c r="AB259" s="821"/>
      <c r="AC259" s="211" t="str">
        <f>IF(F259=VLOOKUP(F259,NXT!$C$12:$C$305,1,0),"","x")</f>
        <v/>
      </c>
    </row>
    <row r="260" spans="1:29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939</v>
      </c>
      <c r="E260" s="191">
        <v>41850</v>
      </c>
      <c r="F260" s="192" t="s">
        <v>426</v>
      </c>
      <c r="G260" s="468" t="s">
        <v>618</v>
      </c>
      <c r="H260" s="7" t="s">
        <v>425</v>
      </c>
      <c r="I260" s="256"/>
      <c r="J260" s="256"/>
      <c r="K260" s="568">
        <v>1553200</v>
      </c>
      <c r="L260" s="569" t="s">
        <v>253</v>
      </c>
      <c r="M260" s="569" t="s">
        <v>367</v>
      </c>
      <c r="N260" s="52" t="str">
        <f>IF(AND('331-CT'!$E$7=TH!H260,OR(L260="331",M260="331")),"331",IF(AND(OR(L260="131",M260="131"),H260='131-CT'!$E$7),"131",""))</f>
        <v/>
      </c>
      <c r="O260" s="90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>x</v>
      </c>
      <c r="AB260" s="821"/>
      <c r="AC260" s="560" t="str">
        <f>IF(VLOOKUP(H260,DS_131,1,0)&lt;&gt;"","","x")</f>
        <v/>
      </c>
    </row>
    <row r="261" spans="1:29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940</v>
      </c>
      <c r="E261" s="191">
        <v>41857</v>
      </c>
      <c r="F261" s="189" t="s">
        <v>427</v>
      </c>
      <c r="G261" s="468" t="s">
        <v>620</v>
      </c>
      <c r="H261" s="7" t="s">
        <v>916</v>
      </c>
      <c r="I261" s="256">
        <v>500</v>
      </c>
      <c r="J261" s="256">
        <v>17300</v>
      </c>
      <c r="K261" s="568">
        <f>ROUND(I261*J261,0)</f>
        <v>8650000</v>
      </c>
      <c r="L261" s="569" t="s">
        <v>253</v>
      </c>
      <c r="M261" s="569" t="s">
        <v>177</v>
      </c>
      <c r="N261" s="52" t="str">
        <f>IF(AND('331-CT'!$E$7=TH!H261,OR(L261="331",M261="331")),"331",IF(AND(OR(L261="131",M261="131"),H261='131-CT'!$E$7),"131",""))</f>
        <v/>
      </c>
      <c r="O261" s="90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>x</v>
      </c>
      <c r="AB261" s="821"/>
      <c r="AC261" s="211" t="str">
        <f>IF(F261=VLOOKUP(F261,NXT!$C$12:$C$305,1,0),"","x")</f>
        <v/>
      </c>
    </row>
    <row r="262" spans="1:29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940</v>
      </c>
      <c r="E262" s="191">
        <v>41858</v>
      </c>
      <c r="F262" s="40" t="s">
        <v>451</v>
      </c>
      <c r="G262" s="468" t="s">
        <v>620</v>
      </c>
      <c r="H262" s="7" t="s">
        <v>916</v>
      </c>
      <c r="I262" s="256">
        <v>1000</v>
      </c>
      <c r="J262" s="256">
        <v>1500</v>
      </c>
      <c r="K262" s="568">
        <f>ROUND(I262*J262,0)</f>
        <v>1500000</v>
      </c>
      <c r="L262" s="569" t="s">
        <v>253</v>
      </c>
      <c r="M262" s="569" t="s">
        <v>177</v>
      </c>
      <c r="N262" s="52" t="str">
        <f>IF(AND('331-CT'!$E$7=TH!H262,OR(L262="331",M262="331")),"331",IF(AND(OR(L262="131",M262="131"),H262='131-CT'!$E$7),"131",""))</f>
        <v/>
      </c>
      <c r="O262" s="90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>x</v>
      </c>
      <c r="AB262" s="821"/>
      <c r="AC262" s="211" t="str">
        <f>IF(F262=VLOOKUP(F262,NXT!$C$12:$C$305,1,0),"","x")</f>
        <v/>
      </c>
    </row>
    <row r="263" spans="1:29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940</v>
      </c>
      <c r="E263" s="191">
        <v>41859</v>
      </c>
      <c r="F263" s="192" t="s">
        <v>426</v>
      </c>
      <c r="G263" s="468" t="s">
        <v>620</v>
      </c>
      <c r="H263" s="7" t="s">
        <v>916</v>
      </c>
      <c r="I263" s="256"/>
      <c r="J263" s="256"/>
      <c r="K263" s="568">
        <v>1015000</v>
      </c>
      <c r="L263" s="569" t="s">
        <v>253</v>
      </c>
      <c r="M263" s="569" t="s">
        <v>367</v>
      </c>
      <c r="N263" s="52" t="str">
        <f>IF(AND('331-CT'!$E$7=TH!H263,OR(L263="331",M263="331")),"331",IF(AND(OR(L263="131",M263="131"),H263='131-CT'!$E$7),"131",""))</f>
        <v/>
      </c>
      <c r="O263" s="90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>x</v>
      </c>
      <c r="AB263" s="821"/>
      <c r="AC263" s="560" t="str">
        <f>IF(VLOOKUP(H263,DS_131,1,0)&lt;&gt;"","","x")</f>
        <v/>
      </c>
    </row>
    <row r="264" spans="1:29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941</v>
      </c>
      <c r="E264" s="191">
        <v>41859</v>
      </c>
      <c r="F264" s="192" t="s">
        <v>500</v>
      </c>
      <c r="G264" s="468" t="s">
        <v>621</v>
      </c>
      <c r="H264" s="7" t="s">
        <v>917</v>
      </c>
      <c r="I264" s="256">
        <v>300</v>
      </c>
      <c r="J264" s="256">
        <v>8600</v>
      </c>
      <c r="K264" s="568">
        <f>ROUND(I264*J264,0)</f>
        <v>2580000</v>
      </c>
      <c r="L264" s="569" t="s">
        <v>253</v>
      </c>
      <c r="M264" s="569" t="s">
        <v>177</v>
      </c>
      <c r="N264" s="52" t="str">
        <f>IF(AND('331-CT'!$E$7=TH!H264,OR(L264="331",M264="331")),"331",IF(AND(OR(L264="131",M264="131"),H264='131-CT'!$E$7),"131",""))</f>
        <v/>
      </c>
      <c r="O264" s="90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>x</v>
      </c>
      <c r="AB264" s="821"/>
      <c r="AC264" s="211" t="str">
        <f>IF(F264=VLOOKUP(F264,NXT!$C$12:$C$305,1,0),"","x")</f>
        <v/>
      </c>
    </row>
    <row r="265" spans="1:29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941</v>
      </c>
      <c r="E265" s="191">
        <v>41859</v>
      </c>
      <c r="F265" s="192" t="s">
        <v>426</v>
      </c>
      <c r="G265" s="468" t="s">
        <v>621</v>
      </c>
      <c r="H265" s="7" t="s">
        <v>917</v>
      </c>
      <c r="I265" s="256"/>
      <c r="J265" s="256"/>
      <c r="K265" s="568">
        <v>258000</v>
      </c>
      <c r="L265" s="569" t="s">
        <v>253</v>
      </c>
      <c r="M265" s="569" t="s">
        <v>367</v>
      </c>
      <c r="N265" s="52" t="str">
        <f>IF(AND('331-CT'!$E$7=TH!H265,OR(L265="331",M265="331")),"331",IF(AND(OR(L265="131",M265="131"),H265='131-CT'!$E$7),"131",""))</f>
        <v/>
      </c>
      <c r="O265" s="90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>x</v>
      </c>
      <c r="AB265" s="821"/>
      <c r="AC265" s="560" t="str">
        <f>IF(VLOOKUP(H265,DS_131,1,0)&lt;&gt;"","","x")</f>
        <v/>
      </c>
    </row>
    <row r="266" spans="1:29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942</v>
      </c>
      <c r="E266" s="191">
        <v>41859</v>
      </c>
      <c r="F266" s="192" t="s">
        <v>622</v>
      </c>
      <c r="G266" s="468" t="s">
        <v>623</v>
      </c>
      <c r="H266" s="7" t="s">
        <v>624</v>
      </c>
      <c r="I266" s="256">
        <v>393</v>
      </c>
      <c r="J266" s="256">
        <v>11100</v>
      </c>
      <c r="K266" s="568">
        <f>ROUND(I266*J266,0)</f>
        <v>4362300</v>
      </c>
      <c r="L266" s="569" t="s">
        <v>253</v>
      </c>
      <c r="M266" s="569" t="s">
        <v>177</v>
      </c>
      <c r="N266" s="52" t="str">
        <f>IF(AND('331-CT'!$E$7=TH!H266,OR(L266="331",M266="331")),"331",IF(AND(OR(L266="131",M266="131"),H266='131-CT'!$E$7),"131",""))</f>
        <v/>
      </c>
      <c r="O266" s="90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>x</v>
      </c>
      <c r="AB266" s="821"/>
      <c r="AC266" s="211" t="str">
        <f>IF(F266=VLOOKUP(F266,NXT!$C$12:$C$305,1,0),"","x")</f>
        <v/>
      </c>
    </row>
    <row r="267" spans="1:29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942</v>
      </c>
      <c r="E267" s="191">
        <v>41859</v>
      </c>
      <c r="F267" s="192" t="s">
        <v>426</v>
      </c>
      <c r="G267" s="468" t="s">
        <v>623</v>
      </c>
      <c r="H267" s="7" t="s">
        <v>624</v>
      </c>
      <c r="I267" s="256"/>
      <c r="J267" s="256"/>
      <c r="K267" s="568">
        <v>436230</v>
      </c>
      <c r="L267" s="569" t="s">
        <v>253</v>
      </c>
      <c r="M267" s="569" t="s">
        <v>367</v>
      </c>
      <c r="N267" s="52" t="str">
        <f>IF(AND('331-CT'!$E$7=TH!H267,OR(L267="331",M267="331")),"331",IF(AND(OR(L267="131",M267="131"),H267='131-CT'!$E$7),"131",""))</f>
        <v/>
      </c>
      <c r="O267" s="90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>x</v>
      </c>
      <c r="AB267" s="821"/>
      <c r="AC267" s="560" t="str">
        <f>IF(VLOOKUP(H267,DS_131,1,0)&lt;&gt;"","","x")</f>
        <v/>
      </c>
    </row>
    <row r="268" spans="1:29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943</v>
      </c>
      <c r="E268" s="191">
        <v>41859</v>
      </c>
      <c r="F268" s="192" t="s">
        <v>625</v>
      </c>
      <c r="G268" s="468" t="s">
        <v>626</v>
      </c>
      <c r="H268" s="7" t="s">
        <v>609</v>
      </c>
      <c r="I268" s="256">
        <v>198</v>
      </c>
      <c r="J268" s="256">
        <v>18300</v>
      </c>
      <c r="K268" s="568">
        <f t="shared" ref="K268:K273" si="11">ROUND(I268*J268,0)</f>
        <v>3623400</v>
      </c>
      <c r="L268" s="569" t="s">
        <v>253</v>
      </c>
      <c r="M268" s="569" t="s">
        <v>177</v>
      </c>
      <c r="N268" s="52" t="str">
        <f>IF(AND('331-CT'!$E$7=TH!H268,OR(L268="331",M268="331")),"331",IF(AND(OR(L268="131",M268="131"),H268='131-CT'!$E$7),"131",""))</f>
        <v/>
      </c>
      <c r="O268" s="90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>x</v>
      </c>
      <c r="AB268" s="821"/>
      <c r="AC268" s="211" t="str">
        <f>IF(F268=VLOOKUP(F268,NXT!$C$12:$C$305,1,0),"","x")</f>
        <v/>
      </c>
    </row>
    <row r="269" spans="1:29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943</v>
      </c>
      <c r="E269" s="191">
        <v>41859</v>
      </c>
      <c r="F269" s="192" t="s">
        <v>627</v>
      </c>
      <c r="G269" s="468" t="s">
        <v>626</v>
      </c>
      <c r="H269" s="7" t="s">
        <v>609</v>
      </c>
      <c r="I269" s="257">
        <v>996</v>
      </c>
      <c r="J269" s="257">
        <v>7160</v>
      </c>
      <c r="K269" s="568">
        <f t="shared" si="11"/>
        <v>7131360</v>
      </c>
      <c r="L269" s="569" t="s">
        <v>253</v>
      </c>
      <c r="M269" s="569" t="s">
        <v>177</v>
      </c>
      <c r="N269" s="52" t="str">
        <f>IF(AND('331-CT'!$E$7=TH!H269,OR(L269="331",M269="331")),"331",IF(AND(OR(L269="131",M269="131"),H269='131-CT'!$E$7),"131",""))</f>
        <v/>
      </c>
      <c r="O269" s="90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>x</v>
      </c>
      <c r="AB269" s="821"/>
      <c r="AC269" s="211" t="str">
        <f>IF(F269=VLOOKUP(F269,NXT!$C$12:$C$305,1,0),"","x")</f>
        <v/>
      </c>
    </row>
    <row r="270" spans="1:29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943</v>
      </c>
      <c r="E270" s="191">
        <v>41859</v>
      </c>
      <c r="F270" s="192" t="s">
        <v>628</v>
      </c>
      <c r="G270" s="468" t="s">
        <v>626</v>
      </c>
      <c r="H270" s="7" t="s">
        <v>609</v>
      </c>
      <c r="I270" s="256">
        <v>650</v>
      </c>
      <c r="J270" s="256">
        <v>17600</v>
      </c>
      <c r="K270" s="568">
        <f t="shared" si="11"/>
        <v>11440000</v>
      </c>
      <c r="L270" s="569" t="s">
        <v>253</v>
      </c>
      <c r="M270" s="569" t="s">
        <v>177</v>
      </c>
      <c r="N270" s="52" t="str">
        <f>IF(AND('331-CT'!$E$7=TH!H270,OR(L270="331",M270="331")),"331",IF(AND(OR(L270="131",M270="131"),H270='131-CT'!$E$7),"131",""))</f>
        <v/>
      </c>
      <c r="O270" s="90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>x</v>
      </c>
      <c r="AB270" s="821"/>
      <c r="AC270" s="211" t="str">
        <f>IF(F270=VLOOKUP(F270,NXT!$C$12:$C$305,1,0),"","x")</f>
        <v/>
      </c>
    </row>
    <row r="271" spans="1:29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943</v>
      </c>
      <c r="E271" s="191">
        <v>41859</v>
      </c>
      <c r="F271" s="192" t="s">
        <v>629</v>
      </c>
      <c r="G271" s="468" t="s">
        <v>626</v>
      </c>
      <c r="H271" s="7" t="s">
        <v>609</v>
      </c>
      <c r="I271" s="256">
        <v>1440</v>
      </c>
      <c r="J271" s="256">
        <v>8100</v>
      </c>
      <c r="K271" s="568">
        <f t="shared" si="11"/>
        <v>11664000</v>
      </c>
      <c r="L271" s="569" t="s">
        <v>253</v>
      </c>
      <c r="M271" s="569" t="s">
        <v>177</v>
      </c>
      <c r="N271" s="52" t="str">
        <f>IF(AND('331-CT'!$E$7=TH!H271,OR(L271="331",M271="331")),"331",IF(AND(OR(L271="131",M271="131"),H271='131-CT'!$E$7),"131",""))</f>
        <v/>
      </c>
      <c r="O271" s="90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>x</v>
      </c>
      <c r="AB271" s="821"/>
      <c r="AC271" s="211" t="str">
        <f>IF(F271=VLOOKUP(F271,NXT!$C$12:$C$305,1,0),"","x")</f>
        <v/>
      </c>
    </row>
    <row r="272" spans="1:29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943</v>
      </c>
      <c r="E272" s="191">
        <v>41859</v>
      </c>
      <c r="F272" s="192" t="s">
        <v>607</v>
      </c>
      <c r="G272" s="468" t="s">
        <v>626</v>
      </c>
      <c r="H272" s="7" t="s">
        <v>609</v>
      </c>
      <c r="I272" s="256">
        <v>160</v>
      </c>
      <c r="J272" s="256">
        <v>13000</v>
      </c>
      <c r="K272" s="568">
        <f t="shared" si="11"/>
        <v>2080000</v>
      </c>
      <c r="L272" s="569" t="s">
        <v>253</v>
      </c>
      <c r="M272" s="569" t="s">
        <v>177</v>
      </c>
      <c r="N272" s="52" t="str">
        <f>IF(AND('331-CT'!$E$7=TH!H272,OR(L272="331",M272="331")),"331",IF(AND(OR(L272="131",M272="131"),H272='131-CT'!$E$7),"131",""))</f>
        <v/>
      </c>
      <c r="O272" s="90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>x</v>
      </c>
      <c r="AB272" s="821"/>
      <c r="AC272" s="211" t="str">
        <f>IF(F272=VLOOKUP(F272,NXT!$C$12:$C$305,1,0),"","x")</f>
        <v/>
      </c>
    </row>
    <row r="273" spans="1:29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943</v>
      </c>
      <c r="E273" s="191">
        <v>41859</v>
      </c>
      <c r="F273" s="192" t="s">
        <v>630</v>
      </c>
      <c r="G273" s="468" t="s">
        <v>626</v>
      </c>
      <c r="H273" s="7" t="s">
        <v>609</v>
      </c>
      <c r="I273" s="256">
        <v>4400</v>
      </c>
      <c r="J273" s="256">
        <v>400</v>
      </c>
      <c r="K273" s="568">
        <f t="shared" si="11"/>
        <v>1760000</v>
      </c>
      <c r="L273" s="569" t="s">
        <v>253</v>
      </c>
      <c r="M273" s="569" t="s">
        <v>177</v>
      </c>
      <c r="N273" s="52" t="str">
        <f>IF(AND('331-CT'!$E$7=TH!H273,OR(L273="331",M273="331")),"331",IF(AND(OR(L273="131",M273="131"),H273='131-CT'!$E$7),"131",""))</f>
        <v/>
      </c>
      <c r="O273" s="90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>x</v>
      </c>
      <c r="AB273" s="821"/>
      <c r="AC273" s="211" t="str">
        <f>IF(F273=VLOOKUP(F273,NXT!$C$12:$C$305,1,0),"","x")</f>
        <v/>
      </c>
    </row>
    <row r="274" spans="1:29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943</v>
      </c>
      <c r="E274" s="191">
        <v>41859</v>
      </c>
      <c r="F274" s="192" t="s">
        <v>426</v>
      </c>
      <c r="G274" s="468" t="s">
        <v>626</v>
      </c>
      <c r="H274" s="7" t="s">
        <v>609</v>
      </c>
      <c r="I274" s="256"/>
      <c r="J274" s="256"/>
      <c r="K274" s="568">
        <v>3769876</v>
      </c>
      <c r="L274" s="569" t="s">
        <v>253</v>
      </c>
      <c r="M274" s="569" t="s">
        <v>367</v>
      </c>
      <c r="N274" s="52" t="str">
        <f>IF(AND('331-CT'!$E$7=TH!H274,OR(L274="331",M274="331")),"331",IF(AND(OR(L274="131",M274="131"),H274='131-CT'!$E$7),"131",""))</f>
        <v/>
      </c>
      <c r="O274" s="90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>x</v>
      </c>
      <c r="AB274" s="821"/>
      <c r="AC274" s="560" t="str">
        <f>IF(VLOOKUP(H274,DS_131,1,0)&lt;&gt;"","","x")</f>
        <v/>
      </c>
    </row>
    <row r="275" spans="1:29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944</v>
      </c>
      <c r="E275" s="191">
        <v>41863</v>
      </c>
      <c r="F275" s="192" t="s">
        <v>465</v>
      </c>
      <c r="G275" s="468" t="s">
        <v>631</v>
      </c>
      <c r="H275" s="7" t="s">
        <v>467</v>
      </c>
      <c r="I275" s="256">
        <v>1043</v>
      </c>
      <c r="J275" s="256">
        <v>8740</v>
      </c>
      <c r="K275" s="568">
        <f>ROUND(I275*J275,0)</f>
        <v>9115820</v>
      </c>
      <c r="L275" s="569" t="s">
        <v>253</v>
      </c>
      <c r="M275" s="569" t="s">
        <v>177</v>
      </c>
      <c r="N275" s="52" t="str">
        <f>IF(AND('331-CT'!$E$7=TH!H275,OR(L275="331",M275="331")),"331",IF(AND(OR(L275="131",M275="131"),H275='131-CT'!$E$7),"131",""))</f>
        <v/>
      </c>
      <c r="O275" s="90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>x</v>
      </c>
      <c r="AB275" s="821"/>
      <c r="AC275" s="211" t="str">
        <f>IF(F275=VLOOKUP(F275,NXT!$C$12:$C$305,1,0),"","x")</f>
        <v/>
      </c>
    </row>
    <row r="276" spans="1:29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944</v>
      </c>
      <c r="E276" s="191">
        <v>41863</v>
      </c>
      <c r="F276" s="192" t="s">
        <v>426</v>
      </c>
      <c r="G276" s="468" t="s">
        <v>631</v>
      </c>
      <c r="H276" s="7" t="s">
        <v>467</v>
      </c>
      <c r="I276" s="256"/>
      <c r="J276" s="256"/>
      <c r="K276" s="568">
        <v>911582</v>
      </c>
      <c r="L276" s="569" t="s">
        <v>253</v>
      </c>
      <c r="M276" s="569" t="s">
        <v>367</v>
      </c>
      <c r="N276" s="52" t="str">
        <f>IF(AND('331-CT'!$E$7=TH!H276,OR(L276="331",M276="331")),"331",IF(AND(OR(L276="131",M276="131"),H276='131-CT'!$E$7),"131",""))</f>
        <v/>
      </c>
      <c r="O276" s="90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>x</v>
      </c>
      <c r="AB276" s="821"/>
      <c r="AC276" s="560" t="str">
        <f>IF(VLOOKUP(H276,DS_131,1,0)&lt;&gt;"","","x")</f>
        <v/>
      </c>
    </row>
    <row r="277" spans="1:29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946</v>
      </c>
      <c r="E277" s="191">
        <v>41864</v>
      </c>
      <c r="F277" s="192" t="s">
        <v>442</v>
      </c>
      <c r="G277" s="468" t="s">
        <v>633</v>
      </c>
      <c r="H277" s="7" t="s">
        <v>444</v>
      </c>
      <c r="I277" s="256">
        <v>650</v>
      </c>
      <c r="J277" s="256">
        <v>10500</v>
      </c>
      <c r="K277" s="568">
        <f>ROUND(I277*J277,0)</f>
        <v>6825000</v>
      </c>
      <c r="L277" s="569" t="s">
        <v>253</v>
      </c>
      <c r="M277" s="569" t="s">
        <v>177</v>
      </c>
      <c r="N277" s="52" t="str">
        <f>IF(AND('331-CT'!$E$7=TH!H277,OR(L277="331",M277="331")),"331",IF(AND(OR(L277="131",M277="131"),H277='131-CT'!$E$7),"131",""))</f>
        <v/>
      </c>
      <c r="O277" s="90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>x</v>
      </c>
      <c r="AB277" s="821"/>
      <c r="AC277" s="211" t="str">
        <f>IF(F277=VLOOKUP(F277,NXT!$C$12:$C$305,1,0),"","x")</f>
        <v/>
      </c>
    </row>
    <row r="278" spans="1:29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946</v>
      </c>
      <c r="E278" s="191">
        <v>41864</v>
      </c>
      <c r="F278" s="192" t="s">
        <v>426</v>
      </c>
      <c r="G278" s="468" t="s">
        <v>633</v>
      </c>
      <c r="H278" s="7" t="s">
        <v>444</v>
      </c>
      <c r="I278" s="256"/>
      <c r="J278" s="256"/>
      <c r="K278" s="568">
        <v>682500</v>
      </c>
      <c r="L278" s="569" t="s">
        <v>253</v>
      </c>
      <c r="M278" s="569" t="s">
        <v>367</v>
      </c>
      <c r="N278" s="52" t="str">
        <f>IF(AND('331-CT'!$E$7=TH!H278,OR(L278="331",M278="331")),"331",IF(AND(OR(L278="131",M278="131"),H278='131-CT'!$E$7),"131",""))</f>
        <v/>
      </c>
      <c r="O278" s="90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>x</v>
      </c>
      <c r="AB278" s="821"/>
      <c r="AC278" s="560" t="str">
        <f>IF(VLOOKUP(H278,DS_131,1,0)&lt;&gt;"","","x")</f>
        <v/>
      </c>
    </row>
    <row r="279" spans="1:29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947</v>
      </c>
      <c r="E279" s="191">
        <v>41865</v>
      </c>
      <c r="F279" s="192" t="s">
        <v>500</v>
      </c>
      <c r="G279" s="468" t="s">
        <v>634</v>
      </c>
      <c r="H279" s="7" t="s">
        <v>917</v>
      </c>
      <c r="I279" s="256">
        <v>208</v>
      </c>
      <c r="J279" s="256">
        <v>8600</v>
      </c>
      <c r="K279" s="568">
        <f>ROUND(I279*J279,0)</f>
        <v>1788800</v>
      </c>
      <c r="L279" s="569" t="s">
        <v>253</v>
      </c>
      <c r="M279" s="569" t="s">
        <v>177</v>
      </c>
      <c r="N279" s="52" t="str">
        <f>IF(AND('331-CT'!$E$7=TH!H279,OR(L279="331",M279="331")),"331",IF(AND(OR(L279="131",M279="131"),H279='131-CT'!$E$7),"131",""))</f>
        <v/>
      </c>
      <c r="O279" s="90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>x</v>
      </c>
      <c r="AB279" s="821"/>
      <c r="AC279" s="211" t="str">
        <f>IF(F279=VLOOKUP(F279,NXT!$C$12:$C$305,1,0),"","x")</f>
        <v/>
      </c>
    </row>
    <row r="280" spans="1:29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947</v>
      </c>
      <c r="E280" s="191">
        <v>41865</v>
      </c>
      <c r="F280" s="192" t="s">
        <v>518</v>
      </c>
      <c r="G280" s="468" t="s">
        <v>634</v>
      </c>
      <c r="H280" s="7" t="s">
        <v>917</v>
      </c>
      <c r="I280" s="256">
        <v>320</v>
      </c>
      <c r="J280" s="256">
        <v>7000</v>
      </c>
      <c r="K280" s="568">
        <f>ROUND(I280*J280,0)</f>
        <v>2240000</v>
      </c>
      <c r="L280" s="569" t="s">
        <v>253</v>
      </c>
      <c r="M280" s="569" t="s">
        <v>177</v>
      </c>
      <c r="N280" s="52" t="str">
        <f>IF(AND('331-CT'!$E$7=TH!H280,OR(L280="331",M280="331")),"331",IF(AND(OR(L280="131",M280="131"),H280='131-CT'!$E$7),"131",""))</f>
        <v/>
      </c>
      <c r="O280" s="90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>x</v>
      </c>
      <c r="AB280" s="821"/>
      <c r="AC280" s="211" t="str">
        <f>IF(F280=VLOOKUP(F280,NXT!$C$12:$C$305,1,0),"","x")</f>
        <v/>
      </c>
    </row>
    <row r="281" spans="1:29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947</v>
      </c>
      <c r="E281" s="191">
        <v>41865</v>
      </c>
      <c r="F281" s="192" t="s">
        <v>426</v>
      </c>
      <c r="G281" s="468" t="s">
        <v>634</v>
      </c>
      <c r="H281" s="7" t="s">
        <v>917</v>
      </c>
      <c r="I281" s="256"/>
      <c r="J281" s="256"/>
      <c r="K281" s="568">
        <v>402880</v>
      </c>
      <c r="L281" s="569" t="s">
        <v>253</v>
      </c>
      <c r="M281" s="569" t="s">
        <v>367</v>
      </c>
      <c r="N281" s="52" t="str">
        <f>IF(AND('331-CT'!$E$7=TH!H281,OR(L281="331",M281="331")),"331",IF(AND(OR(L281="131",M281="131"),H281='131-CT'!$E$7),"131",""))</f>
        <v/>
      </c>
      <c r="O281" s="90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>x</v>
      </c>
      <c r="AB281" s="821"/>
      <c r="AC281" s="560" t="str">
        <f>IF(VLOOKUP(H281,DS_131,1,0)&lt;&gt;"","","x")</f>
        <v/>
      </c>
    </row>
    <row r="282" spans="1:29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948</v>
      </c>
      <c r="E282" s="191">
        <v>41865</v>
      </c>
      <c r="F282" s="192" t="s">
        <v>593</v>
      </c>
      <c r="G282" s="468" t="s">
        <v>635</v>
      </c>
      <c r="H282" s="7" t="s">
        <v>589</v>
      </c>
      <c r="I282" s="256">
        <v>740</v>
      </c>
      <c r="J282" s="256">
        <v>9100</v>
      </c>
      <c r="K282" s="568">
        <f>ROUND(I282*J282,0)</f>
        <v>6734000</v>
      </c>
      <c r="L282" s="569" t="s">
        <v>253</v>
      </c>
      <c r="M282" s="569" t="s">
        <v>177</v>
      </c>
      <c r="N282" s="52" t="str">
        <f>IF(AND('331-CT'!$E$7=TH!H282,OR(L282="331",M282="331")),"331",IF(AND(OR(L282="131",M282="131"),H282='131-CT'!$E$7),"131",""))</f>
        <v/>
      </c>
      <c r="O282" s="90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>x</v>
      </c>
      <c r="AB282" s="821"/>
      <c r="AC282" s="211" t="str">
        <f>IF(F282=VLOOKUP(F282,NXT!$C$12:$C$305,1,0),"","x")</f>
        <v/>
      </c>
    </row>
    <row r="283" spans="1:29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948</v>
      </c>
      <c r="E283" s="191">
        <v>41865</v>
      </c>
      <c r="F283" s="192" t="s">
        <v>426</v>
      </c>
      <c r="G283" s="468" t="s">
        <v>635</v>
      </c>
      <c r="H283" s="7" t="s">
        <v>589</v>
      </c>
      <c r="I283" s="256"/>
      <c r="J283" s="256"/>
      <c r="K283" s="568">
        <v>673400</v>
      </c>
      <c r="L283" s="569" t="s">
        <v>253</v>
      </c>
      <c r="M283" s="569" t="s">
        <v>367</v>
      </c>
      <c r="N283" s="52" t="str">
        <f>IF(AND('331-CT'!$E$7=TH!H283,OR(L283="331",M283="331")),"331",IF(AND(OR(L283="131",M283="131"),H283='131-CT'!$E$7),"131",""))</f>
        <v/>
      </c>
      <c r="O283" s="90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>x</v>
      </c>
      <c r="AB283" s="821"/>
      <c r="AC283" s="560" t="str">
        <f>IF(VLOOKUP(H283,DS_131,1,0)&lt;&gt;"","","x")</f>
        <v/>
      </c>
    </row>
    <row r="284" spans="1:29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949</v>
      </c>
      <c r="E284" s="191">
        <v>41866</v>
      </c>
      <c r="F284" s="192" t="s">
        <v>636</v>
      </c>
      <c r="G284" s="468" t="s">
        <v>637</v>
      </c>
      <c r="H284" s="7" t="s">
        <v>475</v>
      </c>
      <c r="I284" s="256">
        <v>100</v>
      </c>
      <c r="J284" s="256">
        <v>4600</v>
      </c>
      <c r="K284" s="568">
        <f>ROUND(I284*J284,0)</f>
        <v>460000</v>
      </c>
      <c r="L284" s="569" t="s">
        <v>253</v>
      </c>
      <c r="M284" s="569" t="s">
        <v>177</v>
      </c>
      <c r="N284" s="52" t="str">
        <f>IF(AND('331-CT'!$E$7=TH!H284,OR(L284="331",M284="331")),"331",IF(AND(OR(L284="131",M284="131"),H284='131-CT'!$E$7),"131",""))</f>
        <v/>
      </c>
      <c r="O284" s="90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>x</v>
      </c>
      <c r="AB284" s="821"/>
      <c r="AC284" s="211" t="str">
        <f>IF(F284=VLOOKUP(F284,NXT!$C$12:$C$305,1,0),"","x")</f>
        <v/>
      </c>
    </row>
    <row r="285" spans="1:29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949</v>
      </c>
      <c r="E285" s="191">
        <v>41866</v>
      </c>
      <c r="F285" s="192" t="s">
        <v>529</v>
      </c>
      <c r="G285" s="468" t="s">
        <v>637</v>
      </c>
      <c r="H285" s="7" t="s">
        <v>475</v>
      </c>
      <c r="I285" s="256">
        <v>120</v>
      </c>
      <c r="J285" s="256">
        <v>4700</v>
      </c>
      <c r="K285" s="568">
        <f>ROUND(I285*J285,0)</f>
        <v>564000</v>
      </c>
      <c r="L285" s="569" t="s">
        <v>253</v>
      </c>
      <c r="M285" s="569" t="s">
        <v>177</v>
      </c>
      <c r="N285" s="52" t="str">
        <f>IF(AND('331-CT'!$E$7=TH!H285,OR(L285="331",M285="331")),"331",IF(AND(OR(L285="131",M285="131"),H285='131-CT'!$E$7),"131",""))</f>
        <v/>
      </c>
      <c r="O285" s="90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>x</v>
      </c>
      <c r="AB285" s="821"/>
      <c r="AC285" s="211" t="str">
        <f>IF(F285=VLOOKUP(F285,NXT!$C$12:$C$305,1,0),"","x")</f>
        <v/>
      </c>
    </row>
    <row r="286" spans="1:29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949</v>
      </c>
      <c r="E286" s="191">
        <v>41866</v>
      </c>
      <c r="F286" s="192" t="s">
        <v>638</v>
      </c>
      <c r="G286" s="468" t="s">
        <v>637</v>
      </c>
      <c r="H286" s="7" t="s">
        <v>475</v>
      </c>
      <c r="I286" s="256">
        <v>470</v>
      </c>
      <c r="J286" s="256">
        <v>3600</v>
      </c>
      <c r="K286" s="568">
        <f>ROUND(I286*J286,0)</f>
        <v>1692000</v>
      </c>
      <c r="L286" s="569" t="s">
        <v>253</v>
      </c>
      <c r="M286" s="569" t="s">
        <v>177</v>
      </c>
      <c r="N286" s="52" t="str">
        <f>IF(AND('331-CT'!$E$7=TH!H286,OR(L286="331",M286="331")),"331",IF(AND(OR(L286="131",M286="131"),H286='131-CT'!$E$7),"131",""))</f>
        <v/>
      </c>
      <c r="O286" s="90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>x</v>
      </c>
      <c r="AB286" s="821"/>
      <c r="AC286" s="211" t="str">
        <f>IF(F286=VLOOKUP(F286,NXT!$C$12:$C$305,1,0),"","x")</f>
        <v/>
      </c>
    </row>
    <row r="287" spans="1:29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949</v>
      </c>
      <c r="E287" s="191">
        <v>41866</v>
      </c>
      <c r="F287" s="192" t="s">
        <v>639</v>
      </c>
      <c r="G287" s="468" t="s">
        <v>637</v>
      </c>
      <c r="H287" s="7" t="s">
        <v>475</v>
      </c>
      <c r="I287" s="256">
        <v>350</v>
      </c>
      <c r="J287" s="256">
        <v>3800</v>
      </c>
      <c r="K287" s="568">
        <f>ROUND(I287*J287,0)</f>
        <v>1330000</v>
      </c>
      <c r="L287" s="569" t="s">
        <v>253</v>
      </c>
      <c r="M287" s="569" t="s">
        <v>177</v>
      </c>
      <c r="N287" s="52" t="str">
        <f>IF(AND('331-CT'!$E$7=TH!H287,OR(L287="331",M287="331")),"331",IF(AND(OR(L287="131",M287="131"),H287='131-CT'!$E$7),"131",""))</f>
        <v/>
      </c>
      <c r="O287" s="90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>x</v>
      </c>
      <c r="AB287" s="821"/>
      <c r="AC287" s="211" t="str">
        <f>IF(F287=VLOOKUP(F287,NXT!$C$12:$C$305,1,0),"","x")</f>
        <v/>
      </c>
    </row>
    <row r="288" spans="1:29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949</v>
      </c>
      <c r="E288" s="191">
        <v>41866</v>
      </c>
      <c r="F288" s="192" t="s">
        <v>640</v>
      </c>
      <c r="G288" s="468" t="s">
        <v>637</v>
      </c>
      <c r="H288" s="7" t="s">
        <v>475</v>
      </c>
      <c r="I288" s="256">
        <v>330</v>
      </c>
      <c r="J288" s="256">
        <v>5650</v>
      </c>
      <c r="K288" s="568">
        <f>ROUND(I288*J288,0)</f>
        <v>1864500</v>
      </c>
      <c r="L288" s="569" t="s">
        <v>253</v>
      </c>
      <c r="M288" s="569" t="s">
        <v>177</v>
      </c>
      <c r="N288" s="52" t="str">
        <f>IF(AND('331-CT'!$E$7=TH!H288,OR(L288="331",M288="331")),"331",IF(AND(OR(L288="131",M288="131"),H288='131-CT'!$E$7),"131",""))</f>
        <v/>
      </c>
      <c r="O288" s="90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>x</v>
      </c>
      <c r="AB288" s="821"/>
      <c r="AC288" s="211" t="str">
        <f>IF(F288=VLOOKUP(F288,NXT!$C$12:$C$305,1,0),"","x")</f>
        <v/>
      </c>
    </row>
    <row r="289" spans="1:31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949</v>
      </c>
      <c r="E289" s="191">
        <v>41866</v>
      </c>
      <c r="F289" s="192" t="s">
        <v>426</v>
      </c>
      <c r="G289" s="468" t="s">
        <v>637</v>
      </c>
      <c r="H289" s="7" t="s">
        <v>475</v>
      </c>
      <c r="I289" s="256"/>
      <c r="J289" s="256"/>
      <c r="K289" s="568">
        <v>591050</v>
      </c>
      <c r="L289" s="569" t="s">
        <v>253</v>
      </c>
      <c r="M289" s="569" t="s">
        <v>367</v>
      </c>
      <c r="N289" s="52" t="str">
        <f>IF(AND('331-CT'!$E$7=TH!H289,OR(L289="331",M289="331")),"331",IF(AND(OR(L289="131",M289="131"),H289='131-CT'!$E$7),"131",""))</f>
        <v/>
      </c>
      <c r="O289" s="90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>x</v>
      </c>
      <c r="AB289" s="821"/>
      <c r="AC289" s="560" t="str">
        <f>IF(VLOOKUP(H289,DS_131,1,0)&lt;&gt;"","","x")</f>
        <v/>
      </c>
    </row>
    <row r="290" spans="1:31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950</v>
      </c>
      <c r="E290" s="191">
        <v>41866</v>
      </c>
      <c r="F290" s="192" t="s">
        <v>429</v>
      </c>
      <c r="G290" s="468" t="s">
        <v>641</v>
      </c>
      <c r="H290" s="7" t="s">
        <v>431</v>
      </c>
      <c r="I290" s="256">
        <v>488</v>
      </c>
      <c r="J290" s="256">
        <v>10200</v>
      </c>
      <c r="K290" s="568">
        <f>ROUND(I290*J290,0)</f>
        <v>4977600</v>
      </c>
      <c r="L290" s="569" t="s">
        <v>253</v>
      </c>
      <c r="M290" s="569" t="s">
        <v>177</v>
      </c>
      <c r="N290" s="52" t="str">
        <f>IF(AND('331-CT'!$E$7=TH!H290,OR(L290="331",M290="331")),"331",IF(AND(OR(L290="131",M290="131"),H290='131-CT'!$E$7),"131",""))</f>
        <v/>
      </c>
      <c r="O290" s="90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>x</v>
      </c>
      <c r="AB290" s="821"/>
      <c r="AC290" s="211" t="str">
        <f>IF(F290=VLOOKUP(F290,NXT!$C$12:$C$305,1,0),"","x")</f>
        <v/>
      </c>
    </row>
    <row r="291" spans="1:31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950</v>
      </c>
      <c r="E291" s="191">
        <v>41866</v>
      </c>
      <c r="F291" s="192" t="s">
        <v>426</v>
      </c>
      <c r="G291" s="468" t="s">
        <v>641</v>
      </c>
      <c r="H291" s="7" t="s">
        <v>431</v>
      </c>
      <c r="I291" s="256"/>
      <c r="J291" s="256"/>
      <c r="K291" s="568">
        <v>497760</v>
      </c>
      <c r="L291" s="569" t="s">
        <v>253</v>
      </c>
      <c r="M291" s="569" t="s">
        <v>367</v>
      </c>
      <c r="N291" s="52" t="str">
        <f>IF(AND('331-CT'!$E$7=TH!H291,OR(L291="331",M291="331")),"331",IF(AND(OR(L291="131",M291="131"),H291='131-CT'!$E$7),"131",""))</f>
        <v/>
      </c>
      <c r="O291" s="90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>x</v>
      </c>
      <c r="AB291" s="821"/>
      <c r="AC291" s="560" t="str">
        <f>IF(VLOOKUP(H291,DS_131,1,0)&lt;&gt;"","","x")</f>
        <v/>
      </c>
    </row>
    <row r="292" spans="1:31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951</v>
      </c>
      <c r="E292" s="191">
        <v>41869</v>
      </c>
      <c r="F292" s="192" t="s">
        <v>642</v>
      </c>
      <c r="G292" s="468" t="s">
        <v>643</v>
      </c>
      <c r="H292" s="7" t="s">
        <v>917</v>
      </c>
      <c r="I292" s="256">
        <v>200</v>
      </c>
      <c r="J292" s="256">
        <v>7000</v>
      </c>
      <c r="K292" s="568">
        <f>ROUND(I292*J292,0)</f>
        <v>1400000</v>
      </c>
      <c r="L292" s="569" t="s">
        <v>253</v>
      </c>
      <c r="M292" s="569" t="s">
        <v>177</v>
      </c>
      <c r="N292" s="52" t="str">
        <f>IF(AND('331-CT'!$E$7=TH!H292,OR(L292="331",M292="331")),"331",IF(AND(OR(L292="131",M292="131"),H292='131-CT'!$E$7),"131",""))</f>
        <v/>
      </c>
      <c r="O292" s="90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>x</v>
      </c>
      <c r="AB292" s="821"/>
      <c r="AC292" s="211" t="str">
        <f>IF(F292=VLOOKUP(F292,NXT!$C$12:$C$305,1,0),"","x")</f>
        <v/>
      </c>
    </row>
    <row r="293" spans="1:31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951</v>
      </c>
      <c r="E293" s="191">
        <v>41869</v>
      </c>
      <c r="F293" s="192" t="s">
        <v>426</v>
      </c>
      <c r="G293" s="468" t="s">
        <v>643</v>
      </c>
      <c r="H293" s="7" t="s">
        <v>917</v>
      </c>
      <c r="I293" s="256"/>
      <c r="J293" s="256"/>
      <c r="K293" s="568">
        <v>140000</v>
      </c>
      <c r="L293" s="569" t="s">
        <v>253</v>
      </c>
      <c r="M293" s="569" t="s">
        <v>367</v>
      </c>
      <c r="N293" s="52" t="str">
        <f>IF(AND('331-CT'!$E$7=TH!H293,OR(L293="331",M293="331")),"331",IF(AND(OR(L293="131",M293="131"),H293='131-CT'!$E$7),"131",""))</f>
        <v/>
      </c>
      <c r="O293" s="90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>x</v>
      </c>
      <c r="AB293" s="821"/>
      <c r="AC293" s="560" t="str">
        <f>IF(VLOOKUP(H293,DS_131,1,0)&lt;&gt;"","","x")</f>
        <v/>
      </c>
    </row>
    <row r="294" spans="1:31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952</v>
      </c>
      <c r="E294" s="191">
        <v>41871</v>
      </c>
      <c r="F294" s="192" t="s">
        <v>593</v>
      </c>
      <c r="G294" s="468" t="s">
        <v>644</v>
      </c>
      <c r="H294" s="7" t="s">
        <v>589</v>
      </c>
      <c r="I294" s="256">
        <v>350</v>
      </c>
      <c r="J294" s="256">
        <v>9100</v>
      </c>
      <c r="K294" s="568">
        <f>ROUND(I294*J294,0)</f>
        <v>3185000</v>
      </c>
      <c r="L294" s="569" t="s">
        <v>253</v>
      </c>
      <c r="M294" s="569" t="s">
        <v>177</v>
      </c>
      <c r="N294" s="52" t="str">
        <f>IF(AND('331-CT'!$E$7=TH!H294,OR(L294="331",M294="331")),"331",IF(AND(OR(L294="131",M294="131"),H294='131-CT'!$E$7),"131",""))</f>
        <v/>
      </c>
      <c r="O294" s="90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>x</v>
      </c>
      <c r="AB294" s="821"/>
      <c r="AC294" s="211" t="str">
        <f>IF(F294=VLOOKUP(F294,NXT!$C$12:$C$305,1,0),"","x")</f>
        <v/>
      </c>
    </row>
    <row r="295" spans="1:31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952</v>
      </c>
      <c r="E295" s="191">
        <v>41871</v>
      </c>
      <c r="F295" s="192" t="s">
        <v>426</v>
      </c>
      <c r="G295" s="468" t="s">
        <v>644</v>
      </c>
      <c r="H295" s="7" t="s">
        <v>589</v>
      </c>
      <c r="I295" s="256"/>
      <c r="J295" s="256"/>
      <c r="K295" s="568">
        <v>318500</v>
      </c>
      <c r="L295" s="569" t="s">
        <v>253</v>
      </c>
      <c r="M295" s="569" t="s">
        <v>367</v>
      </c>
      <c r="N295" s="52" t="str">
        <f>IF(AND('331-CT'!$E$7=TH!H295,OR(L295="331",M295="331")),"331",IF(AND(OR(L295="131",M295="131"),H295='131-CT'!$E$7),"131",""))</f>
        <v/>
      </c>
      <c r="O295" s="90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>x</v>
      </c>
      <c r="AB295" s="821"/>
      <c r="AC295" s="560" t="str">
        <f>IF(VLOOKUP(H295,DS_131,1,0)&lt;&gt;"","","x")</f>
        <v/>
      </c>
    </row>
    <row r="296" spans="1:31" s="560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953</v>
      </c>
      <c r="E296" s="191">
        <v>41871</v>
      </c>
      <c r="F296" s="192" t="s">
        <v>645</v>
      </c>
      <c r="G296" s="468" t="s">
        <v>646</v>
      </c>
      <c r="H296" s="7" t="s">
        <v>460</v>
      </c>
      <c r="I296" s="256">
        <v>500</v>
      </c>
      <c r="J296" s="256">
        <v>13500</v>
      </c>
      <c r="K296" s="568">
        <f>ROUND(I296*J296,0)</f>
        <v>6750000</v>
      </c>
      <c r="L296" s="569" t="s">
        <v>253</v>
      </c>
      <c r="M296" s="569" t="s">
        <v>177</v>
      </c>
      <c r="N296" s="52" t="str">
        <f>IF(AND('331-CT'!$E$7=TH!H296,OR(L296="331",M296="331")),"331",IF(AND(OR(L296="131",M296="131"),H296='131-CT'!$E$7),"131",""))</f>
        <v/>
      </c>
      <c r="O296" s="90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>x</v>
      </c>
      <c r="AB296" s="821"/>
      <c r="AC296" s="211" t="str">
        <f>IF(F296=VLOOKUP(F296,NXT!$C$12:$C$305,1,0),"","x")</f>
        <v/>
      </c>
      <c r="AD296" s="211"/>
      <c r="AE296" s="211"/>
    </row>
    <row r="297" spans="1:31" s="560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953</v>
      </c>
      <c r="E297" s="191">
        <v>41871</v>
      </c>
      <c r="F297" s="192" t="s">
        <v>426</v>
      </c>
      <c r="G297" s="468" t="s">
        <v>646</v>
      </c>
      <c r="H297" s="7" t="s">
        <v>460</v>
      </c>
      <c r="I297" s="256"/>
      <c r="J297" s="256"/>
      <c r="K297" s="568">
        <v>675000</v>
      </c>
      <c r="L297" s="569" t="s">
        <v>253</v>
      </c>
      <c r="M297" s="569" t="s">
        <v>367</v>
      </c>
      <c r="N297" s="52" t="str">
        <f>IF(AND('331-CT'!$E$7=TH!H297,OR(L297="331",M297="331")),"331",IF(AND(OR(L297="131",M297="131"),H297='131-CT'!$E$7),"131",""))</f>
        <v/>
      </c>
      <c r="O297" s="90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>x</v>
      </c>
      <c r="AB297" s="821"/>
      <c r="AC297" s="560" t="str">
        <f>IF(VLOOKUP(H297,DS_131,1,0)&lt;&gt;"","","x")</f>
        <v/>
      </c>
      <c r="AD297" s="211"/>
      <c r="AE297" s="211"/>
    </row>
    <row r="298" spans="1:31" s="560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954</v>
      </c>
      <c r="E298" s="191">
        <v>41871</v>
      </c>
      <c r="F298" s="192" t="s">
        <v>647</v>
      </c>
      <c r="G298" s="468" t="s">
        <v>648</v>
      </c>
      <c r="H298" s="7" t="s">
        <v>649</v>
      </c>
      <c r="I298" s="256">
        <v>550</v>
      </c>
      <c r="J298" s="256">
        <v>4800</v>
      </c>
      <c r="K298" s="568">
        <f>ROUND(I298*J298,0)</f>
        <v>2640000</v>
      </c>
      <c r="L298" s="569" t="s">
        <v>253</v>
      </c>
      <c r="M298" s="569" t="s">
        <v>177</v>
      </c>
      <c r="N298" s="52" t="str">
        <f>IF(AND('331-CT'!$E$7=TH!H298,OR(L298="331",M298="331")),"331",IF(AND(OR(L298="131",M298="131"),H298='131-CT'!$E$7),"131",""))</f>
        <v/>
      </c>
      <c r="O298" s="90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>x</v>
      </c>
      <c r="AB298" s="821"/>
      <c r="AC298" s="211" t="str">
        <f>IF(F298=VLOOKUP(F298,NXT!$C$12:$C$305,1,0),"","x")</f>
        <v/>
      </c>
      <c r="AD298" s="211"/>
      <c r="AE298" s="211"/>
    </row>
    <row r="299" spans="1:31" s="560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954</v>
      </c>
      <c r="E299" s="191">
        <v>41871</v>
      </c>
      <c r="F299" s="192" t="s">
        <v>426</v>
      </c>
      <c r="G299" s="468" t="s">
        <v>648</v>
      </c>
      <c r="H299" s="7" t="s">
        <v>649</v>
      </c>
      <c r="I299" s="256"/>
      <c r="J299" s="256"/>
      <c r="K299" s="568">
        <v>264000</v>
      </c>
      <c r="L299" s="569" t="s">
        <v>253</v>
      </c>
      <c r="M299" s="569" t="s">
        <v>367</v>
      </c>
      <c r="N299" s="52" t="str">
        <f>IF(AND('331-CT'!$E$7=TH!H299,OR(L299="331",M299="331")),"331",IF(AND(OR(L299="131",M299="131"),H299='131-CT'!$E$7),"131",""))</f>
        <v/>
      </c>
      <c r="O299" s="90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>x</v>
      </c>
      <c r="AB299" s="821"/>
      <c r="AC299" s="560" t="str">
        <f>IF(VLOOKUP(H299,DS_131,1,0)&lt;&gt;"","","x")</f>
        <v/>
      </c>
      <c r="AD299" s="211"/>
      <c r="AE299" s="211"/>
    </row>
    <row r="300" spans="1:31" s="560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955</v>
      </c>
      <c r="E300" s="191">
        <v>41872</v>
      </c>
      <c r="F300" s="192" t="s">
        <v>489</v>
      </c>
      <c r="G300" s="468" t="s">
        <v>650</v>
      </c>
      <c r="H300" s="7" t="s">
        <v>917</v>
      </c>
      <c r="I300" s="256">
        <v>196</v>
      </c>
      <c r="J300" s="256">
        <v>12900</v>
      </c>
      <c r="K300" s="568">
        <f>ROUND(I300*J300,0)</f>
        <v>2528400</v>
      </c>
      <c r="L300" s="569" t="s">
        <v>253</v>
      </c>
      <c r="M300" s="569" t="s">
        <v>177</v>
      </c>
      <c r="N300" s="52" t="str">
        <f>IF(AND('331-CT'!$E$7=TH!H300,OR(L300="331",M300="331")),"331",IF(AND(OR(L300="131",M300="131"),H300='131-CT'!$E$7),"131",""))</f>
        <v/>
      </c>
      <c r="O300" s="90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>x</v>
      </c>
      <c r="AB300" s="821"/>
      <c r="AC300" s="211" t="str">
        <f>IF(F300=VLOOKUP(F300,NXT!$C$12:$C$305,1,0),"","x")</f>
        <v/>
      </c>
      <c r="AD300" s="211"/>
      <c r="AE300" s="211"/>
    </row>
    <row r="301" spans="1:31" s="560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955</v>
      </c>
      <c r="E301" s="191">
        <v>41872</v>
      </c>
      <c r="F301" s="192" t="s">
        <v>574</v>
      </c>
      <c r="G301" s="468" t="s">
        <v>650</v>
      </c>
      <c r="H301" s="7" t="s">
        <v>917</v>
      </c>
      <c r="I301" s="256">
        <v>200</v>
      </c>
      <c r="J301" s="256">
        <v>9800</v>
      </c>
      <c r="K301" s="568">
        <f>ROUND(I301*J301,0)</f>
        <v>1960000</v>
      </c>
      <c r="L301" s="569" t="s">
        <v>253</v>
      </c>
      <c r="M301" s="569" t="s">
        <v>177</v>
      </c>
      <c r="N301" s="52" t="str">
        <f>IF(AND('331-CT'!$E$7=TH!H301,OR(L301="331",M301="331")),"331",IF(AND(OR(L301="131",M301="131"),H301='131-CT'!$E$7),"131",""))</f>
        <v/>
      </c>
      <c r="O301" s="90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>x</v>
      </c>
      <c r="AB301" s="821"/>
      <c r="AC301" s="211" t="str">
        <f>IF(F301=VLOOKUP(F301,NXT!$C$12:$C$305,1,0),"","x")</f>
        <v/>
      </c>
      <c r="AD301" s="211"/>
      <c r="AE301" s="211"/>
    </row>
    <row r="302" spans="1:31" s="560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955</v>
      </c>
      <c r="E302" s="184">
        <v>41872</v>
      </c>
      <c r="F302" s="189" t="s">
        <v>426</v>
      </c>
      <c r="G302" s="570" t="s">
        <v>650</v>
      </c>
      <c r="H302" s="7" t="s">
        <v>917</v>
      </c>
      <c r="I302" s="256"/>
      <c r="J302" s="256"/>
      <c r="K302" s="568">
        <v>448840</v>
      </c>
      <c r="L302" s="569" t="s">
        <v>253</v>
      </c>
      <c r="M302" s="569" t="s">
        <v>367</v>
      </c>
      <c r="N302" s="52" t="str">
        <f>IF(AND('331-CT'!$E$7=TH!H302,OR(L302="331",M302="331")),"331",IF(AND(OR(L302="131",M302="131"),H302='131-CT'!$E$7),"131",""))</f>
        <v/>
      </c>
      <c r="O302" s="90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>x</v>
      </c>
      <c r="AB302" s="821"/>
      <c r="AC302" s="560" t="str">
        <f>IF(VLOOKUP(H302,DS_131,1,0)&lt;&gt;"","","x")</f>
        <v/>
      </c>
      <c r="AD302" s="211"/>
      <c r="AE302" s="211"/>
    </row>
    <row r="303" spans="1:31" s="560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956</v>
      </c>
      <c r="E303" s="184">
        <v>41873</v>
      </c>
      <c r="F303" s="189" t="s">
        <v>472</v>
      </c>
      <c r="G303" s="570" t="s">
        <v>651</v>
      </c>
      <c r="H303" s="7" t="s">
        <v>918</v>
      </c>
      <c r="I303" s="256">
        <v>1480</v>
      </c>
      <c r="J303" s="256">
        <v>4650</v>
      </c>
      <c r="K303" s="568">
        <f>ROUND(I303*J303,0)</f>
        <v>6882000</v>
      </c>
      <c r="L303" s="569" t="s">
        <v>253</v>
      </c>
      <c r="M303" s="569" t="s">
        <v>177</v>
      </c>
      <c r="N303" s="52" t="str">
        <f>IF(AND('331-CT'!$E$7=TH!H303,OR(L303="331",M303="331")),"331",IF(AND(OR(L303="131",M303="131"),H303='131-CT'!$E$7),"131",""))</f>
        <v/>
      </c>
      <c r="O303" s="90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>x</v>
      </c>
      <c r="AB303" s="821"/>
      <c r="AC303" s="211" t="str">
        <f>IF(F303=VLOOKUP(F303,NXT!$C$12:$C$305,1,0),"","x")</f>
        <v/>
      </c>
      <c r="AD303" s="211"/>
      <c r="AE303" s="211"/>
    </row>
    <row r="304" spans="1:31" s="560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956</v>
      </c>
      <c r="E304" s="184">
        <v>41873</v>
      </c>
      <c r="F304" s="189" t="s">
        <v>426</v>
      </c>
      <c r="G304" s="570" t="s">
        <v>651</v>
      </c>
      <c r="H304" s="7" t="s">
        <v>918</v>
      </c>
      <c r="I304" s="256"/>
      <c r="J304" s="256"/>
      <c r="K304" s="568">
        <v>688200</v>
      </c>
      <c r="L304" s="569" t="s">
        <v>253</v>
      </c>
      <c r="M304" s="569" t="s">
        <v>367</v>
      </c>
      <c r="N304" s="52" t="str">
        <f>IF(AND('331-CT'!$E$7=TH!H304,OR(L304="331",M304="331")),"331",IF(AND(OR(L304="131",M304="131"),H304='131-CT'!$E$7),"131",""))</f>
        <v/>
      </c>
      <c r="O304" s="90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>x</v>
      </c>
      <c r="AB304" s="821"/>
      <c r="AC304" s="560" t="str">
        <f>IF(VLOOKUP(H304,DS_131,1,0)&lt;&gt;"","","x")</f>
        <v/>
      </c>
      <c r="AD304" s="211"/>
      <c r="AE304" s="211"/>
    </row>
    <row r="305" spans="1:31" s="560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957</v>
      </c>
      <c r="E305" s="184">
        <v>41873</v>
      </c>
      <c r="F305" s="189" t="s">
        <v>652</v>
      </c>
      <c r="G305" s="570" t="s">
        <v>653</v>
      </c>
      <c r="H305" s="7" t="s">
        <v>654</v>
      </c>
      <c r="I305" s="256">
        <v>498</v>
      </c>
      <c r="J305" s="256">
        <v>26979</v>
      </c>
      <c r="K305" s="568">
        <f t="shared" ref="K305:K310" si="14">ROUND(I305*J305,0)</f>
        <v>13435542</v>
      </c>
      <c r="L305" s="569" t="s">
        <v>253</v>
      </c>
      <c r="M305" s="569" t="s">
        <v>177</v>
      </c>
      <c r="N305" s="52" t="str">
        <f>IF(AND('331-CT'!$E$7=TH!H305,OR(L305="331",M305="331")),"331",IF(AND(OR(L305="131",M305="131"),H305='131-CT'!$E$7),"131",""))</f>
        <v/>
      </c>
      <c r="O305" s="90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>x</v>
      </c>
      <c r="AB305" s="821"/>
      <c r="AC305" s="211" t="str">
        <f>IF(F305=VLOOKUP(F305,NXT!$C$12:$C$305,1,0),"","x")</f>
        <v/>
      </c>
      <c r="AD305" s="211"/>
      <c r="AE305" s="211"/>
    </row>
    <row r="306" spans="1:31" s="560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957</v>
      </c>
      <c r="E306" s="184">
        <v>41873</v>
      </c>
      <c r="F306" s="296" t="s">
        <v>655</v>
      </c>
      <c r="G306" s="468" t="s">
        <v>653</v>
      </c>
      <c r="H306" s="7" t="s">
        <v>654</v>
      </c>
      <c r="I306" s="256">
        <v>690</v>
      </c>
      <c r="J306" s="256">
        <v>26002</v>
      </c>
      <c r="K306" s="568">
        <f t="shared" si="14"/>
        <v>17941380</v>
      </c>
      <c r="L306" s="569" t="s">
        <v>253</v>
      </c>
      <c r="M306" s="569" t="s">
        <v>177</v>
      </c>
      <c r="N306" s="52" t="str">
        <f>IF(AND('331-CT'!$E$7=TH!H306,OR(L306="331",M306="331")),"331",IF(AND(OR(L306="131",M306="131"),H306='131-CT'!$E$7),"131",""))</f>
        <v/>
      </c>
      <c r="O306" s="90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>x</v>
      </c>
      <c r="AB306" s="821"/>
      <c r="AC306" s="211" t="str">
        <f>IF(F306=VLOOKUP(F306,NXT!$C$12:$C$305,1,0),"","x")</f>
        <v/>
      </c>
      <c r="AD306" s="211"/>
      <c r="AE306" s="211"/>
    </row>
    <row r="307" spans="1:31" s="560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957</v>
      </c>
      <c r="E307" s="184">
        <v>41873</v>
      </c>
      <c r="F307" s="189" t="s">
        <v>655</v>
      </c>
      <c r="G307" s="468" t="s">
        <v>653</v>
      </c>
      <c r="H307" s="7" t="s">
        <v>654</v>
      </c>
      <c r="I307" s="257">
        <v>130</v>
      </c>
      <c r="J307" s="257">
        <v>26002</v>
      </c>
      <c r="K307" s="568">
        <f t="shared" si="14"/>
        <v>3380260</v>
      </c>
      <c r="L307" s="569" t="s">
        <v>253</v>
      </c>
      <c r="M307" s="569" t="s">
        <v>177</v>
      </c>
      <c r="N307" s="52" t="str">
        <f>IF(AND('331-CT'!$E$7=TH!H307,OR(L307="331",M307="331")),"331",IF(AND(OR(L307="131",M307="131"),H307='131-CT'!$E$7),"131",""))</f>
        <v/>
      </c>
      <c r="O307" s="90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>x</v>
      </c>
      <c r="AB307" s="821"/>
      <c r="AC307" s="211" t="str">
        <f>IF(F307=VLOOKUP(F307,NXT!$C$12:$C$305,1,0),"","x")</f>
        <v/>
      </c>
      <c r="AD307" s="211"/>
      <c r="AE307" s="211"/>
    </row>
    <row r="308" spans="1:31" s="560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957</v>
      </c>
      <c r="E308" s="184">
        <v>41873</v>
      </c>
      <c r="F308" s="189" t="s">
        <v>656</v>
      </c>
      <c r="G308" s="468" t="s">
        <v>653</v>
      </c>
      <c r="H308" s="7" t="s">
        <v>654</v>
      </c>
      <c r="I308" s="256">
        <v>1000</v>
      </c>
      <c r="J308" s="256">
        <v>16133</v>
      </c>
      <c r="K308" s="568">
        <f t="shared" si="14"/>
        <v>16133000</v>
      </c>
      <c r="L308" s="569" t="s">
        <v>253</v>
      </c>
      <c r="M308" s="569" t="s">
        <v>177</v>
      </c>
      <c r="N308" s="52" t="str">
        <f>IF(AND('331-CT'!$E$7=TH!H308,OR(L308="331",M308="331")),"331",IF(AND(OR(L308="131",M308="131"),H308='131-CT'!$E$7),"131",""))</f>
        <v/>
      </c>
      <c r="O308" s="90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>x</v>
      </c>
      <c r="AB308" s="821"/>
      <c r="AC308" s="211" t="str">
        <f>IF(F308=VLOOKUP(F308,NXT!$C$12:$C$305,1,0),"","x")</f>
        <v/>
      </c>
      <c r="AD308" s="211"/>
      <c r="AE308" s="211"/>
    </row>
    <row r="309" spans="1:31" s="560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957</v>
      </c>
      <c r="E309" s="184">
        <v>41873</v>
      </c>
      <c r="F309" s="296" t="s">
        <v>657</v>
      </c>
      <c r="G309" s="468" t="s">
        <v>653</v>
      </c>
      <c r="H309" s="7" t="s">
        <v>654</v>
      </c>
      <c r="I309" s="256">
        <v>425</v>
      </c>
      <c r="J309" s="256">
        <v>26129</v>
      </c>
      <c r="K309" s="568">
        <f t="shared" si="14"/>
        <v>11104825</v>
      </c>
      <c r="L309" s="569" t="s">
        <v>253</v>
      </c>
      <c r="M309" s="569" t="s">
        <v>177</v>
      </c>
      <c r="N309" s="52" t="str">
        <f>IF(AND('331-CT'!$E$7=TH!H309,OR(L309="331",M309="331")),"331",IF(AND(OR(L309="131",M309="131"),H309='131-CT'!$E$7),"131",""))</f>
        <v/>
      </c>
      <c r="O309" s="90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>x</v>
      </c>
      <c r="AB309" s="821"/>
      <c r="AC309" s="211" t="str">
        <f>IF(F309=VLOOKUP(F309,NXT!$C$12:$C$305,1,0),"","x")</f>
        <v/>
      </c>
      <c r="AD309" s="211"/>
      <c r="AE309" s="211"/>
    </row>
    <row r="310" spans="1:31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957</v>
      </c>
      <c r="E310" s="191">
        <v>41873</v>
      </c>
      <c r="F310" s="443" t="s">
        <v>657</v>
      </c>
      <c r="G310" s="468" t="s">
        <v>653</v>
      </c>
      <c r="H310" s="7" t="s">
        <v>654</v>
      </c>
      <c r="I310" s="256">
        <v>322</v>
      </c>
      <c r="J310" s="256">
        <v>26129</v>
      </c>
      <c r="K310" s="568">
        <f t="shared" si="14"/>
        <v>8413538</v>
      </c>
      <c r="L310" s="569" t="s">
        <v>253</v>
      </c>
      <c r="M310" s="569" t="s">
        <v>177</v>
      </c>
      <c r="N310" s="52" t="str">
        <f>IF(AND('331-CT'!$E$7=TH!H310,OR(L310="331",M310="331")),"331",IF(AND(OR(L310="131",M310="131"),H310='131-CT'!$E$7),"131",""))</f>
        <v/>
      </c>
      <c r="O310" s="90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>x</v>
      </c>
      <c r="AB310" s="821"/>
      <c r="AC310" s="211" t="str">
        <f>IF(F310=VLOOKUP(F310,NXT!$C$12:$C$305,1,0),"","x")</f>
        <v/>
      </c>
    </row>
    <row r="311" spans="1:31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957</v>
      </c>
      <c r="E311" s="191">
        <v>41873</v>
      </c>
      <c r="F311" s="192" t="s">
        <v>658</v>
      </c>
      <c r="G311" s="468" t="s">
        <v>653</v>
      </c>
      <c r="H311" s="7" t="s">
        <v>654</v>
      </c>
      <c r="I311" s="256"/>
      <c r="J311" s="256"/>
      <c r="K311" s="568">
        <v>7040855</v>
      </c>
      <c r="L311" s="569" t="s">
        <v>253</v>
      </c>
      <c r="M311" s="569" t="s">
        <v>367</v>
      </c>
      <c r="N311" s="52" t="str">
        <f>IF(AND('331-CT'!$E$7=TH!H311,OR(L311="331",M311="331")),"331",IF(AND(OR(L311="131",M311="131"),H311='131-CT'!$E$7),"131",""))</f>
        <v/>
      </c>
      <c r="O311" s="90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>x</v>
      </c>
      <c r="AB311" s="821"/>
      <c r="AC311" s="560" t="str">
        <f>IF(VLOOKUP(H311,DS_131,1,0)&lt;&gt;"","","x")</f>
        <v/>
      </c>
    </row>
    <row r="312" spans="1:31" s="560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958</v>
      </c>
      <c r="E312" s="191">
        <v>41876</v>
      </c>
      <c r="F312" s="189" t="s">
        <v>1220</v>
      </c>
      <c r="G312" s="468" t="s">
        <v>659</v>
      </c>
      <c r="H312" s="7" t="s">
        <v>916</v>
      </c>
      <c r="I312" s="256">
        <v>600</v>
      </c>
      <c r="J312" s="256">
        <v>14300</v>
      </c>
      <c r="K312" s="568">
        <f>ROUND(I312*J312,0)</f>
        <v>8580000</v>
      </c>
      <c r="L312" s="569" t="s">
        <v>253</v>
      </c>
      <c r="M312" s="569" t="s">
        <v>177</v>
      </c>
      <c r="N312" s="52" t="str">
        <f>IF(AND('331-CT'!$E$7=TH!H312,OR(L312="331",M312="331")),"331",IF(AND(OR(L312="131",M312="131"),H312='131-CT'!$E$7),"131",""))</f>
        <v/>
      </c>
      <c r="O312" s="90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>x</v>
      </c>
      <c r="AB312" s="821"/>
      <c r="AC312" s="211" t="str">
        <f>IF(F312=VLOOKUP(F312,NXT!$C$12:$C$305,1,0),"","x")</f>
        <v/>
      </c>
      <c r="AD312" s="211"/>
      <c r="AE312" s="211"/>
    </row>
    <row r="313" spans="1:31" s="560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958</v>
      </c>
      <c r="E313" s="191">
        <v>41876</v>
      </c>
      <c r="F313" s="40" t="s">
        <v>451</v>
      </c>
      <c r="G313" s="468" t="s">
        <v>659</v>
      </c>
      <c r="H313" s="7" t="s">
        <v>916</v>
      </c>
      <c r="I313" s="256">
        <v>1200</v>
      </c>
      <c r="J313" s="256">
        <v>1500</v>
      </c>
      <c r="K313" s="568">
        <f>ROUND(I313*J313,0)</f>
        <v>1800000</v>
      </c>
      <c r="L313" s="569" t="s">
        <v>253</v>
      </c>
      <c r="M313" s="569" t="s">
        <v>177</v>
      </c>
      <c r="N313" s="52" t="str">
        <f>IF(AND('331-CT'!$E$7=TH!H313,OR(L313="331",M313="331")),"331",IF(AND(OR(L313="131",M313="131"),H313='131-CT'!$E$7),"131",""))</f>
        <v/>
      </c>
      <c r="O313" s="90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>x</v>
      </c>
      <c r="AB313" s="821"/>
      <c r="AC313" s="211" t="str">
        <f>IF(F313=VLOOKUP(F313,NXT!$C$12:$C$305,1,0),"","x")</f>
        <v/>
      </c>
      <c r="AD313" s="211"/>
      <c r="AE313" s="211"/>
    </row>
    <row r="314" spans="1:31" s="56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958</v>
      </c>
      <c r="E314" s="191">
        <v>41876</v>
      </c>
      <c r="F314" s="192" t="s">
        <v>426</v>
      </c>
      <c r="G314" s="468" t="s">
        <v>659</v>
      </c>
      <c r="H314" s="7" t="s">
        <v>916</v>
      </c>
      <c r="I314" s="256"/>
      <c r="J314" s="256"/>
      <c r="K314" s="568">
        <v>1038000</v>
      </c>
      <c r="L314" s="569" t="s">
        <v>253</v>
      </c>
      <c r="M314" s="569" t="s">
        <v>367</v>
      </c>
      <c r="N314" s="52" t="str">
        <f>IF(AND('331-CT'!$E$7=TH!H314,OR(L314="331",M314="331")),"331",IF(AND(OR(L314="131",M314="131"),H314='131-CT'!$E$7),"131",""))</f>
        <v/>
      </c>
      <c r="O314" s="90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>x</v>
      </c>
      <c r="AB314" s="821"/>
      <c r="AC314" s="560" t="str">
        <f>IF(VLOOKUP(H314,DS_131,1,0)&lt;&gt;"","","x")</f>
        <v/>
      </c>
      <c r="AD314" s="211"/>
      <c r="AE314" s="211"/>
    </row>
    <row r="315" spans="1:31" s="560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959</v>
      </c>
      <c r="E315" s="191">
        <v>41876</v>
      </c>
      <c r="F315" s="192" t="s">
        <v>660</v>
      </c>
      <c r="G315" s="468" t="s">
        <v>661</v>
      </c>
      <c r="H315" s="7" t="s">
        <v>662</v>
      </c>
      <c r="I315" s="256">
        <v>8160</v>
      </c>
      <c r="J315" s="256">
        <v>7400</v>
      </c>
      <c r="K315" s="568">
        <f>ROUND(I315*J315,0)</f>
        <v>60384000</v>
      </c>
      <c r="L315" s="569" t="s">
        <v>253</v>
      </c>
      <c r="M315" s="569" t="s">
        <v>177</v>
      </c>
      <c r="N315" s="52" t="str">
        <f>IF(AND('331-CT'!$E$7=TH!H315,OR(L315="331",M315="331")),"331",IF(AND(OR(L315="131",M315="131"),H315='131-CT'!$E$7),"131",""))</f>
        <v/>
      </c>
      <c r="O315" s="90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>x</v>
      </c>
      <c r="AB315" s="821"/>
      <c r="AC315" s="211" t="str">
        <f>IF(F315=VLOOKUP(F315,NXT!$C$12:$C$305,1,0),"","x")</f>
        <v/>
      </c>
      <c r="AD315" s="211"/>
      <c r="AE315" s="211"/>
    </row>
    <row r="316" spans="1:31" s="56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959</v>
      </c>
      <c r="E316" s="191">
        <v>41876</v>
      </c>
      <c r="F316" s="192" t="s">
        <v>426</v>
      </c>
      <c r="G316" s="468" t="s">
        <v>661</v>
      </c>
      <c r="H316" s="7" t="s">
        <v>662</v>
      </c>
      <c r="I316" s="256"/>
      <c r="J316" s="256"/>
      <c r="K316" s="568">
        <v>6038400</v>
      </c>
      <c r="L316" s="569" t="s">
        <v>253</v>
      </c>
      <c r="M316" s="569" t="s">
        <v>367</v>
      </c>
      <c r="N316" s="52" t="str">
        <f>IF(AND('331-CT'!$E$7=TH!H316,OR(L316="331",M316="331")),"331",IF(AND(OR(L316="131",M316="131"),H316='131-CT'!$E$7),"131",""))</f>
        <v/>
      </c>
      <c r="O316" s="90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>x</v>
      </c>
      <c r="AB316" s="821"/>
      <c r="AC316" s="560" t="str">
        <f>IF(VLOOKUP(H316,DS_131,1,0)&lt;&gt;"","","x")</f>
        <v/>
      </c>
      <c r="AD316" s="211"/>
      <c r="AE316" s="211"/>
    </row>
    <row r="317" spans="1:31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960</v>
      </c>
      <c r="E317" s="191">
        <v>41876</v>
      </c>
      <c r="F317" s="192" t="s">
        <v>663</v>
      </c>
      <c r="G317" s="468" t="s">
        <v>664</v>
      </c>
      <c r="H317" s="7" t="s">
        <v>609</v>
      </c>
      <c r="I317" s="256">
        <v>626</v>
      </c>
      <c r="J317" s="256">
        <v>14300</v>
      </c>
      <c r="K317" s="568">
        <f>ROUND(I317*J317,0)</f>
        <v>8951800</v>
      </c>
      <c r="L317" s="569" t="s">
        <v>253</v>
      </c>
      <c r="M317" s="569" t="s">
        <v>177</v>
      </c>
      <c r="N317" s="52" t="str">
        <f>IF(AND('331-CT'!$E$7=TH!H317,OR(L317="331",M317="331")),"331",IF(AND(OR(L317="131",M317="131"),H317='131-CT'!$E$7),"131",""))</f>
        <v/>
      </c>
      <c r="O317" s="90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>x</v>
      </c>
      <c r="AB317" s="821"/>
      <c r="AC317" s="211" t="str">
        <f>IF(F317=VLOOKUP(F317,NXT!$C$12:$C$305,1,0),"","x")</f>
        <v/>
      </c>
    </row>
    <row r="318" spans="1:31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960</v>
      </c>
      <c r="E318" s="191">
        <v>41876</v>
      </c>
      <c r="F318" s="192" t="s">
        <v>665</v>
      </c>
      <c r="G318" s="468" t="s">
        <v>664</v>
      </c>
      <c r="H318" s="7" t="s">
        <v>609</v>
      </c>
      <c r="I318" s="256">
        <v>160</v>
      </c>
      <c r="J318" s="256">
        <v>13100</v>
      </c>
      <c r="K318" s="568">
        <f>ROUND(I318*J318,0)</f>
        <v>2096000</v>
      </c>
      <c r="L318" s="569" t="s">
        <v>253</v>
      </c>
      <c r="M318" s="569" t="s">
        <v>177</v>
      </c>
      <c r="N318" s="52" t="str">
        <f>IF(AND('331-CT'!$E$7=TH!H318,OR(L318="331",M318="331")),"331",IF(AND(OR(L318="131",M318="131"),H318='131-CT'!$E$7),"131",""))</f>
        <v/>
      </c>
      <c r="O318" s="90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>x</v>
      </c>
      <c r="AB318" s="821"/>
      <c r="AC318" s="211" t="str">
        <f>IF(F318=VLOOKUP(F318,NXT!$C$12:$C$305,1,0),"","x")</f>
        <v/>
      </c>
    </row>
    <row r="319" spans="1:31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960</v>
      </c>
      <c r="E319" s="191">
        <v>41876</v>
      </c>
      <c r="F319" s="192" t="s">
        <v>630</v>
      </c>
      <c r="G319" s="468" t="s">
        <v>664</v>
      </c>
      <c r="H319" s="7" t="s">
        <v>609</v>
      </c>
      <c r="I319" s="256">
        <v>1900</v>
      </c>
      <c r="J319" s="256">
        <v>400</v>
      </c>
      <c r="K319" s="568">
        <f>ROUND(I319*J319,0)</f>
        <v>760000</v>
      </c>
      <c r="L319" s="569" t="s">
        <v>253</v>
      </c>
      <c r="M319" s="569" t="s">
        <v>177</v>
      </c>
      <c r="N319" s="52" t="str">
        <f>IF(AND('331-CT'!$E$7=TH!H319,OR(L319="331",M319="331")),"331",IF(AND(OR(L319="131",M319="131"),H319='131-CT'!$E$7),"131",""))</f>
        <v/>
      </c>
      <c r="O319" s="90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>x</v>
      </c>
      <c r="AB319" s="821"/>
      <c r="AC319" s="211" t="str">
        <f>IF(F319=VLOOKUP(F319,NXT!$C$12:$C$305,1,0),"","x")</f>
        <v/>
      </c>
    </row>
    <row r="320" spans="1:31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960</v>
      </c>
      <c r="E320" s="191">
        <v>41876</v>
      </c>
      <c r="F320" s="192" t="s">
        <v>426</v>
      </c>
      <c r="G320" s="468" t="s">
        <v>664</v>
      </c>
      <c r="H320" s="7" t="s">
        <v>609</v>
      </c>
      <c r="I320" s="256"/>
      <c r="J320" s="256"/>
      <c r="K320" s="568">
        <v>1180780</v>
      </c>
      <c r="L320" s="569" t="s">
        <v>253</v>
      </c>
      <c r="M320" s="569" t="s">
        <v>367</v>
      </c>
      <c r="N320" s="52" t="str">
        <f>IF(AND('331-CT'!$E$7=TH!H320,OR(L320="331",M320="331")),"331",IF(AND(OR(L320="131",M320="131"),H320='131-CT'!$E$7),"131",""))</f>
        <v/>
      </c>
      <c r="O320" s="90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821"/>
      <c r="AC320" s="560" t="str">
        <f>IF(VLOOKUP(H320,DS_131,1,0)&lt;&gt;"","","x")</f>
        <v/>
      </c>
    </row>
    <row r="321" spans="1:31" s="560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961</v>
      </c>
      <c r="E321" s="191">
        <v>41877</v>
      </c>
      <c r="F321" s="189" t="s">
        <v>607</v>
      </c>
      <c r="G321" s="468" t="s">
        <v>666</v>
      </c>
      <c r="H321" s="7" t="s">
        <v>609</v>
      </c>
      <c r="I321" s="256">
        <v>612</v>
      </c>
      <c r="J321" s="256">
        <v>13000</v>
      </c>
      <c r="K321" s="568">
        <f>ROUND(I321*J321,0)</f>
        <v>7956000</v>
      </c>
      <c r="L321" s="569" t="s">
        <v>253</v>
      </c>
      <c r="M321" s="569" t="s">
        <v>177</v>
      </c>
      <c r="N321" s="52" t="str">
        <f>IF(AND('331-CT'!$E$7=TH!H321,OR(L321="331",M321="331")),"331",IF(AND(OR(L321="131",M321="131"),H321='131-CT'!$E$7),"131",""))</f>
        <v/>
      </c>
      <c r="O321" s="90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821"/>
      <c r="AC321" s="211" t="str">
        <f>IF(F321=VLOOKUP(F321,NXT!$C$12:$C$305,1,0),"","x")</f>
        <v/>
      </c>
      <c r="AD321" s="211"/>
      <c r="AE321" s="211"/>
    </row>
    <row r="322" spans="1:31" s="560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961</v>
      </c>
      <c r="E322" s="191">
        <v>41877</v>
      </c>
      <c r="F322" s="192" t="s">
        <v>610</v>
      </c>
      <c r="G322" s="468" t="s">
        <v>666</v>
      </c>
      <c r="H322" s="7" t="s">
        <v>609</v>
      </c>
      <c r="I322" s="256">
        <v>267</v>
      </c>
      <c r="J322" s="256">
        <v>11900</v>
      </c>
      <c r="K322" s="568">
        <f>ROUND(I322*J322,0)</f>
        <v>3177300</v>
      </c>
      <c r="L322" s="569" t="s">
        <v>253</v>
      </c>
      <c r="M322" s="569" t="s">
        <v>177</v>
      </c>
      <c r="N322" s="52" t="str">
        <f>IF(AND('331-CT'!$E$7=TH!H322,OR(L322="331",M322="331")),"331",IF(AND(OR(L322="131",M322="131"),H322='131-CT'!$E$7),"131",""))</f>
        <v/>
      </c>
      <c r="O322" s="90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821"/>
      <c r="AC322" s="211" t="str">
        <f>IF(F322=VLOOKUP(F322,NXT!$C$12:$C$305,1,0),"","x")</f>
        <v/>
      </c>
      <c r="AD322" s="211"/>
      <c r="AE322" s="211"/>
    </row>
    <row r="323" spans="1:31" s="560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961</v>
      </c>
      <c r="E323" s="191">
        <v>41877</v>
      </c>
      <c r="F323" s="192" t="s">
        <v>607</v>
      </c>
      <c r="G323" s="468" t="s">
        <v>666</v>
      </c>
      <c r="H323" s="7" t="s">
        <v>609</v>
      </c>
      <c r="I323" s="256">
        <v>77</v>
      </c>
      <c r="J323" s="256">
        <v>13000</v>
      </c>
      <c r="K323" s="568">
        <f>ROUND(I323*J323,0)</f>
        <v>1001000</v>
      </c>
      <c r="L323" s="569" t="s">
        <v>253</v>
      </c>
      <c r="M323" s="569" t="s">
        <v>177</v>
      </c>
      <c r="N323" s="52" t="str">
        <f>IF(AND('331-CT'!$E$7=TH!H323,OR(L323="331",M323="331")),"331",IF(AND(OR(L323="131",M323="131"),H323='131-CT'!$E$7),"131",""))</f>
        <v/>
      </c>
      <c r="O323" s="90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821"/>
      <c r="AC323" s="211" t="str">
        <f>IF(F323=VLOOKUP(F323,NXT!$C$12:$C$305,1,0),"","x")</f>
        <v/>
      </c>
      <c r="AD323" s="211"/>
      <c r="AE323" s="211"/>
    </row>
    <row r="324" spans="1:31" s="560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961</v>
      </c>
      <c r="E324" s="191">
        <v>41877</v>
      </c>
      <c r="F324" s="192" t="s">
        <v>630</v>
      </c>
      <c r="G324" s="468" t="s">
        <v>666</v>
      </c>
      <c r="H324" s="7" t="s">
        <v>609</v>
      </c>
      <c r="I324" s="257">
        <v>2400</v>
      </c>
      <c r="J324" s="257">
        <v>400</v>
      </c>
      <c r="K324" s="568">
        <f>ROUND(I324*J324,0)</f>
        <v>960000</v>
      </c>
      <c r="L324" s="569" t="s">
        <v>253</v>
      </c>
      <c r="M324" s="569" t="s">
        <v>177</v>
      </c>
      <c r="N324" s="52" t="str">
        <f>IF(AND('331-CT'!$E$7=TH!H324,OR(L324="331",M324="331")),"331",IF(AND(OR(L324="131",M324="131"),H324='131-CT'!$E$7),"131",""))</f>
        <v/>
      </c>
      <c r="O324" s="90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821"/>
      <c r="AC324" s="211" t="str">
        <f>IF(F324=VLOOKUP(F324,NXT!$C$12:$C$305,1,0),"","x")</f>
        <v/>
      </c>
      <c r="AD324" s="211"/>
      <c r="AE324" s="211"/>
    </row>
    <row r="325" spans="1:31" s="56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961</v>
      </c>
      <c r="E325" s="191">
        <v>41877</v>
      </c>
      <c r="F325" s="192" t="s">
        <v>426</v>
      </c>
      <c r="G325" s="468" t="s">
        <v>666</v>
      </c>
      <c r="H325" s="7" t="s">
        <v>609</v>
      </c>
      <c r="I325" s="257"/>
      <c r="J325" s="257"/>
      <c r="K325" s="568">
        <v>1309430</v>
      </c>
      <c r="L325" s="569" t="s">
        <v>253</v>
      </c>
      <c r="M325" s="569" t="s">
        <v>367</v>
      </c>
      <c r="N325" s="52" t="str">
        <f>IF(AND('331-CT'!$E$7=TH!H325,OR(L325="331",M325="331")),"331",IF(AND(OR(L325="131",M325="131"),H325='131-CT'!$E$7),"131",""))</f>
        <v/>
      </c>
      <c r="O325" s="90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821"/>
      <c r="AC325" s="560" t="str">
        <f>IF(VLOOKUP(H325,DS_131,1,0)&lt;&gt;"","","x")</f>
        <v/>
      </c>
      <c r="AD325" s="211"/>
      <c r="AE325" s="211"/>
    </row>
    <row r="326" spans="1:31" s="560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962</v>
      </c>
      <c r="E326" s="191">
        <v>41878</v>
      </c>
      <c r="F326" s="192" t="s">
        <v>521</v>
      </c>
      <c r="G326" s="468" t="s">
        <v>667</v>
      </c>
      <c r="H326" s="7" t="s">
        <v>918</v>
      </c>
      <c r="I326" s="256">
        <v>981</v>
      </c>
      <c r="J326" s="256">
        <v>12000</v>
      </c>
      <c r="K326" s="568">
        <f>ROUND(I326*J326,0)</f>
        <v>11772000</v>
      </c>
      <c r="L326" s="569" t="s">
        <v>253</v>
      </c>
      <c r="M326" s="569" t="s">
        <v>177</v>
      </c>
      <c r="N326" s="52" t="str">
        <f>IF(AND('331-CT'!$E$7=TH!H326,OR(L326="331",M326="331")),"331",IF(AND(OR(L326="131",M326="131"),H326='131-CT'!$E$7),"131",""))</f>
        <v/>
      </c>
      <c r="O326" s="90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821"/>
      <c r="AC326" s="211" t="str">
        <f>IF(F326=VLOOKUP(F326,NXT!$C$12:$C$305,1,0),"","x")</f>
        <v/>
      </c>
      <c r="AD326" s="211"/>
      <c r="AE326" s="211"/>
    </row>
    <row r="327" spans="1:31" s="56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962</v>
      </c>
      <c r="E327" s="191">
        <v>41878</v>
      </c>
      <c r="F327" s="192" t="s">
        <v>426</v>
      </c>
      <c r="G327" s="468" t="s">
        <v>667</v>
      </c>
      <c r="H327" s="7" t="s">
        <v>918</v>
      </c>
      <c r="I327" s="256"/>
      <c r="J327" s="256"/>
      <c r="K327" s="568">
        <v>1177200</v>
      </c>
      <c r="L327" s="569" t="s">
        <v>253</v>
      </c>
      <c r="M327" s="569" t="s">
        <v>367</v>
      </c>
      <c r="N327" s="52" t="str">
        <f>IF(AND('331-CT'!$E$7=TH!H327,OR(L327="331",M327="331")),"331",IF(AND(OR(L327="131",M327="131"),H327='131-CT'!$E$7),"131",""))</f>
        <v/>
      </c>
      <c r="O327" s="90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821"/>
      <c r="AC327" s="560" t="str">
        <f>IF(VLOOKUP(H327,DS_131,1,0)&lt;&gt;"","","x")</f>
        <v/>
      </c>
      <c r="AD327" s="211"/>
      <c r="AE327" s="211"/>
    </row>
    <row r="328" spans="1:31" s="560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963</v>
      </c>
      <c r="E328" s="191">
        <v>41879</v>
      </c>
      <c r="F328" s="192" t="s">
        <v>1213</v>
      </c>
      <c r="G328" s="468" t="s">
        <v>668</v>
      </c>
      <c r="H328" s="7" t="s">
        <v>483</v>
      </c>
      <c r="I328" s="256">
        <v>1200</v>
      </c>
      <c r="J328" s="256">
        <v>1000</v>
      </c>
      <c r="K328" s="568">
        <f>ROUND(I328*J328,0)</f>
        <v>1200000</v>
      </c>
      <c r="L328" s="569" t="s">
        <v>253</v>
      </c>
      <c r="M328" s="569" t="s">
        <v>177</v>
      </c>
      <c r="N328" s="52" t="str">
        <f>IF(AND('331-CT'!$E$7=TH!H328,OR(L328="331",M328="331")),"331",IF(AND(OR(L328="131",M328="131"),H328='131-CT'!$E$7),"131",""))</f>
        <v/>
      </c>
      <c r="O328" s="90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821"/>
      <c r="AC328" s="211" t="str">
        <f>IF(F328=VLOOKUP(F328,NXT!$C$12:$C$305,1,0),"","x")</f>
        <v/>
      </c>
      <c r="AD328" s="211"/>
      <c r="AE328" s="211"/>
    </row>
    <row r="329" spans="1:31" s="560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963</v>
      </c>
      <c r="E329" s="191">
        <v>41879</v>
      </c>
      <c r="F329" s="192" t="s">
        <v>1214</v>
      </c>
      <c r="G329" s="468" t="s">
        <v>668</v>
      </c>
      <c r="H329" s="7" t="s">
        <v>483</v>
      </c>
      <c r="I329" s="256">
        <v>400</v>
      </c>
      <c r="J329" s="256">
        <v>3500</v>
      </c>
      <c r="K329" s="568">
        <f>ROUND(I329*J329,0)</f>
        <v>1400000</v>
      </c>
      <c r="L329" s="569" t="s">
        <v>253</v>
      </c>
      <c r="M329" s="569" t="s">
        <v>177</v>
      </c>
      <c r="N329" s="52" t="str">
        <f>IF(AND('331-CT'!$E$7=TH!H329,OR(L329="331",M329="331")),"331",IF(AND(OR(L329="131",M329="131"),H329='131-CT'!$E$7),"131",""))</f>
        <v/>
      </c>
      <c r="O329" s="90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821"/>
      <c r="AC329" s="211" t="str">
        <f>IF(F329=VLOOKUP(F329,NXT!$C$12:$C$305,1,0),"","x")</f>
        <v/>
      </c>
      <c r="AD329" s="211"/>
      <c r="AE329" s="211"/>
    </row>
    <row r="330" spans="1:31" s="560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963</v>
      </c>
      <c r="E330" s="191">
        <v>41879</v>
      </c>
      <c r="F330" s="192" t="s">
        <v>426</v>
      </c>
      <c r="G330" s="468" t="s">
        <v>668</v>
      </c>
      <c r="H330" s="7" t="s">
        <v>483</v>
      </c>
      <c r="I330" s="256"/>
      <c r="J330" s="256"/>
      <c r="K330" s="568">
        <v>260000</v>
      </c>
      <c r="L330" s="569" t="s">
        <v>253</v>
      </c>
      <c r="M330" s="569" t="s">
        <v>367</v>
      </c>
      <c r="N330" s="52" t="str">
        <f>IF(AND('331-CT'!$E$7=TH!H330,OR(L330="331",M330="331")),"331",IF(AND(OR(L330="131",M330="131"),H330='131-CT'!$E$7),"131",""))</f>
        <v/>
      </c>
      <c r="O330" s="90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821"/>
      <c r="AC330" s="560" t="str">
        <f>IF(VLOOKUP(H330,DS_131,1,0)&lt;&gt;"","","x")</f>
        <v/>
      </c>
      <c r="AD330" s="211"/>
      <c r="AE330" s="211"/>
    </row>
    <row r="331" spans="1:31" s="560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965</v>
      </c>
      <c r="E331" s="191">
        <v>41883</v>
      </c>
      <c r="F331" s="192" t="s">
        <v>672</v>
      </c>
      <c r="G331" s="468" t="s">
        <v>673</v>
      </c>
      <c r="H331" s="7" t="s">
        <v>649</v>
      </c>
      <c r="I331" s="256">
        <v>509</v>
      </c>
      <c r="J331" s="256">
        <v>6600</v>
      </c>
      <c r="K331" s="568">
        <f>ROUND(I331*J331,0)</f>
        <v>3359400</v>
      </c>
      <c r="L331" s="569" t="s">
        <v>253</v>
      </c>
      <c r="M331" s="569" t="s">
        <v>177</v>
      </c>
      <c r="N331" s="52" t="str">
        <f>IF(AND('331-CT'!$E$7=TH!H331,OR(L331="331",M331="331")),"331",IF(AND(OR(L331="131",M331="131"),H331='131-CT'!$E$7),"131",""))</f>
        <v/>
      </c>
      <c r="O331" s="90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821"/>
      <c r="AC331" s="211" t="str">
        <f>IF(F331=VLOOKUP(F331,NXT!$C$12:$C$305,1,0),"","x")</f>
        <v/>
      </c>
      <c r="AD331" s="211"/>
      <c r="AE331" s="211"/>
    </row>
    <row r="332" spans="1:31" s="560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965</v>
      </c>
      <c r="E332" s="191">
        <v>41883</v>
      </c>
      <c r="F332" s="192" t="s">
        <v>674</v>
      </c>
      <c r="G332" s="468" t="s">
        <v>673</v>
      </c>
      <c r="H332" s="7" t="s">
        <v>649</v>
      </c>
      <c r="I332" s="256">
        <v>210</v>
      </c>
      <c r="J332" s="256">
        <v>6400</v>
      </c>
      <c r="K332" s="568">
        <f>ROUND(I332*J332,0)</f>
        <v>1344000</v>
      </c>
      <c r="L332" s="569" t="s">
        <v>253</v>
      </c>
      <c r="M332" s="569" t="s">
        <v>177</v>
      </c>
      <c r="N332" s="52" t="str">
        <f>IF(AND('331-CT'!$E$7=TH!H332,OR(L332="331",M332="331")),"331",IF(AND(OR(L332="131",M332="131"),H332='131-CT'!$E$7),"131",""))</f>
        <v/>
      </c>
      <c r="O332" s="90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821"/>
      <c r="AC332" s="211" t="str">
        <f>IF(F332=VLOOKUP(F332,NXT!$C$12:$C$305,1,0),"","x")</f>
        <v/>
      </c>
      <c r="AD332" s="211"/>
      <c r="AE332" s="211"/>
    </row>
    <row r="333" spans="1:31" s="560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965</v>
      </c>
      <c r="E333" s="191">
        <v>41883</v>
      </c>
      <c r="F333" s="192" t="s">
        <v>426</v>
      </c>
      <c r="G333" s="468" t="s">
        <v>673</v>
      </c>
      <c r="H333" s="7" t="s">
        <v>649</v>
      </c>
      <c r="I333" s="257"/>
      <c r="J333" s="257"/>
      <c r="K333" s="568">
        <v>470340</v>
      </c>
      <c r="L333" s="569" t="s">
        <v>253</v>
      </c>
      <c r="M333" s="569" t="s">
        <v>367</v>
      </c>
      <c r="N333" s="52" t="str">
        <f>IF(AND('331-CT'!$E$7=TH!H333,OR(L333="331",M333="331")),"331",IF(AND(OR(L333="131",M333="131"),H333='131-CT'!$E$7),"131",""))</f>
        <v/>
      </c>
      <c r="O333" s="90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821"/>
      <c r="AC333" s="560" t="str">
        <f>IF(VLOOKUP(H333,DS_131,1,0)&lt;&gt;"","","x")</f>
        <v/>
      </c>
      <c r="AD333" s="211"/>
      <c r="AE333" s="211"/>
    </row>
    <row r="334" spans="1:31" s="560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966</v>
      </c>
      <c r="E334" s="191">
        <v>41883</v>
      </c>
      <c r="F334" s="192" t="s">
        <v>607</v>
      </c>
      <c r="G334" s="468" t="s">
        <v>675</v>
      </c>
      <c r="H334" s="7" t="s">
        <v>609</v>
      </c>
      <c r="I334" s="256">
        <v>1116</v>
      </c>
      <c r="J334" s="256">
        <v>13000</v>
      </c>
      <c r="K334" s="568">
        <f>ROUND(I334*J334,0)</f>
        <v>14508000</v>
      </c>
      <c r="L334" s="569" t="s">
        <v>253</v>
      </c>
      <c r="M334" s="569" t="s">
        <v>177</v>
      </c>
      <c r="N334" s="52" t="str">
        <f>IF(AND('331-CT'!$E$7=TH!H334,OR(L334="331",M334="331")),"331",IF(AND(OR(L334="131",M334="131"),H334='131-CT'!$E$7),"131",""))</f>
        <v/>
      </c>
      <c r="O334" s="90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821"/>
      <c r="AC334" s="211" t="str">
        <f>IF(F334=VLOOKUP(F334,NXT!$C$12:$C$305,1,0),"","x")</f>
        <v/>
      </c>
      <c r="AD334" s="211"/>
      <c r="AE334" s="211"/>
    </row>
    <row r="335" spans="1:31" s="560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966</v>
      </c>
      <c r="E335" s="191">
        <v>41883</v>
      </c>
      <c r="F335" s="192" t="s">
        <v>670</v>
      </c>
      <c r="G335" s="468" t="s">
        <v>675</v>
      </c>
      <c r="H335" s="7" t="s">
        <v>609</v>
      </c>
      <c r="I335" s="256">
        <v>1273</v>
      </c>
      <c r="J335" s="256">
        <v>10050</v>
      </c>
      <c r="K335" s="568">
        <f>ROUND(I335*J335,0)</f>
        <v>12793650</v>
      </c>
      <c r="L335" s="569" t="s">
        <v>253</v>
      </c>
      <c r="M335" s="569" t="s">
        <v>177</v>
      </c>
      <c r="N335" s="52" t="str">
        <f>IF(AND('331-CT'!$E$7=TH!H335,OR(L335="331",M335="331")),"331",IF(AND(OR(L335="131",M335="131"),H335='131-CT'!$E$7),"131",""))</f>
        <v/>
      </c>
      <c r="O335" s="90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821"/>
      <c r="AC335" s="211" t="str">
        <f>IF(F335=VLOOKUP(F335,NXT!$C$12:$C$305,1,0),"","x")</f>
        <v/>
      </c>
      <c r="AD335" s="211"/>
      <c r="AE335" s="211"/>
    </row>
    <row r="336" spans="1:31" s="56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966</v>
      </c>
      <c r="E336" s="191">
        <v>41883</v>
      </c>
      <c r="F336" s="192" t="s">
        <v>610</v>
      </c>
      <c r="G336" s="468" t="s">
        <v>675</v>
      </c>
      <c r="H336" s="7" t="s">
        <v>609</v>
      </c>
      <c r="I336" s="256">
        <v>373</v>
      </c>
      <c r="J336" s="256">
        <v>11900</v>
      </c>
      <c r="K336" s="568">
        <f>ROUND(I336*J336,0)</f>
        <v>4438700</v>
      </c>
      <c r="L336" s="569" t="s">
        <v>253</v>
      </c>
      <c r="M336" s="569" t="s">
        <v>177</v>
      </c>
      <c r="N336" s="52" t="str">
        <f>IF(AND('331-CT'!$E$7=TH!H336,OR(L336="331",M336="331")),"331",IF(AND(OR(L336="131",M336="131"),H336='131-CT'!$E$7),"131",""))</f>
        <v/>
      </c>
      <c r="O336" s="90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821"/>
      <c r="AC336" s="211" t="str">
        <f>IF(F336=VLOOKUP(F336,NXT!$C$12:$C$305,1,0),"","x")</f>
        <v/>
      </c>
      <c r="AD336" s="211"/>
      <c r="AE336" s="211"/>
    </row>
    <row r="337" spans="1:31" s="560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966</v>
      </c>
      <c r="E337" s="191">
        <v>41883</v>
      </c>
      <c r="F337" s="192" t="s">
        <v>671</v>
      </c>
      <c r="G337" s="468" t="s">
        <v>675</v>
      </c>
      <c r="H337" s="7" t="s">
        <v>609</v>
      </c>
      <c r="I337" s="256">
        <v>176</v>
      </c>
      <c r="J337" s="256">
        <v>13650</v>
      </c>
      <c r="K337" s="568">
        <f>ROUND(I337*J337,0)</f>
        <v>2402400</v>
      </c>
      <c r="L337" s="569" t="s">
        <v>253</v>
      </c>
      <c r="M337" s="569" t="s">
        <v>177</v>
      </c>
      <c r="N337" s="52" t="str">
        <f>IF(AND('331-CT'!$E$7=TH!H337,OR(L337="331",M337="331")),"331",IF(AND(OR(L337="131",M337="131"),H337='131-CT'!$E$7),"131",""))</f>
        <v/>
      </c>
      <c r="O337" s="90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821"/>
      <c r="AC337" s="211" t="str">
        <f>IF(F337=VLOOKUP(F337,NXT!$C$12:$C$305,1,0),"","x")</f>
        <v/>
      </c>
      <c r="AD337" s="211"/>
      <c r="AE337" s="211"/>
    </row>
    <row r="338" spans="1:31" s="560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966</v>
      </c>
      <c r="E338" s="191">
        <v>41883</v>
      </c>
      <c r="F338" s="192" t="s">
        <v>630</v>
      </c>
      <c r="G338" s="468" t="s">
        <v>675</v>
      </c>
      <c r="H338" s="7" t="s">
        <v>609</v>
      </c>
      <c r="I338" s="256">
        <v>4500</v>
      </c>
      <c r="J338" s="256">
        <v>400</v>
      </c>
      <c r="K338" s="568">
        <f>ROUND(I338*J338,0)</f>
        <v>1800000</v>
      </c>
      <c r="L338" s="569" t="s">
        <v>253</v>
      </c>
      <c r="M338" s="569" t="s">
        <v>177</v>
      </c>
      <c r="N338" s="52" t="str">
        <f>IF(AND('331-CT'!$E$7=TH!H338,OR(L338="331",M338="331")),"331",IF(AND(OR(L338="131",M338="131"),H338='131-CT'!$E$7),"131",""))</f>
        <v/>
      </c>
      <c r="O338" s="90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821"/>
      <c r="AC338" s="211" t="str">
        <f>IF(F338=VLOOKUP(F338,NXT!$C$12:$C$305,1,0),"","x")</f>
        <v/>
      </c>
      <c r="AD338" s="211"/>
      <c r="AE338" s="211"/>
    </row>
    <row r="339" spans="1:31" s="560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966</v>
      </c>
      <c r="E339" s="191">
        <v>41883</v>
      </c>
      <c r="F339" s="192" t="s">
        <v>426</v>
      </c>
      <c r="G339" s="468" t="s">
        <v>675</v>
      </c>
      <c r="H339" s="7" t="s">
        <v>609</v>
      </c>
      <c r="I339" s="256"/>
      <c r="J339" s="256"/>
      <c r="K339" s="568">
        <v>3594275</v>
      </c>
      <c r="L339" s="569" t="s">
        <v>253</v>
      </c>
      <c r="M339" s="569" t="s">
        <v>367</v>
      </c>
      <c r="N339" s="52" t="str">
        <f>IF(AND('331-CT'!$E$7=TH!H339,OR(L339="331",M339="331")),"331",IF(AND(OR(L339="131",M339="131"),H339='131-CT'!$E$7),"131",""))</f>
        <v/>
      </c>
      <c r="O339" s="90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821"/>
      <c r="AC339" s="560" t="str">
        <f>IF(VLOOKUP(H339,DS_131,1,0)&lt;&gt;"","","x")</f>
        <v/>
      </c>
      <c r="AD339" s="211"/>
      <c r="AE339" s="211"/>
    </row>
    <row r="340" spans="1:31" s="560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967</v>
      </c>
      <c r="E340" s="191">
        <v>41883</v>
      </c>
      <c r="F340" s="192" t="s">
        <v>676</v>
      </c>
      <c r="G340" s="468" t="s">
        <v>677</v>
      </c>
      <c r="H340" s="7" t="s">
        <v>460</v>
      </c>
      <c r="I340" s="256">
        <v>500</v>
      </c>
      <c r="J340" s="256">
        <v>7000</v>
      </c>
      <c r="K340" s="568">
        <f>ROUND(I340*J340,0)</f>
        <v>3500000</v>
      </c>
      <c r="L340" s="569" t="s">
        <v>253</v>
      </c>
      <c r="M340" s="569" t="s">
        <v>177</v>
      </c>
      <c r="N340" s="52" t="str">
        <f>IF(AND('331-CT'!$E$7=TH!H340,OR(L340="331",M340="331")),"331",IF(AND(OR(L340="131",M340="131"),H340='131-CT'!$E$7),"131",""))</f>
        <v/>
      </c>
      <c r="O340" s="90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821"/>
      <c r="AC340" s="211" t="str">
        <f>IF(F340=VLOOKUP(F340,NXT!$C$12:$C$305,1,0),"","x")</f>
        <v/>
      </c>
      <c r="AD340" s="211"/>
      <c r="AE340" s="211"/>
    </row>
    <row r="341" spans="1:31" s="560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967</v>
      </c>
      <c r="E341" s="191">
        <v>41883</v>
      </c>
      <c r="F341" s="192" t="s">
        <v>426</v>
      </c>
      <c r="G341" s="468" t="s">
        <v>677</v>
      </c>
      <c r="H341" s="7" t="s">
        <v>460</v>
      </c>
      <c r="I341" s="256"/>
      <c r="J341" s="256"/>
      <c r="K341" s="568">
        <v>350000</v>
      </c>
      <c r="L341" s="569" t="s">
        <v>253</v>
      </c>
      <c r="M341" s="569" t="s">
        <v>367</v>
      </c>
      <c r="N341" s="52" t="str">
        <f>IF(AND('331-CT'!$E$7=TH!H341,OR(L341="331",M341="331")),"331",IF(AND(OR(L341="131",M341="131"),H341='131-CT'!$E$7),"131",""))</f>
        <v/>
      </c>
      <c r="O341" s="90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821"/>
      <c r="AC341" s="560" t="str">
        <f>IF(VLOOKUP(H341,DS_131,1,0)&lt;&gt;"","","x")</f>
        <v/>
      </c>
      <c r="AD341" s="211"/>
      <c r="AE341" s="211"/>
    </row>
    <row r="342" spans="1:31" s="560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968</v>
      </c>
      <c r="E342" s="191">
        <v>41886</v>
      </c>
      <c r="F342" s="192" t="s">
        <v>678</v>
      </c>
      <c r="G342" s="468" t="s">
        <v>679</v>
      </c>
      <c r="H342" s="7" t="s">
        <v>680</v>
      </c>
      <c r="I342" s="256">
        <v>711</v>
      </c>
      <c r="J342" s="256">
        <v>9500</v>
      </c>
      <c r="K342" s="568">
        <f>ROUND(I342*J342,0)</f>
        <v>6754500</v>
      </c>
      <c r="L342" s="569" t="s">
        <v>253</v>
      </c>
      <c r="M342" s="569" t="s">
        <v>177</v>
      </c>
      <c r="N342" s="52" t="str">
        <f>IF(AND('331-CT'!$E$7=TH!H342,OR(L342="331",M342="331")),"331",IF(AND(OR(L342="131",M342="131"),H342='131-CT'!$E$7),"131",""))</f>
        <v/>
      </c>
      <c r="O342" s="90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821"/>
      <c r="AC342" s="211" t="str">
        <f>IF(F342=VLOOKUP(F342,NXT!$C$12:$C$305,1,0),"","x")</f>
        <v/>
      </c>
      <c r="AD342" s="211"/>
      <c r="AE342" s="211"/>
    </row>
    <row r="343" spans="1:31" s="560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968</v>
      </c>
      <c r="E343" s="191">
        <v>41886</v>
      </c>
      <c r="F343" s="192" t="s">
        <v>426</v>
      </c>
      <c r="G343" s="468" t="s">
        <v>679</v>
      </c>
      <c r="H343" s="7" t="s">
        <v>680</v>
      </c>
      <c r="I343" s="256"/>
      <c r="J343" s="256"/>
      <c r="K343" s="568">
        <v>675450</v>
      </c>
      <c r="L343" s="569" t="s">
        <v>253</v>
      </c>
      <c r="M343" s="569" t="s">
        <v>367</v>
      </c>
      <c r="N343" s="52" t="str">
        <f>IF(AND('331-CT'!$E$7=TH!H343,OR(L343="331",M343="331")),"331",IF(AND(OR(L343="131",M343="131"),H343='131-CT'!$E$7),"131",""))</f>
        <v/>
      </c>
      <c r="O343" s="90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821"/>
      <c r="AC343" s="560" t="str">
        <f>IF(VLOOKUP(H343,DS_131,1,0)&lt;&gt;"","","x")</f>
        <v/>
      </c>
      <c r="AD343" s="211"/>
      <c r="AE343" s="211"/>
    </row>
    <row r="344" spans="1:31" s="560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969</v>
      </c>
      <c r="E344" s="191">
        <v>41886</v>
      </c>
      <c r="F344" s="192" t="s">
        <v>489</v>
      </c>
      <c r="G344" s="468" t="s">
        <v>681</v>
      </c>
      <c r="H344" s="7" t="s">
        <v>917</v>
      </c>
      <c r="I344" s="256">
        <v>197</v>
      </c>
      <c r="J344" s="256">
        <v>12900</v>
      </c>
      <c r="K344" s="568">
        <f>ROUND(I344*J344,0)</f>
        <v>2541300</v>
      </c>
      <c r="L344" s="569" t="s">
        <v>253</v>
      </c>
      <c r="M344" s="569" t="s">
        <v>177</v>
      </c>
      <c r="N344" s="52" t="str">
        <f>IF(AND('331-CT'!$E$7=TH!H344,OR(L344="331",M344="331")),"331",IF(AND(OR(L344="131",M344="131"),H344='131-CT'!$E$7),"131",""))</f>
        <v/>
      </c>
      <c r="O344" s="90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821"/>
      <c r="AC344" s="211" t="str">
        <f>IF(F344=VLOOKUP(F344,NXT!$C$12:$C$305,1,0),"","x")</f>
        <v/>
      </c>
      <c r="AD344" s="211"/>
      <c r="AE344" s="211"/>
    </row>
    <row r="345" spans="1:31" s="560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969</v>
      </c>
      <c r="E345" s="191">
        <v>41886</v>
      </c>
      <c r="F345" s="192" t="s">
        <v>492</v>
      </c>
      <c r="G345" s="468" t="s">
        <v>681</v>
      </c>
      <c r="H345" s="7" t="s">
        <v>917</v>
      </c>
      <c r="I345" s="256">
        <v>307</v>
      </c>
      <c r="J345" s="256">
        <v>9900</v>
      </c>
      <c r="K345" s="568">
        <f>ROUND(I345*J345,0)</f>
        <v>3039300</v>
      </c>
      <c r="L345" s="569" t="s">
        <v>253</v>
      </c>
      <c r="M345" s="569" t="s">
        <v>177</v>
      </c>
      <c r="N345" s="52" t="str">
        <f>IF(AND('331-CT'!$E$7=TH!H345,OR(L345="331",M345="331")),"331",IF(AND(OR(L345="131",M345="131"),H345='131-CT'!$E$7),"131",""))</f>
        <v/>
      </c>
      <c r="O345" s="90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821"/>
      <c r="AC345" s="211" t="str">
        <f>IF(F345=VLOOKUP(F345,NXT!$C$12:$C$305,1,0),"","x")</f>
        <v/>
      </c>
      <c r="AD345" s="211"/>
      <c r="AE345" s="211"/>
    </row>
    <row r="346" spans="1:31" s="560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969</v>
      </c>
      <c r="E346" s="191">
        <v>41886</v>
      </c>
      <c r="F346" s="192" t="s">
        <v>426</v>
      </c>
      <c r="G346" s="468" t="s">
        <v>681</v>
      </c>
      <c r="H346" s="7" t="s">
        <v>917</v>
      </c>
      <c r="I346" s="256"/>
      <c r="J346" s="256"/>
      <c r="K346" s="568">
        <v>558060</v>
      </c>
      <c r="L346" s="569" t="s">
        <v>253</v>
      </c>
      <c r="M346" s="569" t="s">
        <v>367</v>
      </c>
      <c r="N346" s="52" t="str">
        <f>IF(AND('331-CT'!$E$7=TH!H346,OR(L346="331",M346="331")),"331",IF(AND(OR(L346="131",M346="131"),H346='131-CT'!$E$7),"131",""))</f>
        <v/>
      </c>
      <c r="O346" s="90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821"/>
      <c r="AC346" s="560" t="str">
        <f>IF(VLOOKUP(H346,DS_131,1,0)&lt;&gt;"","","x")</f>
        <v/>
      </c>
      <c r="AD346" s="211"/>
      <c r="AE346" s="211"/>
    </row>
    <row r="347" spans="1:31" s="560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970</v>
      </c>
      <c r="E347" s="191">
        <v>41890</v>
      </c>
      <c r="F347" s="192" t="s">
        <v>682</v>
      </c>
      <c r="G347" s="468" t="s">
        <v>683</v>
      </c>
      <c r="H347" s="7" t="s">
        <v>447</v>
      </c>
      <c r="I347" s="256">
        <v>860</v>
      </c>
      <c r="J347" s="256">
        <v>18600</v>
      </c>
      <c r="K347" s="568">
        <f>ROUND(I347*J347,0)</f>
        <v>15996000</v>
      </c>
      <c r="L347" s="569" t="s">
        <v>253</v>
      </c>
      <c r="M347" s="569" t="s">
        <v>177</v>
      </c>
      <c r="N347" s="52" t="str">
        <f>IF(AND('331-CT'!$E$7=TH!H347,OR(L347="331",M347="331")),"331",IF(AND(OR(L347="131",M347="131"),H347='131-CT'!$E$7),"131",""))</f>
        <v/>
      </c>
      <c r="O347" s="90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821"/>
      <c r="AC347" s="211" t="str">
        <f>IF(F347=VLOOKUP(F347,NXT!$C$12:$C$305,1,0),"","x")</f>
        <v/>
      </c>
      <c r="AD347" s="211"/>
      <c r="AE347" s="211"/>
    </row>
    <row r="348" spans="1:31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970</v>
      </c>
      <c r="E348" s="191">
        <v>41890</v>
      </c>
      <c r="F348" s="192" t="s">
        <v>426</v>
      </c>
      <c r="G348" s="468" t="s">
        <v>683</v>
      </c>
      <c r="H348" s="7" t="s">
        <v>447</v>
      </c>
      <c r="I348" s="256"/>
      <c r="J348" s="256"/>
      <c r="K348" s="568">
        <v>1599600</v>
      </c>
      <c r="L348" s="569" t="s">
        <v>253</v>
      </c>
      <c r="M348" s="569" t="s">
        <v>367</v>
      </c>
      <c r="N348" s="52" t="str">
        <f>IF(AND('331-CT'!$E$7=TH!H348,OR(L348="331",M348="331")),"331",IF(AND(OR(L348="131",M348="131"),H348='131-CT'!$E$7),"131",""))</f>
        <v/>
      </c>
      <c r="O348" s="90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821"/>
      <c r="AC348" s="560" t="str">
        <f>IF(VLOOKUP(H348,DS_131,1,0)&lt;&gt;"","","x")</f>
        <v/>
      </c>
    </row>
    <row r="349" spans="1:31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971</v>
      </c>
      <c r="E349" s="191">
        <v>41890</v>
      </c>
      <c r="F349" s="192" t="s">
        <v>671</v>
      </c>
      <c r="G349" s="468" t="s">
        <v>684</v>
      </c>
      <c r="H349" s="7" t="s">
        <v>609</v>
      </c>
      <c r="I349" s="256">
        <v>2153</v>
      </c>
      <c r="J349" s="256">
        <v>13650</v>
      </c>
      <c r="K349" s="568">
        <f>ROUND(I349*J349,0)</f>
        <v>29388450</v>
      </c>
      <c r="L349" s="569" t="s">
        <v>253</v>
      </c>
      <c r="M349" s="569" t="s">
        <v>177</v>
      </c>
      <c r="N349" s="52" t="str">
        <f>IF(AND('331-CT'!$E$7=TH!H349,OR(L349="331",M349="331")),"331",IF(AND(OR(L349="131",M349="131"),H349='131-CT'!$E$7),"131",""))</f>
        <v/>
      </c>
      <c r="O349" s="90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821"/>
      <c r="AC349" s="211" t="str">
        <f>IF(F349=VLOOKUP(F349,NXT!$C$12:$C$305,1,0),"","x")</f>
        <v/>
      </c>
    </row>
    <row r="350" spans="1:31" s="560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971</v>
      </c>
      <c r="E350" s="191">
        <v>41890</v>
      </c>
      <c r="F350" s="192" t="s">
        <v>630</v>
      </c>
      <c r="G350" s="468" t="s">
        <v>684</v>
      </c>
      <c r="H350" s="7" t="s">
        <v>609</v>
      </c>
      <c r="I350" s="256">
        <v>2000</v>
      </c>
      <c r="J350" s="256">
        <v>400</v>
      </c>
      <c r="K350" s="568">
        <f>ROUND(I350*J350,0)</f>
        <v>800000</v>
      </c>
      <c r="L350" s="569" t="s">
        <v>253</v>
      </c>
      <c r="M350" s="569" t="s">
        <v>177</v>
      </c>
      <c r="N350" s="52" t="str">
        <f>IF(AND('331-CT'!$E$7=TH!H350,OR(L350="331",M350="331")),"331",IF(AND(OR(L350="131",M350="131"),H350='131-CT'!$E$7),"131",""))</f>
        <v/>
      </c>
      <c r="O350" s="90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821"/>
      <c r="AC350" s="211" t="str">
        <f>IF(F350=VLOOKUP(F350,NXT!$C$12:$C$305,1,0),"","x")</f>
        <v/>
      </c>
      <c r="AD350" s="211"/>
      <c r="AE350" s="211"/>
    </row>
    <row r="351" spans="1:31" s="560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971</v>
      </c>
      <c r="E351" s="191">
        <v>41890</v>
      </c>
      <c r="F351" s="192" t="s">
        <v>426</v>
      </c>
      <c r="G351" s="468" t="s">
        <v>684</v>
      </c>
      <c r="H351" s="7" t="s">
        <v>609</v>
      </c>
      <c r="I351" s="256"/>
      <c r="J351" s="256"/>
      <c r="K351" s="568">
        <v>3018845</v>
      </c>
      <c r="L351" s="569" t="s">
        <v>253</v>
      </c>
      <c r="M351" s="569" t="s">
        <v>367</v>
      </c>
      <c r="N351" s="52" t="str">
        <f>IF(AND('331-CT'!$E$7=TH!H351,OR(L351="331",M351="331")),"331",IF(AND(OR(L351="131",M351="131"),H351='131-CT'!$E$7),"131",""))</f>
        <v/>
      </c>
      <c r="O351" s="90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821"/>
      <c r="AC351" s="560" t="str">
        <f>IF(VLOOKUP(H351,DS_131,1,0)&lt;&gt;"","","x")</f>
        <v/>
      </c>
      <c r="AD351" s="211"/>
      <c r="AE351" s="211"/>
    </row>
    <row r="352" spans="1:31" s="560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972</v>
      </c>
      <c r="E352" s="191">
        <v>41890</v>
      </c>
      <c r="F352" s="192" t="s">
        <v>1171</v>
      </c>
      <c r="G352" s="468" t="s">
        <v>685</v>
      </c>
      <c r="H352" s="7" t="s">
        <v>662</v>
      </c>
      <c r="I352" s="256">
        <v>1000</v>
      </c>
      <c r="J352" s="256">
        <v>1500</v>
      </c>
      <c r="K352" s="568">
        <f>ROUND(I352*J352,0)</f>
        <v>1500000</v>
      </c>
      <c r="L352" s="569" t="s">
        <v>253</v>
      </c>
      <c r="M352" s="569" t="s">
        <v>177</v>
      </c>
      <c r="N352" s="52" t="str">
        <f>IF(AND('331-CT'!$E$7=TH!H352,OR(L352="331",M352="331")),"331",IF(AND(OR(L352="131",M352="131"),H352='131-CT'!$E$7),"131",""))</f>
        <v/>
      </c>
      <c r="O352" s="90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821"/>
      <c r="AC352" s="211" t="str">
        <f>IF(F352=VLOOKUP(F352,NXT!$C$12:$C$305,1,0),"","x")</f>
        <v/>
      </c>
      <c r="AD352" s="211"/>
      <c r="AE352" s="211"/>
    </row>
    <row r="353" spans="1:31" s="560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972</v>
      </c>
      <c r="E353" s="191">
        <v>41890</v>
      </c>
      <c r="F353" s="192" t="s">
        <v>686</v>
      </c>
      <c r="G353" s="468" t="s">
        <v>685</v>
      </c>
      <c r="H353" s="7" t="s">
        <v>662</v>
      </c>
      <c r="I353" s="256"/>
      <c r="J353" s="256"/>
      <c r="K353" s="568">
        <v>150000</v>
      </c>
      <c r="L353" s="569" t="s">
        <v>253</v>
      </c>
      <c r="M353" s="569" t="s">
        <v>367</v>
      </c>
      <c r="N353" s="52" t="str">
        <f>IF(AND('331-CT'!$E$7=TH!H353,OR(L353="331",M353="331")),"331",IF(AND(OR(L353="131",M353="131"),H353='131-CT'!$E$7),"131",""))</f>
        <v/>
      </c>
      <c r="O353" s="90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821"/>
      <c r="AC353" s="560" t="str">
        <f>IF(VLOOKUP(H353,DS_131,1,0)&lt;&gt;"","","x")</f>
        <v/>
      </c>
      <c r="AD353" s="211"/>
      <c r="AE353" s="211"/>
    </row>
    <row r="354" spans="1:31" s="560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973</v>
      </c>
      <c r="E354" s="191">
        <v>41894</v>
      </c>
      <c r="F354" s="192" t="s">
        <v>600</v>
      </c>
      <c r="G354" s="468" t="s">
        <v>687</v>
      </c>
      <c r="H354" s="7" t="s">
        <v>478</v>
      </c>
      <c r="I354" s="256">
        <v>210</v>
      </c>
      <c r="J354" s="256">
        <v>19000</v>
      </c>
      <c r="K354" s="568">
        <f>ROUND(I354*J354,0)</f>
        <v>3990000</v>
      </c>
      <c r="L354" s="569" t="s">
        <v>253</v>
      </c>
      <c r="M354" s="569" t="s">
        <v>177</v>
      </c>
      <c r="N354" s="52" t="str">
        <f>IF(AND('331-CT'!$E$7=TH!H354,OR(L354="331",M354="331")),"331",IF(AND(OR(L354="131",M354="131"),H354='131-CT'!$E$7),"131",""))</f>
        <v/>
      </c>
      <c r="O354" s="90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821"/>
      <c r="AC354" s="211" t="str">
        <f>IF(F354=VLOOKUP(F354,NXT!$C$12:$C$305,1,0),"","x")</f>
        <v/>
      </c>
      <c r="AD354" s="211"/>
      <c r="AE354" s="211"/>
    </row>
    <row r="355" spans="1:31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973</v>
      </c>
      <c r="E355" s="191">
        <v>41894</v>
      </c>
      <c r="F355" s="192" t="s">
        <v>426</v>
      </c>
      <c r="G355" s="468" t="s">
        <v>687</v>
      </c>
      <c r="H355" s="7" t="s">
        <v>478</v>
      </c>
      <c r="I355" s="256"/>
      <c r="J355" s="256"/>
      <c r="K355" s="568">
        <v>399000</v>
      </c>
      <c r="L355" s="569" t="s">
        <v>253</v>
      </c>
      <c r="M355" s="569" t="s">
        <v>367</v>
      </c>
      <c r="N355" s="52" t="str">
        <f>IF(AND('331-CT'!$E$7=TH!H355,OR(L355="331",M355="331")),"331",IF(AND(OR(L355="131",M355="131"),H355='131-CT'!$E$7),"131",""))</f>
        <v/>
      </c>
      <c r="O355" s="90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821"/>
      <c r="AC355" s="560" t="str">
        <f>IF(VLOOKUP(H355,DS_131,1,0)&lt;&gt;"","","x")</f>
        <v/>
      </c>
    </row>
    <row r="356" spans="1:31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974</v>
      </c>
      <c r="E356" s="191">
        <v>41895</v>
      </c>
      <c r="F356" s="189" t="s">
        <v>1220</v>
      </c>
      <c r="G356" s="468" t="s">
        <v>688</v>
      </c>
      <c r="H356" s="7" t="s">
        <v>916</v>
      </c>
      <c r="I356" s="256">
        <v>200</v>
      </c>
      <c r="J356" s="256">
        <v>13900</v>
      </c>
      <c r="K356" s="568">
        <f>ROUND(I356*J356,0)</f>
        <v>2780000</v>
      </c>
      <c r="L356" s="569" t="s">
        <v>253</v>
      </c>
      <c r="M356" s="569" t="s">
        <v>177</v>
      </c>
      <c r="N356" s="52" t="str">
        <f>IF(AND('331-CT'!$E$7=TH!H356,OR(L356="331",M356="331")),"331",IF(AND(OR(L356="131",M356="131"),H356='131-CT'!$E$7),"131",""))</f>
        <v/>
      </c>
      <c r="O356" s="90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821"/>
      <c r="AC356" s="211" t="str">
        <f>IF(F356=VLOOKUP(F356,NXT!$C$12:$C$305,1,0),"","x")</f>
        <v/>
      </c>
    </row>
    <row r="357" spans="1:31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974</v>
      </c>
      <c r="E357" s="191">
        <v>41895</v>
      </c>
      <c r="F357" s="189" t="s">
        <v>1220</v>
      </c>
      <c r="G357" s="468" t="s">
        <v>688</v>
      </c>
      <c r="H357" s="7" t="s">
        <v>916</v>
      </c>
      <c r="I357" s="256">
        <v>989</v>
      </c>
      <c r="J357" s="256">
        <v>14300</v>
      </c>
      <c r="K357" s="568">
        <f>ROUND(I357*J357,0)</f>
        <v>14142700</v>
      </c>
      <c r="L357" s="569" t="s">
        <v>253</v>
      </c>
      <c r="M357" s="569" t="s">
        <v>177</v>
      </c>
      <c r="N357" s="52" t="str">
        <f>IF(AND('331-CT'!$E$7=TH!H357,OR(L357="331",M357="331")),"331",IF(AND(OR(L357="131",M357="131"),H357='131-CT'!$E$7),"131",""))</f>
        <v/>
      </c>
      <c r="O357" s="90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821"/>
      <c r="AC357" s="211" t="str">
        <f>IF(F357=VLOOKUP(F357,NXT!$C$12:$C$305,1,0),"","x")</f>
        <v/>
      </c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974</v>
      </c>
      <c r="E358" s="191">
        <v>41895</v>
      </c>
      <c r="F358" s="40" t="s">
        <v>451</v>
      </c>
      <c r="G358" s="468" t="s">
        <v>688</v>
      </c>
      <c r="H358" s="7" t="s">
        <v>916</v>
      </c>
      <c r="I358" s="256">
        <v>2400</v>
      </c>
      <c r="J358" s="256">
        <v>1500</v>
      </c>
      <c r="K358" s="568">
        <f>ROUND(I358*J358,0)</f>
        <v>3600000</v>
      </c>
      <c r="L358" s="569" t="s">
        <v>253</v>
      </c>
      <c r="M358" s="569" t="s">
        <v>177</v>
      </c>
      <c r="N358" s="52" t="str">
        <f>IF(AND('331-CT'!$E$7=TH!H358,OR(L358="331",M358="331")),"331",IF(AND(OR(L358="131",M358="131"),H358='131-CT'!$E$7),"131",""))</f>
        <v/>
      </c>
      <c r="O358" s="90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821"/>
      <c r="AC358" s="211" t="str">
        <f>IF(F358=VLOOKUP(F358,NXT!$C$12:$C$305,1,0),"","x")</f>
        <v/>
      </c>
    </row>
    <row r="359" spans="1:31" s="560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974</v>
      </c>
      <c r="E359" s="191">
        <v>41895</v>
      </c>
      <c r="F359" s="192" t="s">
        <v>426</v>
      </c>
      <c r="G359" s="468" t="s">
        <v>688</v>
      </c>
      <c r="H359" s="7" t="s">
        <v>916</v>
      </c>
      <c r="I359" s="256"/>
      <c r="J359" s="256"/>
      <c r="K359" s="568">
        <v>2052270</v>
      </c>
      <c r="L359" s="569" t="s">
        <v>253</v>
      </c>
      <c r="M359" s="569" t="s">
        <v>367</v>
      </c>
      <c r="N359" s="52" t="str">
        <f>IF(AND('331-CT'!$E$7=TH!H359,OR(L359="331",M359="331")),"331",IF(AND(OR(L359="131",M359="131"),H359='131-CT'!$E$7),"131",""))</f>
        <v/>
      </c>
      <c r="O359" s="90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821"/>
      <c r="AC359" s="560" t="str">
        <f>IF(VLOOKUP(H359,DS_131,1,0)&lt;&gt;"","","x")</f>
        <v/>
      </c>
      <c r="AD359" s="211"/>
      <c r="AE359" s="211"/>
    </row>
    <row r="360" spans="1:31" s="560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975</v>
      </c>
      <c r="E360" s="191">
        <v>41897</v>
      </c>
      <c r="F360" s="192" t="s">
        <v>442</v>
      </c>
      <c r="G360" s="468" t="s">
        <v>689</v>
      </c>
      <c r="H360" s="7" t="s">
        <v>444</v>
      </c>
      <c r="I360" s="256">
        <v>495</v>
      </c>
      <c r="J360" s="256">
        <v>10500</v>
      </c>
      <c r="K360" s="568">
        <f>ROUND(I360*J360,0)</f>
        <v>5197500</v>
      </c>
      <c r="L360" s="569" t="s">
        <v>253</v>
      </c>
      <c r="M360" s="569" t="s">
        <v>177</v>
      </c>
      <c r="N360" s="52" t="str">
        <f>IF(AND('331-CT'!$E$7=TH!H360,OR(L360="331",M360="331")),"331",IF(AND(OR(L360="131",M360="131"),H360='131-CT'!$E$7),"131",""))</f>
        <v/>
      </c>
      <c r="O360" s="90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821"/>
      <c r="AC360" s="211" t="str">
        <f>IF(F360=VLOOKUP(F360,NXT!$C$12:$C$305,1,0),"","x")</f>
        <v/>
      </c>
      <c r="AD360" s="211"/>
      <c r="AE360" s="211"/>
    </row>
    <row r="361" spans="1:31" s="560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975</v>
      </c>
      <c r="E361" s="191">
        <v>41897</v>
      </c>
      <c r="F361" s="192" t="s">
        <v>426</v>
      </c>
      <c r="G361" s="468" t="s">
        <v>689</v>
      </c>
      <c r="H361" s="7" t="s">
        <v>444</v>
      </c>
      <c r="I361" s="256"/>
      <c r="J361" s="256"/>
      <c r="K361" s="568">
        <v>519750</v>
      </c>
      <c r="L361" s="569" t="s">
        <v>253</v>
      </c>
      <c r="M361" s="569" t="s">
        <v>367</v>
      </c>
      <c r="N361" s="52" t="str">
        <f>IF(AND('331-CT'!$E$7=TH!H361,OR(L361="331",M361="331")),"331",IF(AND(OR(L361="131",M361="131"),H361='131-CT'!$E$7),"131",""))</f>
        <v/>
      </c>
      <c r="O361" s="902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821"/>
      <c r="AC361" s="560" t="str">
        <f>IF(VLOOKUP(H361,DS_131,1,0)&lt;&gt;"","","x")</f>
        <v/>
      </c>
      <c r="AD361" s="211"/>
      <c r="AE361" s="211"/>
    </row>
    <row r="362" spans="1:31" s="560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976</v>
      </c>
      <c r="E362" s="191">
        <v>41898</v>
      </c>
      <c r="F362" s="192" t="s">
        <v>690</v>
      </c>
      <c r="G362" s="468" t="s">
        <v>691</v>
      </c>
      <c r="H362" s="7" t="s">
        <v>692</v>
      </c>
      <c r="I362" s="256">
        <v>451</v>
      </c>
      <c r="J362" s="256">
        <v>34770</v>
      </c>
      <c r="K362" s="568">
        <f>ROUND(I362*J362,0)</f>
        <v>15681270</v>
      </c>
      <c r="L362" s="569" t="s">
        <v>253</v>
      </c>
      <c r="M362" s="569" t="s">
        <v>177</v>
      </c>
      <c r="N362" s="52" t="str">
        <f>IF(AND('331-CT'!$E$7=TH!H362,OR(L362="331",M362="331")),"331",IF(AND(OR(L362="131",M362="131"),H362='131-CT'!$E$7),"131",""))</f>
        <v/>
      </c>
      <c r="O362" s="90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821"/>
      <c r="AC362" s="211" t="str">
        <f>IF(F362=VLOOKUP(F362,NXT!$C$12:$C$305,1,0),"","x")</f>
        <v/>
      </c>
      <c r="AD362" s="211"/>
      <c r="AE362" s="211"/>
    </row>
    <row r="363" spans="1:31" s="560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976</v>
      </c>
      <c r="E363" s="191">
        <v>41898</v>
      </c>
      <c r="F363" s="192" t="s">
        <v>755</v>
      </c>
      <c r="G363" s="468" t="s">
        <v>691</v>
      </c>
      <c r="H363" s="7" t="s">
        <v>692</v>
      </c>
      <c r="I363" s="256">
        <v>902</v>
      </c>
      <c r="J363" s="256">
        <v>1440</v>
      </c>
      <c r="K363" s="568">
        <f>ROUND(I363*J363,0)</f>
        <v>1298880</v>
      </c>
      <c r="L363" s="569" t="s">
        <v>253</v>
      </c>
      <c r="M363" s="569" t="s">
        <v>177</v>
      </c>
      <c r="N363" s="52" t="str">
        <f>IF(AND('331-CT'!$E$7=TH!H363,OR(L363="331",M363="331")),"331",IF(AND(OR(L363="131",M363="131"),H363='131-CT'!$E$7),"131",""))</f>
        <v/>
      </c>
      <c r="O363" s="90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821"/>
      <c r="AC363" s="211" t="str">
        <f>IF(F363=VLOOKUP(F363,NXT!$C$12:$C$305,1,0),"","x")</f>
        <v/>
      </c>
      <c r="AD363" s="211"/>
      <c r="AE363" s="211"/>
    </row>
    <row r="364" spans="1:31" s="560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976</v>
      </c>
      <c r="E364" s="191">
        <v>41898</v>
      </c>
      <c r="F364" s="192" t="s">
        <v>426</v>
      </c>
      <c r="G364" s="468" t="s">
        <v>691</v>
      </c>
      <c r="H364" s="7" t="s">
        <v>692</v>
      </c>
      <c r="I364" s="256"/>
      <c r="J364" s="256"/>
      <c r="K364" s="568">
        <v>1698015</v>
      </c>
      <c r="L364" s="569" t="s">
        <v>253</v>
      </c>
      <c r="M364" s="569" t="s">
        <v>367</v>
      </c>
      <c r="N364" s="52" t="str">
        <f>IF(AND('331-CT'!$E$7=TH!H364,OR(L364="331",M364="331")),"331",IF(AND(OR(L364="131",M364="131"),H364='131-CT'!$E$7),"131",""))</f>
        <v/>
      </c>
      <c r="O364" s="90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821"/>
      <c r="AC364" s="560" t="str">
        <f>IF(VLOOKUP(H364,DS_131,1,0)&lt;&gt;"","","x")</f>
        <v/>
      </c>
      <c r="AD364" s="211"/>
      <c r="AE364" s="211"/>
    </row>
    <row r="365" spans="1:31" s="560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977</v>
      </c>
      <c r="E365" s="191">
        <v>41898</v>
      </c>
      <c r="F365" s="192" t="s">
        <v>671</v>
      </c>
      <c r="G365" s="468" t="s">
        <v>693</v>
      </c>
      <c r="H365" s="7" t="s">
        <v>609</v>
      </c>
      <c r="I365" s="256">
        <v>175</v>
      </c>
      <c r="J365" s="256">
        <v>13650</v>
      </c>
      <c r="K365" s="568">
        <f>ROUND(I365*J365,0)</f>
        <v>2388750</v>
      </c>
      <c r="L365" s="569" t="s">
        <v>253</v>
      </c>
      <c r="M365" s="569" t="s">
        <v>177</v>
      </c>
      <c r="N365" s="52" t="str">
        <f>IF(AND('331-CT'!$E$7=TH!H365,OR(L365="331",M365="331")),"331",IF(AND(OR(L365="131",M365="131"),H365='131-CT'!$E$7),"131",""))</f>
        <v/>
      </c>
      <c r="O365" s="90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821"/>
      <c r="AC365" s="211" t="str">
        <f>IF(F365=VLOOKUP(F365,NXT!$C$12:$C$305,1,0),"","x")</f>
        <v/>
      </c>
      <c r="AD365" s="211"/>
      <c r="AE365" s="211"/>
    </row>
    <row r="366" spans="1:31" s="560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977</v>
      </c>
      <c r="E366" s="191">
        <v>41898</v>
      </c>
      <c r="F366" s="192" t="s">
        <v>671</v>
      </c>
      <c r="G366" s="468" t="s">
        <v>693</v>
      </c>
      <c r="H366" s="7" t="s">
        <v>609</v>
      </c>
      <c r="I366" s="256">
        <v>1686</v>
      </c>
      <c r="J366" s="256">
        <v>13650</v>
      </c>
      <c r="K366" s="568">
        <f>ROUND(I366*J366,0)</f>
        <v>23013900</v>
      </c>
      <c r="L366" s="569" t="s">
        <v>253</v>
      </c>
      <c r="M366" s="569" t="s">
        <v>177</v>
      </c>
      <c r="N366" s="52" t="str">
        <f>IF(AND('331-CT'!$E$7=TH!H366,OR(L366="331",M366="331")),"331",IF(AND(OR(L366="131",M366="131"),H366='131-CT'!$E$7),"131",""))</f>
        <v/>
      </c>
      <c r="O366" s="90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821"/>
      <c r="AC366" s="211" t="str">
        <f>IF(F366=VLOOKUP(F366,NXT!$C$12:$C$305,1,0),"","x")</f>
        <v/>
      </c>
      <c r="AD366" s="211"/>
      <c r="AE366" s="211"/>
    </row>
    <row r="367" spans="1:31" s="560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977</v>
      </c>
      <c r="E367" s="191">
        <v>41898</v>
      </c>
      <c r="F367" s="192" t="s">
        <v>670</v>
      </c>
      <c r="G367" s="468" t="s">
        <v>693</v>
      </c>
      <c r="H367" s="7" t="s">
        <v>609</v>
      </c>
      <c r="I367" s="256">
        <v>827</v>
      </c>
      <c r="J367" s="256">
        <v>10050</v>
      </c>
      <c r="K367" s="568">
        <f>ROUND(I367*J367,0)</f>
        <v>8311350</v>
      </c>
      <c r="L367" s="569" t="s">
        <v>253</v>
      </c>
      <c r="M367" s="569" t="s">
        <v>177</v>
      </c>
      <c r="N367" s="52" t="str">
        <f>IF(AND('331-CT'!$E$7=TH!H367,OR(L367="331",M367="331")),"331",IF(AND(OR(L367="131",M367="131"),H367='131-CT'!$E$7),"131",""))</f>
        <v/>
      </c>
      <c r="O367" s="902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821"/>
      <c r="AC367" s="211" t="str">
        <f>IF(F367=VLOOKUP(F367,NXT!$C$12:$C$305,1,0),"","x")</f>
        <v/>
      </c>
      <c r="AD367" s="211"/>
      <c r="AE367" s="211"/>
    </row>
    <row r="368" spans="1:31" s="560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977</v>
      </c>
      <c r="E368" s="191">
        <v>41898</v>
      </c>
      <c r="F368" s="192" t="s">
        <v>670</v>
      </c>
      <c r="G368" s="468" t="s">
        <v>693</v>
      </c>
      <c r="H368" s="7" t="s">
        <v>609</v>
      </c>
      <c r="I368" s="256">
        <v>1700</v>
      </c>
      <c r="J368" s="256">
        <v>10050</v>
      </c>
      <c r="K368" s="568">
        <f>ROUND(I368*J368,0)</f>
        <v>17085000</v>
      </c>
      <c r="L368" s="569" t="s">
        <v>253</v>
      </c>
      <c r="M368" s="569" t="s">
        <v>177</v>
      </c>
      <c r="N368" s="52" t="str">
        <f>IF(AND('331-CT'!$E$7=TH!H368,OR(L368="331",M368="331")),"331",IF(AND(OR(L368="131",M368="131"),H368='131-CT'!$E$7),"131",""))</f>
        <v/>
      </c>
      <c r="O368" s="90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821"/>
      <c r="AC368" s="211" t="str">
        <f>IF(F368=VLOOKUP(F368,NXT!$C$12:$C$305,1,0),"","x")</f>
        <v/>
      </c>
      <c r="AD368" s="211"/>
      <c r="AE368" s="211"/>
    </row>
    <row r="369" spans="1:31" s="560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977</v>
      </c>
      <c r="E369" s="191">
        <v>41898</v>
      </c>
      <c r="F369" s="192" t="s">
        <v>630</v>
      </c>
      <c r="G369" s="468" t="s">
        <v>693</v>
      </c>
      <c r="H369" s="7" t="s">
        <v>609</v>
      </c>
      <c r="I369" s="256">
        <v>10500</v>
      </c>
      <c r="J369" s="256">
        <v>400</v>
      </c>
      <c r="K369" s="568">
        <f>ROUND(I369*J369,0)</f>
        <v>4200000</v>
      </c>
      <c r="L369" s="569" t="s">
        <v>253</v>
      </c>
      <c r="M369" s="569" t="s">
        <v>177</v>
      </c>
      <c r="N369" s="52" t="str">
        <f>IF(AND('331-CT'!$E$7=TH!H369,OR(L369="331",M369="331")),"331",IF(AND(OR(L369="131",M369="131"),H369='131-CT'!$E$7),"131",""))</f>
        <v/>
      </c>
      <c r="O369" s="90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821"/>
      <c r="AC369" s="211" t="str">
        <f>IF(F369=VLOOKUP(F369,NXT!$C$12:$C$305,1,0),"","x")</f>
        <v/>
      </c>
      <c r="AD369" s="211"/>
      <c r="AE369" s="211"/>
    </row>
    <row r="370" spans="1:31" s="560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977</v>
      </c>
      <c r="E370" s="191">
        <v>41898</v>
      </c>
      <c r="F370" s="192" t="s">
        <v>426</v>
      </c>
      <c r="G370" s="468" t="s">
        <v>693</v>
      </c>
      <c r="H370" s="7" t="s">
        <v>609</v>
      </c>
      <c r="I370" s="256"/>
      <c r="J370" s="256"/>
      <c r="K370" s="568">
        <v>5499900</v>
      </c>
      <c r="L370" s="569" t="s">
        <v>253</v>
      </c>
      <c r="M370" s="569" t="s">
        <v>367</v>
      </c>
      <c r="N370" s="52" t="str">
        <f>IF(AND('331-CT'!$E$7=TH!H370,OR(L370="331",M370="331")),"331",IF(AND(OR(L370="131",M370="131"),H370='131-CT'!$E$7),"131",""))</f>
        <v/>
      </c>
      <c r="O370" s="90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821"/>
      <c r="AC370" s="560" t="str">
        <f>IF(VLOOKUP(H370,DS_131,1,0)&lt;&gt;"","","x")</f>
        <v/>
      </c>
      <c r="AD370" s="211"/>
      <c r="AE370" s="211"/>
    </row>
    <row r="371" spans="1:31" s="560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978</v>
      </c>
      <c r="E371" s="191">
        <v>41899</v>
      </c>
      <c r="F371" s="192" t="s">
        <v>694</v>
      </c>
      <c r="G371" s="468" t="s">
        <v>695</v>
      </c>
      <c r="H371" s="7" t="s">
        <v>696</v>
      </c>
      <c r="I371" s="256">
        <v>833</v>
      </c>
      <c r="J371" s="256">
        <v>30000</v>
      </c>
      <c r="K371" s="568">
        <f>ROUND(I371*J371,0)</f>
        <v>24990000</v>
      </c>
      <c r="L371" s="569" t="s">
        <v>253</v>
      </c>
      <c r="M371" s="569" t="s">
        <v>177</v>
      </c>
      <c r="N371" s="52" t="str">
        <f>IF(AND('331-CT'!$E$7=TH!H371,OR(L371="331",M371="331")),"331",IF(AND(OR(L371="131",M371="131"),H371='131-CT'!$E$7),"131",""))</f>
        <v/>
      </c>
      <c r="O371" s="90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821"/>
      <c r="AC371" s="211" t="str">
        <f>IF(F371=VLOOKUP(F371,NXT!$C$12:$C$305,1,0),"","x")</f>
        <v/>
      </c>
      <c r="AD371" s="211"/>
      <c r="AE371" s="211"/>
    </row>
    <row r="372" spans="1:31" s="560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978</v>
      </c>
      <c r="E372" s="191">
        <v>41899</v>
      </c>
      <c r="F372" s="192" t="s">
        <v>426</v>
      </c>
      <c r="G372" s="468" t="s">
        <v>695</v>
      </c>
      <c r="H372" s="7" t="s">
        <v>696</v>
      </c>
      <c r="I372" s="256"/>
      <c r="J372" s="256"/>
      <c r="K372" s="568">
        <v>2499000</v>
      </c>
      <c r="L372" s="569" t="s">
        <v>253</v>
      </c>
      <c r="M372" s="569" t="s">
        <v>367</v>
      </c>
      <c r="N372" s="52" t="str">
        <f>IF(AND('331-CT'!$E$7=TH!H372,OR(L372="331",M372="331")),"331",IF(AND(OR(L372="131",M372="131"),H372='131-CT'!$E$7),"131",""))</f>
        <v/>
      </c>
      <c r="O372" s="90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821"/>
      <c r="AC372" s="560" t="str">
        <f>IF(VLOOKUP(H372,DS_131,1,0)&lt;&gt;"","","x")</f>
        <v/>
      </c>
      <c r="AD372" s="211"/>
      <c r="AE372" s="211"/>
    </row>
    <row r="373" spans="1:31" s="560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979</v>
      </c>
      <c r="E373" s="191">
        <v>41900</v>
      </c>
      <c r="F373" s="192" t="s">
        <v>493</v>
      </c>
      <c r="G373" s="468" t="s">
        <v>697</v>
      </c>
      <c r="H373" s="7" t="s">
        <v>917</v>
      </c>
      <c r="I373" s="256">
        <v>195</v>
      </c>
      <c r="J373" s="256">
        <v>6400</v>
      </c>
      <c r="K373" s="568">
        <f>ROUND(I373*J373,0)</f>
        <v>1248000</v>
      </c>
      <c r="L373" s="569" t="s">
        <v>253</v>
      </c>
      <c r="M373" s="569" t="s">
        <v>177</v>
      </c>
      <c r="N373" s="52" t="str">
        <f>IF(AND('331-CT'!$E$7=TH!H373,OR(L373="331",M373="331")),"331",IF(AND(OR(L373="131",M373="131"),H373='131-CT'!$E$7),"131",""))</f>
        <v/>
      </c>
      <c r="O373" s="90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821"/>
      <c r="AC373" s="211" t="str">
        <f>IF(F373=VLOOKUP(F373,NXT!$C$12:$C$305,1,0),"","x")</f>
        <v/>
      </c>
      <c r="AD373" s="211"/>
      <c r="AE373" s="211"/>
    </row>
    <row r="374" spans="1:31" s="560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979</v>
      </c>
      <c r="E374" s="191">
        <v>41900</v>
      </c>
      <c r="F374" s="192" t="s">
        <v>500</v>
      </c>
      <c r="G374" s="468" t="s">
        <v>697</v>
      </c>
      <c r="H374" s="7" t="s">
        <v>917</v>
      </c>
      <c r="I374" s="256">
        <v>300</v>
      </c>
      <c r="J374" s="256">
        <v>8600</v>
      </c>
      <c r="K374" s="568">
        <f>ROUND(I374*J374,0)</f>
        <v>2580000</v>
      </c>
      <c r="L374" s="569" t="s">
        <v>253</v>
      </c>
      <c r="M374" s="569" t="s">
        <v>177</v>
      </c>
      <c r="N374" s="52" t="str">
        <f>IF(AND('331-CT'!$E$7=TH!H374,OR(L374="331",M374="331")),"331",IF(AND(OR(L374="131",M374="131"),H374='131-CT'!$E$7),"131",""))</f>
        <v/>
      </c>
      <c r="O374" s="90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821"/>
      <c r="AC374" s="211" t="str">
        <f>IF(F374=VLOOKUP(F374,NXT!$C$12:$C$305,1,0),"","x")</f>
        <v/>
      </c>
      <c r="AD374" s="211"/>
      <c r="AE374" s="211"/>
    </row>
    <row r="375" spans="1:31" s="56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979</v>
      </c>
      <c r="E375" s="191">
        <v>41900</v>
      </c>
      <c r="F375" s="192" t="s">
        <v>426</v>
      </c>
      <c r="G375" s="468" t="s">
        <v>697</v>
      </c>
      <c r="H375" s="7" t="s">
        <v>917</v>
      </c>
      <c r="I375" s="256"/>
      <c r="J375" s="256"/>
      <c r="K375" s="568">
        <v>382800</v>
      </c>
      <c r="L375" s="569" t="s">
        <v>253</v>
      </c>
      <c r="M375" s="569" t="s">
        <v>367</v>
      </c>
      <c r="N375" s="52" t="str">
        <f>IF(AND('331-CT'!$E$7=TH!H375,OR(L375="331",M375="331")),"331",IF(AND(OR(L375="131",M375="131"),H375='131-CT'!$E$7),"131",""))</f>
        <v/>
      </c>
      <c r="O375" s="90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821"/>
      <c r="AC375" s="560" t="str">
        <f>IF(VLOOKUP(H375,DS_131,1,0)&lt;&gt;"","","x")</f>
        <v/>
      </c>
      <c r="AD375" s="211"/>
      <c r="AE375" s="211"/>
    </row>
    <row r="376" spans="1:31" s="560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980</v>
      </c>
      <c r="E376" s="191">
        <v>41904</v>
      </c>
      <c r="F376" s="192" t="s">
        <v>698</v>
      </c>
      <c r="G376" s="468" t="s">
        <v>699</v>
      </c>
      <c r="H376" s="7" t="s">
        <v>649</v>
      </c>
      <c r="I376" s="256">
        <v>314</v>
      </c>
      <c r="J376" s="256">
        <v>6300</v>
      </c>
      <c r="K376" s="568">
        <f>ROUND(I376*J376,0)</f>
        <v>1978200</v>
      </c>
      <c r="L376" s="569" t="s">
        <v>253</v>
      </c>
      <c r="M376" s="569" t="s">
        <v>177</v>
      </c>
      <c r="N376" s="52" t="str">
        <f>IF(AND('331-CT'!$E$7=TH!H376,OR(L376="331",M376="331")),"331",IF(AND(OR(L376="131",M376="131"),H376='131-CT'!$E$7),"131",""))</f>
        <v/>
      </c>
      <c r="O376" s="90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821"/>
      <c r="AC376" s="211" t="str">
        <f>IF(F376=VLOOKUP(F376,NXT!$C$12:$C$305,1,0),"","x")</f>
        <v/>
      </c>
      <c r="AD376" s="211"/>
      <c r="AE376" s="211"/>
    </row>
    <row r="377" spans="1:31" s="560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980</v>
      </c>
      <c r="E377" s="191">
        <v>41904</v>
      </c>
      <c r="F377" s="192" t="s">
        <v>700</v>
      </c>
      <c r="G377" s="468" t="s">
        <v>699</v>
      </c>
      <c r="H377" s="7" t="s">
        <v>649</v>
      </c>
      <c r="I377" s="256">
        <v>103</v>
      </c>
      <c r="J377" s="256">
        <v>5700</v>
      </c>
      <c r="K377" s="568">
        <f>ROUND(I377*J377,0)</f>
        <v>587100</v>
      </c>
      <c r="L377" s="569" t="s">
        <v>253</v>
      </c>
      <c r="M377" s="569" t="s">
        <v>177</v>
      </c>
      <c r="N377" s="52" t="str">
        <f>IF(AND('331-CT'!$E$7=TH!H377,OR(L377="331",M377="331")),"331",IF(AND(OR(L377="131",M377="131"),H377='131-CT'!$E$7),"131",""))</f>
        <v/>
      </c>
      <c r="O377" s="90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821"/>
      <c r="AC377" s="211" t="str">
        <f>IF(F377=VLOOKUP(F377,NXT!$C$12:$C$305,1,0),"","x")</f>
        <v/>
      </c>
      <c r="AD377" s="211"/>
      <c r="AE377" s="211"/>
    </row>
    <row r="378" spans="1:31" s="56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980</v>
      </c>
      <c r="E378" s="191">
        <v>41904</v>
      </c>
      <c r="F378" s="192" t="s">
        <v>701</v>
      </c>
      <c r="G378" s="468" t="s">
        <v>699</v>
      </c>
      <c r="H378" s="7" t="s">
        <v>649</v>
      </c>
      <c r="I378" s="256">
        <v>497</v>
      </c>
      <c r="J378" s="256">
        <v>5000</v>
      </c>
      <c r="K378" s="568">
        <f>ROUND(I378*J378,0)</f>
        <v>2485000</v>
      </c>
      <c r="L378" s="569" t="s">
        <v>253</v>
      </c>
      <c r="M378" s="569" t="s">
        <v>177</v>
      </c>
      <c r="N378" s="52" t="str">
        <f>IF(AND('331-CT'!$E$7=TH!H378,OR(L378="331",M378="331")),"331",IF(AND(OR(L378="131",M378="131"),H378='131-CT'!$E$7),"131",""))</f>
        <v/>
      </c>
      <c r="O378" s="902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821"/>
      <c r="AC378" s="211" t="str">
        <f>IF(F378=VLOOKUP(F378,NXT!$C$12:$C$305,1,0),"","x")</f>
        <v/>
      </c>
      <c r="AD378" s="211"/>
      <c r="AE378" s="211"/>
    </row>
    <row r="379" spans="1:31" s="56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980</v>
      </c>
      <c r="E379" s="191">
        <v>41904</v>
      </c>
      <c r="F379" s="192" t="s">
        <v>702</v>
      </c>
      <c r="G379" s="468" t="s">
        <v>699</v>
      </c>
      <c r="H379" s="7" t="s">
        <v>649</v>
      </c>
      <c r="I379" s="256">
        <v>300</v>
      </c>
      <c r="J379" s="256">
        <v>4500</v>
      </c>
      <c r="K379" s="568">
        <f>ROUND(I379*J379,0)</f>
        <v>1350000</v>
      </c>
      <c r="L379" s="569" t="s">
        <v>253</v>
      </c>
      <c r="M379" s="569" t="s">
        <v>177</v>
      </c>
      <c r="N379" s="52" t="str">
        <f>IF(AND('331-CT'!$E$7=TH!H379,OR(L379="331",M379="331")),"331",IF(AND(OR(L379="131",M379="131"),H379='131-CT'!$E$7),"131",""))</f>
        <v/>
      </c>
      <c r="O379" s="90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821"/>
      <c r="AC379" s="211" t="str">
        <f>IF(F379=VLOOKUP(F379,NXT!$C$12:$C$305,1,0),"","x")</f>
        <v/>
      </c>
      <c r="AD379" s="211"/>
      <c r="AE379" s="211"/>
    </row>
    <row r="380" spans="1:31" s="56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980</v>
      </c>
      <c r="E380" s="191">
        <v>41904</v>
      </c>
      <c r="F380" s="192" t="s">
        <v>426</v>
      </c>
      <c r="G380" s="468" t="s">
        <v>699</v>
      </c>
      <c r="H380" s="7" t="s">
        <v>649</v>
      </c>
      <c r="I380" s="257"/>
      <c r="J380" s="257"/>
      <c r="K380" s="568">
        <v>640030</v>
      </c>
      <c r="L380" s="569" t="s">
        <v>253</v>
      </c>
      <c r="M380" s="569" t="s">
        <v>367</v>
      </c>
      <c r="N380" s="52" t="str">
        <f>IF(AND('331-CT'!$E$7=TH!H380,OR(L380="331",M380="331")),"331",IF(AND(OR(L380="131",M380="131"),H380='131-CT'!$E$7),"131",""))</f>
        <v/>
      </c>
      <c r="O380" s="90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821"/>
      <c r="AC380" s="560" t="str">
        <f>IF(VLOOKUP(H380,DS_131,1,0)&lt;&gt;"","","x")</f>
        <v/>
      </c>
      <c r="AD380" s="211"/>
      <c r="AE380" s="211"/>
    </row>
    <row r="381" spans="1:31" s="560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981</v>
      </c>
      <c r="E381" s="191">
        <v>41905</v>
      </c>
      <c r="F381" s="192" t="s">
        <v>703</v>
      </c>
      <c r="G381" s="468" t="s">
        <v>704</v>
      </c>
      <c r="H381" s="7" t="s">
        <v>692</v>
      </c>
      <c r="I381" s="256">
        <v>184</v>
      </c>
      <c r="J381" s="256">
        <v>32800</v>
      </c>
      <c r="K381" s="568">
        <f>ROUND(I381*J381,0)</f>
        <v>6035200</v>
      </c>
      <c r="L381" s="569" t="s">
        <v>253</v>
      </c>
      <c r="M381" s="569" t="s">
        <v>177</v>
      </c>
      <c r="N381" s="52" t="str">
        <f>IF(AND('331-CT'!$E$7=TH!H381,OR(L381="331",M381="331")),"331",IF(AND(OR(L381="131",M381="131"),H381='131-CT'!$E$7),"131",""))</f>
        <v/>
      </c>
      <c r="O381" s="902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821"/>
      <c r="AC381" s="211" t="str">
        <f>IF(F381=VLOOKUP(F381,NXT!$C$12:$C$305,1,0),"","x")</f>
        <v/>
      </c>
      <c r="AD381" s="211"/>
      <c r="AE381" s="211"/>
    </row>
    <row r="382" spans="1:31" s="560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981</v>
      </c>
      <c r="E382" s="191">
        <v>41905</v>
      </c>
      <c r="F382" s="192" t="s">
        <v>755</v>
      </c>
      <c r="G382" s="468" t="s">
        <v>704</v>
      </c>
      <c r="H382" s="7" t="s">
        <v>692</v>
      </c>
      <c r="I382" s="256">
        <v>368</v>
      </c>
      <c r="J382" s="256">
        <v>1440</v>
      </c>
      <c r="K382" s="568">
        <f>ROUND(I382*J382,0)</f>
        <v>529920</v>
      </c>
      <c r="L382" s="569" t="s">
        <v>253</v>
      </c>
      <c r="M382" s="569" t="s">
        <v>177</v>
      </c>
      <c r="N382" s="52" t="str">
        <f>IF(AND('331-CT'!$E$7=TH!H382,OR(L382="331",M382="331")),"331",IF(AND(OR(L382="131",M382="131"),H382='131-CT'!$E$7),"131",""))</f>
        <v/>
      </c>
      <c r="O382" s="90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821"/>
      <c r="AC382" s="211" t="str">
        <f>IF(F382=VLOOKUP(F382,NXT!$C$12:$C$305,1,0),"","x")</f>
        <v/>
      </c>
      <c r="AD382" s="211"/>
      <c r="AE382" s="211"/>
    </row>
    <row r="383" spans="1:31" s="56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981</v>
      </c>
      <c r="E383" s="191">
        <v>41905</v>
      </c>
      <c r="F383" s="192" t="s">
        <v>426</v>
      </c>
      <c r="G383" s="468" t="s">
        <v>704</v>
      </c>
      <c r="H383" s="7" t="s">
        <v>692</v>
      </c>
      <c r="I383" s="257"/>
      <c r="J383" s="257"/>
      <c r="K383" s="568">
        <v>656512</v>
      </c>
      <c r="L383" s="569" t="s">
        <v>253</v>
      </c>
      <c r="M383" s="569" t="s">
        <v>367</v>
      </c>
      <c r="N383" s="52" t="str">
        <f>IF(AND('331-CT'!$E$7=TH!H383,OR(L383="331",M383="331")),"331",IF(AND(OR(L383="131",M383="131"),H383='131-CT'!$E$7),"131",""))</f>
        <v/>
      </c>
      <c r="O383" s="90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821"/>
      <c r="AC383" s="560" t="str">
        <f>IF(VLOOKUP(H383,DS_131,1,0)&lt;&gt;"","","x")</f>
        <v/>
      </c>
      <c r="AD383" s="211"/>
      <c r="AE383" s="211"/>
    </row>
    <row r="384" spans="1:31" s="560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982</v>
      </c>
      <c r="E384" s="191">
        <v>41905</v>
      </c>
      <c r="F384" s="192" t="s">
        <v>690</v>
      </c>
      <c r="G384" s="468" t="s">
        <v>705</v>
      </c>
      <c r="H384" s="7" t="s">
        <v>692</v>
      </c>
      <c r="I384" s="256">
        <v>13</v>
      </c>
      <c r="J384" s="256">
        <v>34770</v>
      </c>
      <c r="K384" s="568">
        <f>ROUND(I384*J384,0)</f>
        <v>452010</v>
      </c>
      <c r="L384" s="569" t="s">
        <v>253</v>
      </c>
      <c r="M384" s="569" t="s">
        <v>177</v>
      </c>
      <c r="N384" s="52" t="str">
        <f>IF(AND('331-CT'!$E$7=TH!H384,OR(L384="331",M384="331")),"331",IF(AND(OR(L384="131",M384="131"),H384='131-CT'!$E$7),"131",""))</f>
        <v/>
      </c>
      <c r="O384" s="902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821"/>
      <c r="AC384" s="211" t="str">
        <f>IF(F384=VLOOKUP(F384,NXT!$C$12:$C$305,1,0),"","x")</f>
        <v/>
      </c>
      <c r="AD384" s="211"/>
      <c r="AE384" s="211"/>
    </row>
    <row r="385" spans="1:31" s="56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982</v>
      </c>
      <c r="E385" s="191">
        <v>41905</v>
      </c>
      <c r="F385" s="192" t="s">
        <v>426</v>
      </c>
      <c r="G385" s="468" t="s">
        <v>705</v>
      </c>
      <c r="H385" s="7" t="s">
        <v>692</v>
      </c>
      <c r="I385" s="256"/>
      <c r="J385" s="256"/>
      <c r="K385" s="568">
        <v>45201</v>
      </c>
      <c r="L385" s="569" t="s">
        <v>253</v>
      </c>
      <c r="M385" s="569" t="s">
        <v>367</v>
      </c>
      <c r="N385" s="52" t="str">
        <f>IF(AND('331-CT'!$E$7=TH!H385,OR(L385="331",M385="331")),"331",IF(AND(OR(L385="131",M385="131"),H385='131-CT'!$E$7),"131",""))</f>
        <v/>
      </c>
      <c r="O385" s="902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821"/>
      <c r="AC385" s="560" t="str">
        <f>IF(VLOOKUP(H385,DS_131,1,0)&lt;&gt;"","","x")</f>
        <v/>
      </c>
      <c r="AD385" s="211"/>
      <c r="AE385" s="211"/>
    </row>
    <row r="386" spans="1:31" s="56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983</v>
      </c>
      <c r="E386" s="191">
        <v>41907</v>
      </c>
      <c r="F386" s="192" t="s">
        <v>521</v>
      </c>
      <c r="G386" s="468" t="s">
        <v>706</v>
      </c>
      <c r="H386" s="7" t="s">
        <v>918</v>
      </c>
      <c r="I386" s="256">
        <v>994</v>
      </c>
      <c r="J386" s="256">
        <v>12000</v>
      </c>
      <c r="K386" s="568">
        <f>ROUND(I386*J386,0)</f>
        <v>11928000</v>
      </c>
      <c r="L386" s="569" t="s">
        <v>253</v>
      </c>
      <c r="M386" s="569" t="s">
        <v>177</v>
      </c>
      <c r="N386" s="52" t="str">
        <f>IF(AND('331-CT'!$E$7=TH!H386,OR(L386="331",M386="331")),"331",IF(AND(OR(L386="131",M386="131"),H386='131-CT'!$E$7),"131",""))</f>
        <v/>
      </c>
      <c r="O386" s="90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821"/>
      <c r="AC386" s="211" t="str">
        <f>IF(F386=VLOOKUP(F386,NXT!$C$12:$C$305,1,0),"","x")</f>
        <v/>
      </c>
      <c r="AD386" s="211"/>
      <c r="AE386" s="211"/>
    </row>
    <row r="387" spans="1:31" s="56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983</v>
      </c>
      <c r="E387" s="191">
        <v>41907</v>
      </c>
      <c r="F387" s="192" t="s">
        <v>426</v>
      </c>
      <c r="G387" s="468" t="s">
        <v>706</v>
      </c>
      <c r="H387" s="7" t="s">
        <v>918</v>
      </c>
      <c r="I387" s="256"/>
      <c r="J387" s="256"/>
      <c r="K387" s="568">
        <v>1192800</v>
      </c>
      <c r="L387" s="569" t="s">
        <v>253</v>
      </c>
      <c r="M387" s="569" t="s">
        <v>367</v>
      </c>
      <c r="N387" s="52" t="str">
        <f>IF(AND('331-CT'!$E$7=TH!H387,OR(L387="331",M387="331")),"331",IF(AND(OR(L387="131",M387="131"),H387='131-CT'!$E$7),"131",""))</f>
        <v/>
      </c>
      <c r="O387" s="90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821"/>
      <c r="AC387" s="560" t="str">
        <f>IF(VLOOKUP(H387,DS_131,1,0)&lt;&gt;"","","x")</f>
        <v/>
      </c>
      <c r="AD387" s="211"/>
      <c r="AE387" s="211"/>
    </row>
    <row r="388" spans="1:31" s="560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984</v>
      </c>
      <c r="E388" s="191">
        <v>41908</v>
      </c>
      <c r="F388" s="192" t="s">
        <v>647</v>
      </c>
      <c r="G388" s="468" t="s">
        <v>707</v>
      </c>
      <c r="H388" s="7" t="s">
        <v>649</v>
      </c>
      <c r="I388" s="257">
        <v>1500</v>
      </c>
      <c r="J388" s="257">
        <v>4800</v>
      </c>
      <c r="K388" s="568">
        <f>ROUND(I388*J388,0)</f>
        <v>7200000</v>
      </c>
      <c r="L388" s="569" t="s">
        <v>253</v>
      </c>
      <c r="M388" s="569" t="s">
        <v>177</v>
      </c>
      <c r="N388" s="52" t="str">
        <f>IF(AND('331-CT'!$E$7=TH!H388,OR(L388="331",M388="331")),"331",IF(AND(OR(L388="131",M388="131"),H388='131-CT'!$E$7),"131",""))</f>
        <v/>
      </c>
      <c r="O388" s="90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821"/>
      <c r="AC388" s="211" t="str">
        <f>IF(F388=VLOOKUP(F388,NXT!$C$12:$C$305,1,0),"","x")</f>
        <v/>
      </c>
      <c r="AD388" s="211"/>
      <c r="AE388" s="211"/>
    </row>
    <row r="389" spans="1:31" s="56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984</v>
      </c>
      <c r="E389" s="191">
        <v>41908</v>
      </c>
      <c r="F389" s="192" t="s">
        <v>426</v>
      </c>
      <c r="G389" s="468" t="s">
        <v>707</v>
      </c>
      <c r="H389" s="7" t="s">
        <v>649</v>
      </c>
      <c r="I389" s="256"/>
      <c r="J389" s="256"/>
      <c r="K389" s="568">
        <v>720000</v>
      </c>
      <c r="L389" s="569" t="s">
        <v>253</v>
      </c>
      <c r="M389" s="569" t="s">
        <v>367</v>
      </c>
      <c r="N389" s="52" t="str">
        <f>IF(AND('331-CT'!$E$7=TH!H389,OR(L389="331",M389="331")),"331",IF(AND(OR(L389="131",M389="131"),H389='131-CT'!$E$7),"131",""))</f>
        <v/>
      </c>
      <c r="O389" s="90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821"/>
      <c r="AC389" s="560" t="str">
        <f>IF(VLOOKUP(H389,DS_131,1,0)&lt;&gt;"","","x")</f>
        <v/>
      </c>
      <c r="AD389" s="211"/>
      <c r="AE389" s="211"/>
    </row>
    <row r="390" spans="1:31" s="56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985</v>
      </c>
      <c r="E390" s="191">
        <v>41908</v>
      </c>
      <c r="F390" s="192" t="s">
        <v>506</v>
      </c>
      <c r="G390" s="468" t="s">
        <v>708</v>
      </c>
      <c r="H390" s="7" t="s">
        <v>508</v>
      </c>
      <c r="I390" s="256">
        <v>399</v>
      </c>
      <c r="J390" s="256">
        <v>5900</v>
      </c>
      <c r="K390" s="568">
        <f>ROUND(I390*J390,0)</f>
        <v>2354100</v>
      </c>
      <c r="L390" s="569" t="s">
        <v>253</v>
      </c>
      <c r="M390" s="569" t="s">
        <v>177</v>
      </c>
      <c r="N390" s="52" t="str">
        <f>IF(AND('331-CT'!$E$7=TH!H390,OR(L390="331",M390="331")),"331",IF(AND(OR(L390="131",M390="131"),H390='131-CT'!$E$7),"131",""))</f>
        <v/>
      </c>
      <c r="O390" s="902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821"/>
      <c r="AC390" s="211" t="str">
        <f>IF(F390=VLOOKUP(F390,NXT!$C$12:$C$305,1,0),"","x")</f>
        <v/>
      </c>
      <c r="AD390" s="211"/>
      <c r="AE390" s="211"/>
    </row>
    <row r="391" spans="1:31" s="56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985</v>
      </c>
      <c r="E391" s="191">
        <v>41908</v>
      </c>
      <c r="F391" s="192" t="s">
        <v>509</v>
      </c>
      <c r="G391" s="468" t="s">
        <v>708</v>
      </c>
      <c r="H391" s="7" t="s">
        <v>508</v>
      </c>
      <c r="I391" s="256">
        <v>295</v>
      </c>
      <c r="J391" s="256">
        <v>6250</v>
      </c>
      <c r="K391" s="568">
        <f>ROUND(I391*J391,0)</f>
        <v>1843750</v>
      </c>
      <c r="L391" s="569" t="s">
        <v>253</v>
      </c>
      <c r="M391" s="569" t="s">
        <v>177</v>
      </c>
      <c r="N391" s="52" t="str">
        <f>IF(AND('331-CT'!$E$7=TH!H391,OR(L391="331",M391="331")),"331",IF(AND(OR(L391="131",M391="131"),H391='131-CT'!$E$7),"131",""))</f>
        <v/>
      </c>
      <c r="O391" s="90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821"/>
      <c r="AC391" s="211" t="str">
        <f>IF(F391=VLOOKUP(F391,NXT!$C$12:$C$305,1,0),"","x")</f>
        <v/>
      </c>
      <c r="AD391" s="211"/>
      <c r="AE391" s="211"/>
    </row>
    <row r="392" spans="1:31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985</v>
      </c>
      <c r="E392" s="191">
        <v>41908</v>
      </c>
      <c r="F392" s="192" t="s">
        <v>510</v>
      </c>
      <c r="G392" s="468" t="s">
        <v>708</v>
      </c>
      <c r="H392" s="7" t="s">
        <v>508</v>
      </c>
      <c r="I392" s="256">
        <v>200</v>
      </c>
      <c r="J392" s="256">
        <v>6550</v>
      </c>
      <c r="K392" s="568">
        <f>ROUND(I392*J392,0)</f>
        <v>1310000</v>
      </c>
      <c r="L392" s="569" t="s">
        <v>253</v>
      </c>
      <c r="M392" s="569" t="s">
        <v>177</v>
      </c>
      <c r="N392" s="52" t="str">
        <f>IF(AND('331-CT'!$E$7=TH!H392,OR(L392="331",M392="331")),"331",IF(AND(OR(L392="131",M392="131"),H392='131-CT'!$E$7),"131",""))</f>
        <v/>
      </c>
      <c r="O392" s="90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821"/>
      <c r="AC392" s="211" t="str">
        <f>IF(F392=VLOOKUP(F392,NXT!$C$12:$C$305,1,0),"","x")</f>
        <v/>
      </c>
    </row>
    <row r="393" spans="1:31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985</v>
      </c>
      <c r="E393" s="191">
        <v>41908</v>
      </c>
      <c r="F393" s="192" t="s">
        <v>411</v>
      </c>
      <c r="G393" s="468" t="s">
        <v>708</v>
      </c>
      <c r="H393" s="7" t="s">
        <v>508</v>
      </c>
      <c r="I393" s="256">
        <v>298</v>
      </c>
      <c r="J393" s="256">
        <v>6800</v>
      </c>
      <c r="K393" s="568">
        <f>ROUND(I393*J393,0)</f>
        <v>2026400</v>
      </c>
      <c r="L393" s="569" t="s">
        <v>253</v>
      </c>
      <c r="M393" s="569" t="s">
        <v>177</v>
      </c>
      <c r="N393" s="52" t="str">
        <f>IF(AND('331-CT'!$E$7=TH!H393,OR(L393="331",M393="331")),"331",IF(AND(OR(L393="131",M393="131"),H393='131-CT'!$E$7),"131",""))</f>
        <v/>
      </c>
      <c r="O393" s="90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821"/>
      <c r="AC393" s="211" t="str">
        <f>IF(F393=VLOOKUP(F393,NXT!$C$12:$C$305,1,0),"","x")</f>
        <v/>
      </c>
    </row>
    <row r="394" spans="1:31" s="56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985</v>
      </c>
      <c r="E394" s="191">
        <v>41908</v>
      </c>
      <c r="F394" s="192" t="s">
        <v>709</v>
      </c>
      <c r="G394" s="468" t="s">
        <v>708</v>
      </c>
      <c r="H394" s="7" t="s">
        <v>508</v>
      </c>
      <c r="I394" s="256">
        <v>360</v>
      </c>
      <c r="J394" s="256">
        <v>5500</v>
      </c>
      <c r="K394" s="568">
        <f>ROUND(I394*J394,0)</f>
        <v>1980000</v>
      </c>
      <c r="L394" s="569" t="s">
        <v>253</v>
      </c>
      <c r="M394" s="569" t="s">
        <v>177</v>
      </c>
      <c r="N394" s="52" t="str">
        <f>IF(AND('331-CT'!$E$7=TH!H394,OR(L394="331",M394="331")),"331",IF(AND(OR(L394="131",M394="131"),H394='131-CT'!$E$7),"131",""))</f>
        <v/>
      </c>
      <c r="O394" s="90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821"/>
      <c r="AC394" s="211" t="str">
        <f>IF(F394=VLOOKUP(F394,NXT!$C$12:$C$305,1,0),"","x")</f>
        <v/>
      </c>
      <c r="AD394" s="211"/>
      <c r="AE394" s="211"/>
    </row>
    <row r="395" spans="1:31" s="56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985</v>
      </c>
      <c r="E395" s="191">
        <v>41908</v>
      </c>
      <c r="F395" s="192" t="s">
        <v>426</v>
      </c>
      <c r="G395" s="468" t="s">
        <v>708</v>
      </c>
      <c r="H395" s="7" t="s">
        <v>508</v>
      </c>
      <c r="I395" s="256"/>
      <c r="J395" s="256"/>
      <c r="K395" s="568">
        <v>951425</v>
      </c>
      <c r="L395" s="569" t="s">
        <v>253</v>
      </c>
      <c r="M395" s="569" t="s">
        <v>367</v>
      </c>
      <c r="N395" s="52" t="str">
        <f>IF(AND('331-CT'!$E$7=TH!H395,OR(L395="331",M395="331")),"331",IF(AND(OR(L395="131",M395="131"),H395='131-CT'!$E$7),"131",""))</f>
        <v/>
      </c>
      <c r="O395" s="90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821"/>
      <c r="AC395" s="560" t="str">
        <f>IF(VLOOKUP(H395,DS_131,1,0)&lt;&gt;"","","x")</f>
        <v/>
      </c>
      <c r="AD395" s="211"/>
      <c r="AE395" s="211"/>
    </row>
    <row r="396" spans="1:31" s="560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986</v>
      </c>
      <c r="E396" s="191">
        <v>41908</v>
      </c>
      <c r="F396" s="192" t="s">
        <v>442</v>
      </c>
      <c r="G396" s="468" t="s">
        <v>710</v>
      </c>
      <c r="H396" s="7" t="s">
        <v>444</v>
      </c>
      <c r="I396" s="256">
        <v>498</v>
      </c>
      <c r="J396" s="256">
        <v>10500</v>
      </c>
      <c r="K396" s="568">
        <f>ROUND(I396*J396,0)</f>
        <v>5229000</v>
      </c>
      <c r="L396" s="569" t="s">
        <v>253</v>
      </c>
      <c r="M396" s="569" t="s">
        <v>177</v>
      </c>
      <c r="N396" s="52" t="str">
        <f>IF(AND('331-CT'!$E$7=TH!H396,OR(L396="331",M396="331")),"331",IF(AND(OR(L396="131",M396="131"),H396='131-CT'!$E$7),"131",""))</f>
        <v/>
      </c>
      <c r="O396" s="90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821"/>
      <c r="AC396" s="211" t="str">
        <f>IF(F396=VLOOKUP(F396,NXT!$C$12:$C$305,1,0),"","x")</f>
        <v/>
      </c>
      <c r="AD396" s="211"/>
      <c r="AE396" s="211"/>
    </row>
    <row r="397" spans="1:31" s="560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986</v>
      </c>
      <c r="E397" s="191">
        <v>41908</v>
      </c>
      <c r="F397" s="192" t="s">
        <v>572</v>
      </c>
      <c r="G397" s="468" t="s">
        <v>710</v>
      </c>
      <c r="H397" s="7" t="s">
        <v>444</v>
      </c>
      <c r="I397" s="256">
        <v>493</v>
      </c>
      <c r="J397" s="256">
        <v>10500</v>
      </c>
      <c r="K397" s="568">
        <f>ROUND(I397*J397,0)</f>
        <v>5176500</v>
      </c>
      <c r="L397" s="569" t="s">
        <v>253</v>
      </c>
      <c r="M397" s="569" t="s">
        <v>177</v>
      </c>
      <c r="N397" s="52" t="str">
        <f>IF(AND('331-CT'!$E$7=TH!H397,OR(L397="331",M397="331")),"331",IF(AND(OR(L397="131",M397="131"),H397='131-CT'!$E$7),"131",""))</f>
        <v/>
      </c>
      <c r="O397" s="90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821"/>
      <c r="AC397" s="211" t="str">
        <f>IF(F397=VLOOKUP(F397,NXT!$C$12:$C$305,1,0),"","x")</f>
        <v/>
      </c>
      <c r="AD397" s="211"/>
      <c r="AE397" s="211"/>
    </row>
    <row r="398" spans="1:31" s="56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986</v>
      </c>
      <c r="E398" s="191">
        <v>41908</v>
      </c>
      <c r="F398" s="192" t="s">
        <v>426</v>
      </c>
      <c r="G398" s="468" t="s">
        <v>710</v>
      </c>
      <c r="H398" s="7" t="s">
        <v>444</v>
      </c>
      <c r="I398" s="256"/>
      <c r="J398" s="256"/>
      <c r="K398" s="568">
        <v>1040550</v>
      </c>
      <c r="L398" s="569" t="s">
        <v>253</v>
      </c>
      <c r="M398" s="569" t="s">
        <v>367</v>
      </c>
      <c r="N398" s="52" t="str">
        <f>IF(AND('331-CT'!$E$7=TH!H398,OR(L398="331",M398="331")),"331",IF(AND(OR(L398="131",M398="131"),H398='131-CT'!$E$7),"131",""))</f>
        <v/>
      </c>
      <c r="O398" s="90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821"/>
      <c r="AC398" s="560" t="str">
        <f>IF(VLOOKUP(H398,DS_131,1,0)&lt;&gt;"","","x")</f>
        <v/>
      </c>
      <c r="AD398" s="211"/>
      <c r="AE398" s="211"/>
    </row>
    <row r="399" spans="1:31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987</v>
      </c>
      <c r="E399" s="191">
        <v>41908</v>
      </c>
      <c r="F399" s="192" t="s">
        <v>711</v>
      </c>
      <c r="G399" s="468" t="s">
        <v>712</v>
      </c>
      <c r="H399" s="7" t="s">
        <v>589</v>
      </c>
      <c r="I399" s="256">
        <v>51</v>
      </c>
      <c r="J399" s="256">
        <v>7200</v>
      </c>
      <c r="K399" s="568">
        <f t="shared" ref="K399:K406" si="19">ROUND(I399*J399,0)</f>
        <v>367200</v>
      </c>
      <c r="L399" s="569" t="s">
        <v>253</v>
      </c>
      <c r="M399" s="569" t="s">
        <v>177</v>
      </c>
      <c r="N399" s="52" t="str">
        <f>IF(AND('331-CT'!$E$7=TH!H399,OR(L399="331",M399="331")),"331",IF(AND(OR(L399="131",M399="131"),H399='131-CT'!$E$7),"131",""))</f>
        <v/>
      </c>
      <c r="O399" s="90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821"/>
      <c r="AC399" s="211" t="str">
        <f>IF(F399=VLOOKUP(F399,NXT!$C$12:$C$305,1,0),"","x")</f>
        <v/>
      </c>
    </row>
    <row r="400" spans="1:31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987</v>
      </c>
      <c r="E400" s="191">
        <v>41908</v>
      </c>
      <c r="F400" s="192" t="s">
        <v>713</v>
      </c>
      <c r="G400" s="468" t="s">
        <v>712</v>
      </c>
      <c r="H400" s="7" t="s">
        <v>589</v>
      </c>
      <c r="I400" s="256">
        <v>313</v>
      </c>
      <c r="J400" s="256">
        <v>9450</v>
      </c>
      <c r="K400" s="568">
        <f t="shared" si="19"/>
        <v>2957850</v>
      </c>
      <c r="L400" s="569" t="s">
        <v>253</v>
      </c>
      <c r="M400" s="569" t="s">
        <v>177</v>
      </c>
      <c r="N400" s="52" t="str">
        <f>IF(AND('331-CT'!$E$7=TH!H400,OR(L400="331",M400="331")),"331",IF(AND(OR(L400="131",M400="131"),H400='131-CT'!$E$7),"131",""))</f>
        <v/>
      </c>
      <c r="O400" s="90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821"/>
      <c r="AC400" s="211" t="str">
        <f>IF(F400=VLOOKUP(F400,NXT!$C$12:$C$305,1,0),"","x")</f>
        <v/>
      </c>
    </row>
    <row r="401" spans="1:31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987</v>
      </c>
      <c r="E401" s="191">
        <v>41908</v>
      </c>
      <c r="F401" s="192" t="s">
        <v>714</v>
      </c>
      <c r="G401" s="468" t="s">
        <v>712</v>
      </c>
      <c r="H401" s="7" t="s">
        <v>589</v>
      </c>
      <c r="I401" s="256">
        <v>113</v>
      </c>
      <c r="J401" s="256">
        <v>7500</v>
      </c>
      <c r="K401" s="568">
        <f t="shared" si="19"/>
        <v>847500</v>
      </c>
      <c r="L401" s="569" t="s">
        <v>253</v>
      </c>
      <c r="M401" s="569" t="s">
        <v>177</v>
      </c>
      <c r="N401" s="52" t="str">
        <f>IF(AND('331-CT'!$E$7=TH!H401,OR(L401="331",M401="331")),"331",IF(AND(OR(L401="131",M401="131"),H401='131-CT'!$E$7),"131",""))</f>
        <v/>
      </c>
      <c r="O401" s="90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821"/>
      <c r="AC401" s="211" t="str">
        <f>IF(F401=VLOOKUP(F401,NXT!$C$12:$C$305,1,0),"","x")</f>
        <v/>
      </c>
    </row>
    <row r="402" spans="1:31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987</v>
      </c>
      <c r="E402" s="191">
        <v>41908</v>
      </c>
      <c r="F402" s="192" t="s">
        <v>715</v>
      </c>
      <c r="G402" s="468" t="s">
        <v>712</v>
      </c>
      <c r="H402" s="7" t="s">
        <v>589</v>
      </c>
      <c r="I402" s="256">
        <v>21</v>
      </c>
      <c r="J402" s="256">
        <v>9500</v>
      </c>
      <c r="K402" s="568">
        <f t="shared" si="19"/>
        <v>199500</v>
      </c>
      <c r="L402" s="569" t="s">
        <v>253</v>
      </c>
      <c r="M402" s="569" t="s">
        <v>177</v>
      </c>
      <c r="N402" s="52" t="str">
        <f>IF(AND('331-CT'!$E$7=TH!H402,OR(L402="331",M402="331")),"331",IF(AND(OR(L402="131",M402="131"),H402='131-CT'!$E$7),"131",""))</f>
        <v/>
      </c>
      <c r="O402" s="90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821"/>
      <c r="AC402" s="211" t="str">
        <f>IF(F402=VLOOKUP(F402,NXT!$C$12:$C$305,1,0),"","x")</f>
        <v/>
      </c>
    </row>
    <row r="403" spans="1:31" s="56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987</v>
      </c>
      <c r="E403" s="191">
        <v>41908</v>
      </c>
      <c r="F403" s="192" t="s">
        <v>716</v>
      </c>
      <c r="G403" s="468" t="s">
        <v>712</v>
      </c>
      <c r="H403" s="7" t="s">
        <v>589</v>
      </c>
      <c r="I403" s="256">
        <v>35</v>
      </c>
      <c r="J403" s="256">
        <v>8800</v>
      </c>
      <c r="K403" s="568">
        <f t="shared" si="19"/>
        <v>308000</v>
      </c>
      <c r="L403" s="569" t="s">
        <v>253</v>
      </c>
      <c r="M403" s="569" t="s">
        <v>177</v>
      </c>
      <c r="N403" s="52" t="str">
        <f>IF(AND('331-CT'!$E$7=TH!H403,OR(L403="331",M403="331")),"331",IF(AND(OR(L403="131",M403="131"),H403='131-CT'!$E$7),"131",""))</f>
        <v/>
      </c>
      <c r="O403" s="90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821"/>
      <c r="AC403" s="211" t="str">
        <f>IF(F403=VLOOKUP(F403,NXT!$C$12:$C$305,1,0),"","x")</f>
        <v/>
      </c>
      <c r="AD403" s="211"/>
      <c r="AE403" s="211"/>
    </row>
    <row r="404" spans="1:31" s="560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987</v>
      </c>
      <c r="E404" s="191">
        <v>41908</v>
      </c>
      <c r="F404" s="192" t="s">
        <v>717</v>
      </c>
      <c r="G404" s="468" t="s">
        <v>712</v>
      </c>
      <c r="H404" s="7" t="s">
        <v>589</v>
      </c>
      <c r="I404" s="256">
        <v>33</v>
      </c>
      <c r="J404" s="256">
        <v>8900</v>
      </c>
      <c r="K404" s="568">
        <f t="shared" si="19"/>
        <v>293700</v>
      </c>
      <c r="L404" s="569" t="s">
        <v>253</v>
      </c>
      <c r="M404" s="569" t="s">
        <v>177</v>
      </c>
      <c r="N404" s="52" t="str">
        <f>IF(AND('331-CT'!$E$7=TH!H404,OR(L404="331",M404="331")),"331",IF(AND(OR(L404="131",M404="131"),H404='131-CT'!$E$7),"131",""))</f>
        <v/>
      </c>
      <c r="O404" s="90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821"/>
      <c r="AC404" s="211" t="str">
        <f>IF(F404=VLOOKUP(F404,NXT!$C$12:$C$305,1,0),"","x")</f>
        <v/>
      </c>
      <c r="AD404" s="211"/>
      <c r="AE404" s="211"/>
    </row>
    <row r="405" spans="1:31" s="56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987</v>
      </c>
      <c r="E405" s="191">
        <v>41908</v>
      </c>
      <c r="F405" s="192" t="s">
        <v>593</v>
      </c>
      <c r="G405" s="468" t="s">
        <v>712</v>
      </c>
      <c r="H405" s="7" t="s">
        <v>589</v>
      </c>
      <c r="I405" s="256">
        <v>762</v>
      </c>
      <c r="J405" s="256">
        <v>9300</v>
      </c>
      <c r="K405" s="568">
        <f t="shared" si="19"/>
        <v>7086600</v>
      </c>
      <c r="L405" s="569" t="s">
        <v>253</v>
      </c>
      <c r="M405" s="569" t="s">
        <v>177</v>
      </c>
      <c r="N405" s="52" t="str">
        <f>IF(AND('331-CT'!$E$7=TH!H405,OR(L405="331",M405="331")),"331",IF(AND(OR(L405="131",M405="131"),H405='131-CT'!$E$7),"131",""))</f>
        <v/>
      </c>
      <c r="O405" s="90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821"/>
      <c r="AC405" s="211" t="str">
        <f>IF(F405=VLOOKUP(F405,NXT!$C$12:$C$305,1,0),"","x")</f>
        <v/>
      </c>
      <c r="AD405" s="211"/>
      <c r="AE405" s="211"/>
    </row>
    <row r="406" spans="1:31" s="56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987</v>
      </c>
      <c r="E406" s="191">
        <v>41908</v>
      </c>
      <c r="F406" s="192" t="s">
        <v>718</v>
      </c>
      <c r="G406" s="468" t="s">
        <v>712</v>
      </c>
      <c r="H406" s="7" t="s">
        <v>589</v>
      </c>
      <c r="I406" s="256">
        <v>145</v>
      </c>
      <c r="J406" s="256">
        <v>9500</v>
      </c>
      <c r="K406" s="568">
        <f t="shared" si="19"/>
        <v>1377500</v>
      </c>
      <c r="L406" s="569" t="s">
        <v>253</v>
      </c>
      <c r="M406" s="569" t="s">
        <v>177</v>
      </c>
      <c r="N406" s="52" t="str">
        <f>IF(AND('331-CT'!$E$7=TH!H406,OR(L406="331",M406="331")),"331",IF(AND(OR(L406="131",M406="131"),H406='131-CT'!$E$7),"131",""))</f>
        <v/>
      </c>
      <c r="O406" s="90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821"/>
      <c r="AC406" s="211" t="str">
        <f>IF(F406=VLOOKUP(F406,NXT!$C$12:$C$305,1,0),"","x")</f>
        <v/>
      </c>
      <c r="AD406" s="211"/>
      <c r="AE406" s="211"/>
    </row>
    <row r="407" spans="1:31" s="56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987</v>
      </c>
      <c r="E407" s="191">
        <v>41908</v>
      </c>
      <c r="F407" s="192" t="s">
        <v>426</v>
      </c>
      <c r="G407" s="468" t="s">
        <v>712</v>
      </c>
      <c r="H407" s="7" t="s">
        <v>589</v>
      </c>
      <c r="I407" s="256"/>
      <c r="J407" s="256"/>
      <c r="K407" s="568">
        <v>1343785</v>
      </c>
      <c r="L407" s="569" t="s">
        <v>253</v>
      </c>
      <c r="M407" s="569" t="s">
        <v>367</v>
      </c>
      <c r="N407" s="52" t="str">
        <f>IF(AND('331-CT'!$E$7=TH!H407,OR(L407="331",M407="331")),"331",IF(AND(OR(L407="131",M407="131"),H407='131-CT'!$E$7),"131",""))</f>
        <v/>
      </c>
      <c r="O407" s="90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821"/>
      <c r="AC407" s="560" t="str">
        <f>IF(VLOOKUP(H407,DS_131,1,0)&lt;&gt;"","","x")</f>
        <v/>
      </c>
      <c r="AD407" s="211"/>
      <c r="AE407" s="211"/>
    </row>
    <row r="408" spans="1:31" s="56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988</v>
      </c>
      <c r="E408" s="191">
        <v>41909</v>
      </c>
      <c r="F408" s="192" t="s">
        <v>465</v>
      </c>
      <c r="G408" s="468" t="s">
        <v>719</v>
      </c>
      <c r="H408" s="7" t="s">
        <v>467</v>
      </c>
      <c r="I408" s="256">
        <v>1007</v>
      </c>
      <c r="J408" s="256">
        <v>8740</v>
      </c>
      <c r="K408" s="568">
        <f>ROUND(I408*J408,0)</f>
        <v>8801180</v>
      </c>
      <c r="L408" s="569" t="s">
        <v>253</v>
      </c>
      <c r="M408" s="569" t="s">
        <v>177</v>
      </c>
      <c r="N408" s="52" t="str">
        <f>IF(AND('331-CT'!$E$7=TH!H408,OR(L408="331",M408="331")),"331",IF(AND(OR(L408="131",M408="131"),H408='131-CT'!$E$7),"131",""))</f>
        <v/>
      </c>
      <c r="O408" s="90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821"/>
      <c r="AC408" s="211" t="str">
        <f>IF(F408=VLOOKUP(F408,NXT!$C$12:$C$305,1,0),"","x")</f>
        <v/>
      </c>
      <c r="AD408" s="211"/>
      <c r="AE408" s="211"/>
    </row>
    <row r="409" spans="1:31" s="56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988</v>
      </c>
      <c r="E409" s="191">
        <v>41909</v>
      </c>
      <c r="F409" s="192" t="s">
        <v>426</v>
      </c>
      <c r="G409" s="468" t="s">
        <v>719</v>
      </c>
      <c r="H409" s="7" t="s">
        <v>467</v>
      </c>
      <c r="I409" s="256"/>
      <c r="J409" s="256"/>
      <c r="K409" s="568">
        <v>880118</v>
      </c>
      <c r="L409" s="569" t="s">
        <v>253</v>
      </c>
      <c r="M409" s="569" t="s">
        <v>367</v>
      </c>
      <c r="N409" s="52" t="str">
        <f>IF(AND('331-CT'!$E$7=TH!H409,OR(L409="331",M409="331")),"331",IF(AND(OR(L409="131",M409="131"),H409='131-CT'!$E$7),"131",""))</f>
        <v/>
      </c>
      <c r="O409" s="90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821"/>
      <c r="AC409" s="560" t="str">
        <f>IF(VLOOKUP(H409,DS_131,1,0)&lt;&gt;"","","x")</f>
        <v/>
      </c>
      <c r="AD409" s="211"/>
      <c r="AE409" s="211"/>
    </row>
    <row r="410" spans="1:31" s="56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989</v>
      </c>
      <c r="E410" s="191">
        <v>41912</v>
      </c>
      <c r="F410" s="192" t="s">
        <v>720</v>
      </c>
      <c r="G410" s="468" t="s">
        <v>721</v>
      </c>
      <c r="H410" s="7" t="s">
        <v>722</v>
      </c>
      <c r="I410" s="256">
        <v>264</v>
      </c>
      <c r="J410" s="256">
        <v>14000</v>
      </c>
      <c r="K410" s="568">
        <f>ROUND(I410*J410,0)</f>
        <v>3696000</v>
      </c>
      <c r="L410" s="569" t="s">
        <v>253</v>
      </c>
      <c r="M410" s="569" t="s">
        <v>177</v>
      </c>
      <c r="N410" s="52" t="str">
        <f>IF(AND('331-CT'!$E$7=TH!H410,OR(L410="331",M410="331")),"331",IF(AND(OR(L410="131",M410="131"),H410='131-CT'!$E$7),"131",""))</f>
        <v/>
      </c>
      <c r="O410" s="90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821"/>
      <c r="AC410" s="211" t="str">
        <f>IF(F410=VLOOKUP(F410,NXT!$C$12:$C$305,1,0),"","x")</f>
        <v/>
      </c>
      <c r="AD410" s="211"/>
      <c r="AE410" s="211"/>
    </row>
    <row r="411" spans="1:31" s="560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989</v>
      </c>
      <c r="E411" s="191">
        <v>41912</v>
      </c>
      <c r="F411" s="192" t="s">
        <v>720</v>
      </c>
      <c r="G411" s="468" t="s">
        <v>721</v>
      </c>
      <c r="H411" s="7" t="s">
        <v>722</v>
      </c>
      <c r="I411" s="256">
        <v>169</v>
      </c>
      <c r="J411" s="256">
        <v>14000</v>
      </c>
      <c r="K411" s="568">
        <f>ROUND(I411*J411,0)</f>
        <v>2366000</v>
      </c>
      <c r="L411" s="569" t="s">
        <v>253</v>
      </c>
      <c r="M411" s="569" t="s">
        <v>177</v>
      </c>
      <c r="N411" s="52" t="str">
        <f>IF(AND('331-CT'!$E$7=TH!H411,OR(L411="331",M411="331")),"331",IF(AND(OR(L411="131",M411="131"),H411='131-CT'!$E$7),"131",""))</f>
        <v/>
      </c>
      <c r="O411" s="90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821"/>
      <c r="AC411" s="211" t="str">
        <f>IF(F411=VLOOKUP(F411,NXT!$C$12:$C$305,1,0),"","x")</f>
        <v/>
      </c>
      <c r="AD411" s="211"/>
      <c r="AE411" s="211"/>
    </row>
    <row r="412" spans="1:31" s="56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989</v>
      </c>
      <c r="E412" s="191">
        <v>41912</v>
      </c>
      <c r="F412" s="192" t="s">
        <v>426</v>
      </c>
      <c r="G412" s="468" t="s">
        <v>721</v>
      </c>
      <c r="H412" s="7" t="s">
        <v>722</v>
      </c>
      <c r="I412" s="256"/>
      <c r="J412" s="256"/>
      <c r="K412" s="568">
        <v>606200</v>
      </c>
      <c r="L412" s="569" t="s">
        <v>253</v>
      </c>
      <c r="M412" s="569" t="s">
        <v>367</v>
      </c>
      <c r="N412" s="52" t="str">
        <f>IF(AND('331-CT'!$E$7=TH!H412,OR(L412="331",M412="331")),"331",IF(AND(OR(L412="131",M412="131"),H412='131-CT'!$E$7),"131",""))</f>
        <v/>
      </c>
      <c r="O412" s="902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821"/>
      <c r="AC412" s="560" t="str">
        <f>IF(VLOOKUP(H412,DS_131,1,0)&lt;&gt;"","","x")</f>
        <v/>
      </c>
      <c r="AD412" s="211"/>
      <c r="AE412" s="211"/>
    </row>
    <row r="413" spans="1:31" s="56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990</v>
      </c>
      <c r="E413" s="191">
        <v>41912</v>
      </c>
      <c r="F413" s="192" t="s">
        <v>678</v>
      </c>
      <c r="G413" s="468" t="s">
        <v>723</v>
      </c>
      <c r="H413" s="7" t="s">
        <v>680</v>
      </c>
      <c r="I413" s="256">
        <v>993</v>
      </c>
      <c r="J413" s="256">
        <v>9500</v>
      </c>
      <c r="K413" s="568">
        <f>ROUND(I413*J413,0)</f>
        <v>9433500</v>
      </c>
      <c r="L413" s="569" t="s">
        <v>253</v>
      </c>
      <c r="M413" s="569" t="s">
        <v>177</v>
      </c>
      <c r="N413" s="52" t="str">
        <f>IF(AND('331-CT'!$E$7=TH!H413,OR(L413="331",M413="331")),"331",IF(AND(OR(L413="131",M413="131"),H413='131-CT'!$E$7),"131",""))</f>
        <v/>
      </c>
      <c r="O413" s="902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821"/>
      <c r="AC413" s="211" t="str">
        <f>IF(F413=VLOOKUP(F413,NXT!$C$12:$C$305,1,0),"","x")</f>
        <v/>
      </c>
      <c r="AD413" s="211"/>
      <c r="AE413" s="211"/>
    </row>
    <row r="414" spans="1:31" s="56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990</v>
      </c>
      <c r="E414" s="191">
        <v>41912</v>
      </c>
      <c r="F414" s="192" t="s">
        <v>426</v>
      </c>
      <c r="G414" s="468" t="s">
        <v>723</v>
      </c>
      <c r="H414" s="7" t="s">
        <v>680</v>
      </c>
      <c r="I414" s="256"/>
      <c r="J414" s="256"/>
      <c r="K414" s="568">
        <v>943350</v>
      </c>
      <c r="L414" s="569" t="s">
        <v>253</v>
      </c>
      <c r="M414" s="569" t="s">
        <v>367</v>
      </c>
      <c r="N414" s="52" t="str">
        <f>IF(AND('331-CT'!$E$7=TH!H414,OR(L414="331",M414="331")),"331",IF(AND(OR(L414="131",M414="131"),H414='131-CT'!$E$7),"131",""))</f>
        <v/>
      </c>
      <c r="O414" s="90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821"/>
      <c r="AC414" s="560" t="str">
        <f>IF(VLOOKUP(H414,DS_131,1,0)&lt;&gt;"","","x")</f>
        <v/>
      </c>
      <c r="AD414" s="211"/>
      <c r="AE414" s="211"/>
    </row>
    <row r="415" spans="1:31" s="56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991</v>
      </c>
      <c r="E415" s="191">
        <v>41912</v>
      </c>
      <c r="F415" s="192" t="s">
        <v>724</v>
      </c>
      <c r="G415" s="468" t="s">
        <v>725</v>
      </c>
      <c r="H415" s="7" t="s">
        <v>696</v>
      </c>
      <c r="I415" s="256">
        <v>247</v>
      </c>
      <c r="J415" s="256">
        <v>33000</v>
      </c>
      <c r="K415" s="568">
        <f>ROUND(I415*J415,0)</f>
        <v>8151000</v>
      </c>
      <c r="L415" s="569" t="s">
        <v>253</v>
      </c>
      <c r="M415" s="569" t="s">
        <v>177</v>
      </c>
      <c r="N415" s="52" t="str">
        <f>IF(AND('331-CT'!$E$7=TH!H415,OR(L415="331",M415="331")),"331",IF(AND(OR(L415="131",M415="131"),H415='131-CT'!$E$7),"131",""))</f>
        <v/>
      </c>
      <c r="O415" s="90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821"/>
      <c r="AC415" s="211" t="str">
        <f>IF(F415=VLOOKUP(F415,NXT!$C$12:$C$305,1,0),"","x")</f>
        <v/>
      </c>
      <c r="AD415" s="211"/>
      <c r="AE415" s="211"/>
    </row>
    <row r="416" spans="1:31" s="56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991</v>
      </c>
      <c r="E416" s="191">
        <v>41912</v>
      </c>
      <c r="F416" s="192" t="s">
        <v>426</v>
      </c>
      <c r="G416" s="468" t="s">
        <v>725</v>
      </c>
      <c r="H416" s="7" t="s">
        <v>696</v>
      </c>
      <c r="I416" s="256"/>
      <c r="J416" s="256"/>
      <c r="K416" s="568">
        <v>815100</v>
      </c>
      <c r="L416" s="569" t="s">
        <v>253</v>
      </c>
      <c r="M416" s="569" t="s">
        <v>367</v>
      </c>
      <c r="N416" s="52" t="str">
        <f>IF(AND('331-CT'!$E$7=TH!H416,OR(L416="331",M416="331")),"331",IF(AND(OR(L416="131",M416="131"),H416='131-CT'!$E$7),"131",""))</f>
        <v/>
      </c>
      <c r="O416" s="90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821"/>
      <c r="AC416" s="560" t="str">
        <f>IF(VLOOKUP(H416,DS_131,1,0)&lt;&gt;"","","x")</f>
        <v/>
      </c>
      <c r="AD416" s="211"/>
      <c r="AE416" s="211"/>
    </row>
    <row r="417" spans="1:31" s="56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993</v>
      </c>
      <c r="E417" s="191">
        <v>41912</v>
      </c>
      <c r="F417" s="192" t="s">
        <v>700</v>
      </c>
      <c r="G417" s="468" t="s">
        <v>727</v>
      </c>
      <c r="H417" s="7" t="s">
        <v>649</v>
      </c>
      <c r="I417" s="256">
        <v>498</v>
      </c>
      <c r="J417" s="256">
        <v>5700</v>
      </c>
      <c r="K417" s="568">
        <f>ROUND(I417*J417,0)</f>
        <v>2838600</v>
      </c>
      <c r="L417" s="569" t="s">
        <v>253</v>
      </c>
      <c r="M417" s="569" t="s">
        <v>177</v>
      </c>
      <c r="N417" s="52" t="str">
        <f>IF(AND('331-CT'!$E$7=TH!H417,OR(L417="331",M417="331")),"331",IF(AND(OR(L417="131",M417="131"),H417='131-CT'!$E$7),"131",""))</f>
        <v/>
      </c>
      <c r="O417" s="90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821"/>
      <c r="AC417" s="211" t="str">
        <f>IF(F417=VLOOKUP(F417,NXT!$C$12:$C$305,1,0),"","x")</f>
        <v/>
      </c>
      <c r="AD417" s="211"/>
      <c r="AE417" s="211"/>
    </row>
    <row r="418" spans="1:31" s="560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993</v>
      </c>
      <c r="E418" s="191">
        <v>41912</v>
      </c>
      <c r="F418" s="192" t="s">
        <v>701</v>
      </c>
      <c r="G418" s="468" t="s">
        <v>727</v>
      </c>
      <c r="H418" s="7" t="s">
        <v>649</v>
      </c>
      <c r="I418" s="256">
        <v>500</v>
      </c>
      <c r="J418" s="256">
        <v>5000</v>
      </c>
      <c r="K418" s="568">
        <f>ROUND(I418*J418,0)</f>
        <v>2500000</v>
      </c>
      <c r="L418" s="569" t="s">
        <v>253</v>
      </c>
      <c r="M418" s="569" t="s">
        <v>177</v>
      </c>
      <c r="N418" s="52" t="str">
        <f>IF(AND('331-CT'!$E$7=TH!H418,OR(L418="331",M418="331")),"331",IF(AND(OR(L418="131",M418="131"),H418='131-CT'!$E$7),"131",""))</f>
        <v/>
      </c>
      <c r="O418" s="90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821"/>
      <c r="AC418" s="211" t="str">
        <f>IF(F418=VLOOKUP(F418,NXT!$C$12:$C$305,1,0),"","x")</f>
        <v/>
      </c>
      <c r="AD418" s="211"/>
      <c r="AE418" s="211"/>
    </row>
    <row r="419" spans="1:31" s="56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993</v>
      </c>
      <c r="E419" s="191">
        <v>41912</v>
      </c>
      <c r="F419" s="192" t="s">
        <v>426</v>
      </c>
      <c r="G419" s="468" t="s">
        <v>727</v>
      </c>
      <c r="H419" s="7" t="s">
        <v>649</v>
      </c>
      <c r="I419" s="256"/>
      <c r="J419" s="256"/>
      <c r="K419" s="568">
        <v>533860</v>
      </c>
      <c r="L419" s="569" t="s">
        <v>253</v>
      </c>
      <c r="M419" s="569" t="s">
        <v>367</v>
      </c>
      <c r="N419" s="52" t="str">
        <f>IF(AND('331-CT'!$E$7=TH!H419,OR(L419="331",M419="331")),"331",IF(AND(OR(L419="131",M419="131"),H419='131-CT'!$E$7),"131",""))</f>
        <v/>
      </c>
      <c r="O419" s="902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821"/>
      <c r="AC419" s="560" t="str">
        <f>IF(VLOOKUP(H419,DS_131,1,0)&lt;&gt;"","","x")</f>
        <v/>
      </c>
      <c r="AD419" s="211"/>
      <c r="AE419" s="211"/>
    </row>
    <row r="420" spans="1:31" s="560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994</v>
      </c>
      <c r="E420" s="191">
        <v>41912</v>
      </c>
      <c r="F420" s="192" t="s">
        <v>728</v>
      </c>
      <c r="G420" s="468" t="s">
        <v>729</v>
      </c>
      <c r="H420" s="7" t="s">
        <v>730</v>
      </c>
      <c r="I420" s="256">
        <v>1000</v>
      </c>
      <c r="J420" s="256">
        <v>17500</v>
      </c>
      <c r="K420" s="568">
        <f>ROUND(I420*J420,0)</f>
        <v>17500000</v>
      </c>
      <c r="L420" s="569" t="s">
        <v>253</v>
      </c>
      <c r="M420" s="569" t="s">
        <v>177</v>
      </c>
      <c r="N420" s="52" t="str">
        <f>IF(AND('331-CT'!$E$7=TH!H420,OR(L420="331",M420="331")),"331",IF(AND(OR(L420="131",M420="131"),H420='131-CT'!$E$7),"131",""))</f>
        <v/>
      </c>
      <c r="O420" s="902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821"/>
      <c r="AC420" s="211" t="str">
        <f>IF(F420=VLOOKUP(F420,NXT!$C$12:$C$305,1,0),"","x")</f>
        <v/>
      </c>
      <c r="AD420" s="211"/>
      <c r="AE420" s="211"/>
    </row>
    <row r="421" spans="1:31" s="56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994</v>
      </c>
      <c r="E421" s="191">
        <v>41912</v>
      </c>
      <c r="F421" s="192" t="s">
        <v>426</v>
      </c>
      <c r="G421" s="468" t="s">
        <v>729</v>
      </c>
      <c r="H421" s="7" t="s">
        <v>730</v>
      </c>
      <c r="I421" s="256"/>
      <c r="J421" s="256"/>
      <c r="K421" s="568">
        <v>1750000</v>
      </c>
      <c r="L421" s="569" t="s">
        <v>253</v>
      </c>
      <c r="M421" s="569" t="s">
        <v>367</v>
      </c>
      <c r="N421" s="52" t="str">
        <f>IF(AND('331-CT'!$E$7=TH!H421,OR(L421="331",M421="331")),"331",IF(AND(OR(L421="131",M421="131"),H421='131-CT'!$E$7),"131",""))</f>
        <v/>
      </c>
      <c r="O421" s="902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821"/>
      <c r="AC421" s="560" t="str">
        <f>IF(VLOOKUP(H421,DS_131,1,0)&lt;&gt;"","","x")</f>
        <v/>
      </c>
      <c r="AD421" s="211"/>
      <c r="AE421" s="211"/>
    </row>
    <row r="422" spans="1:31" s="56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920</v>
      </c>
      <c r="E422" s="191">
        <v>41918</v>
      </c>
      <c r="F422" s="192" t="s">
        <v>731</v>
      </c>
      <c r="G422" s="468" t="s">
        <v>732</v>
      </c>
      <c r="H422" s="7" t="s">
        <v>692</v>
      </c>
      <c r="I422" s="256">
        <v>218</v>
      </c>
      <c r="J422" s="256">
        <v>30000</v>
      </c>
      <c r="K422" s="568">
        <f>ROUND(I422*J422,0)</f>
        <v>6540000</v>
      </c>
      <c r="L422" s="569" t="s">
        <v>253</v>
      </c>
      <c r="M422" s="569" t="s">
        <v>177</v>
      </c>
      <c r="N422" s="52" t="str">
        <f>IF(AND('331-CT'!$E$7=TH!H422,OR(L422="331",M422="331")),"331",IF(AND(OR(L422="131",M422="131"),H422='131-CT'!$E$7),"131",""))</f>
        <v/>
      </c>
      <c r="O422" s="90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21"/>
      <c r="AC422" s="211" t="str">
        <f>IF(F422=VLOOKUP(F422,NXT!$C$12:$C$305,1,0),"","x")</f>
        <v/>
      </c>
      <c r="AD422" s="211"/>
      <c r="AE422" s="211"/>
    </row>
    <row r="423" spans="1:31" s="56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920</v>
      </c>
      <c r="E423" s="191">
        <v>41918</v>
      </c>
      <c r="F423" s="192" t="s">
        <v>755</v>
      </c>
      <c r="G423" s="468" t="s">
        <v>732</v>
      </c>
      <c r="H423" s="7" t="s">
        <v>692</v>
      </c>
      <c r="I423" s="257">
        <v>436</v>
      </c>
      <c r="J423" s="257">
        <v>1440</v>
      </c>
      <c r="K423" s="568">
        <f>ROUND(I423*J423,0)</f>
        <v>627840</v>
      </c>
      <c r="L423" s="569" t="s">
        <v>253</v>
      </c>
      <c r="M423" s="569" t="s">
        <v>177</v>
      </c>
      <c r="N423" s="52" t="str">
        <f>IF(AND('331-CT'!$E$7=TH!H423,OR(L423="331",M423="331")),"331",IF(AND(OR(L423="131",M423="131"),H423='131-CT'!$E$7),"131",""))</f>
        <v/>
      </c>
      <c r="O423" s="90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21"/>
      <c r="AC423" s="211" t="str">
        <f>IF(F423=VLOOKUP(F423,NXT!$C$12:$C$305,1,0),"","x")</f>
        <v/>
      </c>
      <c r="AD423" s="211"/>
      <c r="AE423" s="211"/>
    </row>
    <row r="424" spans="1:31" s="56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920</v>
      </c>
      <c r="E424" s="191">
        <v>41918</v>
      </c>
      <c r="F424" s="192" t="s">
        <v>426</v>
      </c>
      <c r="G424" s="468" t="s">
        <v>732</v>
      </c>
      <c r="H424" s="7" t="s">
        <v>692</v>
      </c>
      <c r="I424" s="256"/>
      <c r="J424" s="256"/>
      <c r="K424" s="568">
        <v>716784</v>
      </c>
      <c r="L424" s="569" t="s">
        <v>253</v>
      </c>
      <c r="M424" s="569" t="s">
        <v>367</v>
      </c>
      <c r="N424" s="52" t="str">
        <f>IF(AND('331-CT'!$E$7=TH!H424,OR(L424="331",M424="331")),"331",IF(AND(OR(L424="131",M424="131"),H424='131-CT'!$E$7),"131",""))</f>
        <v/>
      </c>
      <c r="O424" s="90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21"/>
      <c r="AC424" s="560" t="str">
        <f>IF(VLOOKUP(H424,DS_131,1,0)&lt;&gt;"","","x")</f>
        <v/>
      </c>
      <c r="AD424" s="211"/>
      <c r="AE424" s="211"/>
    </row>
    <row r="425" spans="1:31" s="56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921</v>
      </c>
      <c r="E425" s="191">
        <v>41918</v>
      </c>
      <c r="F425" s="192" t="s">
        <v>733</v>
      </c>
      <c r="G425" s="468" t="s">
        <v>734</v>
      </c>
      <c r="H425" s="7" t="s">
        <v>475</v>
      </c>
      <c r="I425" s="256">
        <v>267</v>
      </c>
      <c r="J425" s="256">
        <v>3700</v>
      </c>
      <c r="K425" s="568">
        <f>ROUND(I425*J425,0)</f>
        <v>987900</v>
      </c>
      <c r="L425" s="569" t="s">
        <v>253</v>
      </c>
      <c r="M425" s="569" t="s">
        <v>177</v>
      </c>
      <c r="N425" s="52" t="str">
        <f>IF(AND('331-CT'!$E$7=TH!H425,OR(L425="331",M425="331")),"331",IF(AND(OR(L425="131",M425="131"),H425='131-CT'!$E$7),"131",""))</f>
        <v/>
      </c>
      <c r="O425" s="90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>x</v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21"/>
      <c r="AC425" s="211" t="str">
        <f>IF(F425=VLOOKUP(F425,NXT!$C$12:$C$305,1,0),"","x")</f>
        <v/>
      </c>
      <c r="AD425" s="211"/>
      <c r="AE425" s="211"/>
    </row>
    <row r="426" spans="1:31" s="56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921</v>
      </c>
      <c r="E426" s="191">
        <v>41918</v>
      </c>
      <c r="F426" s="192" t="s">
        <v>735</v>
      </c>
      <c r="G426" s="468" t="s">
        <v>734</v>
      </c>
      <c r="H426" s="7" t="s">
        <v>475</v>
      </c>
      <c r="I426" s="256">
        <v>120</v>
      </c>
      <c r="J426" s="256">
        <v>6500</v>
      </c>
      <c r="K426" s="568">
        <f>ROUND(I426*J426,0)</f>
        <v>780000</v>
      </c>
      <c r="L426" s="569" t="s">
        <v>253</v>
      </c>
      <c r="M426" s="569" t="s">
        <v>177</v>
      </c>
      <c r="N426" s="52" t="str">
        <f>IF(AND('331-CT'!$E$7=TH!H426,OR(L426="331",M426="331")),"331",IF(AND(OR(L426="131",M426="131"),H426='131-CT'!$E$7),"131",""))</f>
        <v/>
      </c>
      <c r="O426" s="90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>x</v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21"/>
      <c r="AC426" s="211" t="str">
        <f>IF(F426=VLOOKUP(F426,NXT!$C$12:$C$305,1,0),"","x")</f>
        <v/>
      </c>
      <c r="AD426" s="211"/>
      <c r="AE426" s="211"/>
    </row>
    <row r="427" spans="1:31" s="56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921</v>
      </c>
      <c r="E427" s="191">
        <v>41918</v>
      </c>
      <c r="F427" s="192" t="s">
        <v>736</v>
      </c>
      <c r="G427" s="468" t="s">
        <v>734</v>
      </c>
      <c r="H427" s="7" t="s">
        <v>475</v>
      </c>
      <c r="I427" s="256">
        <v>230</v>
      </c>
      <c r="J427" s="256">
        <v>6500</v>
      </c>
      <c r="K427" s="568">
        <f>ROUND(I427*J427,0)</f>
        <v>1495000</v>
      </c>
      <c r="L427" s="569" t="s">
        <v>253</v>
      </c>
      <c r="M427" s="569" t="s">
        <v>177</v>
      </c>
      <c r="N427" s="52" t="str">
        <f>IF(AND('331-CT'!$E$7=TH!H427,OR(L427="331",M427="331")),"331",IF(AND(OR(L427="131",M427="131"),H427='131-CT'!$E$7),"131",""))</f>
        <v/>
      </c>
      <c r="O427" s="90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>x</v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21"/>
      <c r="AC427" s="211" t="str">
        <f>IF(F427=VLOOKUP(F427,NXT!$C$12:$C$305,1,0),"","x")</f>
        <v/>
      </c>
      <c r="AD427" s="211"/>
      <c r="AE427" s="211"/>
    </row>
    <row r="428" spans="1:31" s="56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921</v>
      </c>
      <c r="E428" s="191">
        <v>41918</v>
      </c>
      <c r="F428" s="192" t="s">
        <v>737</v>
      </c>
      <c r="G428" s="468" t="s">
        <v>734</v>
      </c>
      <c r="H428" s="7" t="s">
        <v>475</v>
      </c>
      <c r="I428" s="256">
        <v>230</v>
      </c>
      <c r="J428" s="256">
        <v>5500</v>
      </c>
      <c r="K428" s="568">
        <f>ROUND(I428*J428,0)</f>
        <v>1265000</v>
      </c>
      <c r="L428" s="569" t="s">
        <v>253</v>
      </c>
      <c r="M428" s="569" t="s">
        <v>177</v>
      </c>
      <c r="N428" s="52" t="str">
        <f>IF(AND('331-CT'!$E$7=TH!H428,OR(L428="331",M428="331")),"331",IF(AND(OR(L428="131",M428="131"),H428='131-CT'!$E$7),"131",""))</f>
        <v/>
      </c>
      <c r="O428" s="90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>x</v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21"/>
      <c r="AC428" s="211" t="str">
        <f>IF(F428=VLOOKUP(F428,NXT!$C$12:$C$305,1,0),"","x")</f>
        <v/>
      </c>
      <c r="AD428" s="211"/>
      <c r="AE428" s="211"/>
    </row>
    <row r="429" spans="1:31" s="56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327</v>
      </c>
      <c r="E429" s="191">
        <v>41918</v>
      </c>
      <c r="F429" s="192" t="s">
        <v>738</v>
      </c>
      <c r="G429" s="468" t="s">
        <v>734</v>
      </c>
      <c r="H429" s="7" t="s">
        <v>475</v>
      </c>
      <c r="I429" s="256">
        <v>1</v>
      </c>
      <c r="J429" s="256">
        <v>1000000</v>
      </c>
      <c r="K429" s="568">
        <f>ROUND(I429*J429,0)</f>
        <v>1000000</v>
      </c>
      <c r="L429" s="569" t="s">
        <v>253</v>
      </c>
      <c r="M429" s="569" t="s">
        <v>177</v>
      </c>
      <c r="N429" s="52" t="str">
        <f>IF(AND('331-CT'!$E$7=TH!H429,OR(L429="331",M429="331")),"331",IF(AND(OR(L429="131",M429="131"),H429='131-CT'!$E$7),"131",""))</f>
        <v/>
      </c>
      <c r="O429" s="90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21"/>
      <c r="AC429" s="211"/>
      <c r="AD429" s="211"/>
      <c r="AE429" s="211"/>
    </row>
    <row r="430" spans="1:31" s="56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921</v>
      </c>
      <c r="E430" s="191">
        <v>41918</v>
      </c>
      <c r="F430" s="192" t="s">
        <v>426</v>
      </c>
      <c r="G430" s="468" t="s">
        <v>734</v>
      </c>
      <c r="H430" s="7" t="s">
        <v>475</v>
      </c>
      <c r="I430" s="257"/>
      <c r="J430" s="257"/>
      <c r="K430" s="568">
        <v>552790</v>
      </c>
      <c r="L430" s="569" t="s">
        <v>253</v>
      </c>
      <c r="M430" s="569" t="s">
        <v>367</v>
      </c>
      <c r="N430" s="52" t="str">
        <f>IF(AND('331-CT'!$E$7=TH!H430,OR(L430="331",M430="331")),"331",IF(AND(OR(L430="131",M430="131"),H430='131-CT'!$E$7),"131",""))</f>
        <v/>
      </c>
      <c r="O430" s="90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21"/>
      <c r="AC430" s="560" t="str">
        <f>IF(VLOOKUP(H430,DS_131,1,0)&lt;&gt;"","","x")</f>
        <v/>
      </c>
      <c r="AD430" s="211"/>
      <c r="AE430" s="211"/>
    </row>
    <row r="431" spans="1:31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922</v>
      </c>
      <c r="E431" s="191">
        <v>41922</v>
      </c>
      <c r="F431" s="192" t="s">
        <v>521</v>
      </c>
      <c r="G431" s="468" t="s">
        <v>739</v>
      </c>
      <c r="H431" s="7" t="s">
        <v>918</v>
      </c>
      <c r="I431" s="257">
        <v>1996</v>
      </c>
      <c r="J431" s="257">
        <v>12000</v>
      </c>
      <c r="K431" s="568">
        <f>ROUND(I431*J431,0)</f>
        <v>23952000</v>
      </c>
      <c r="L431" s="569" t="s">
        <v>253</v>
      </c>
      <c r="M431" s="569" t="s">
        <v>177</v>
      </c>
      <c r="N431" s="52" t="str">
        <f>IF(AND('331-CT'!$E$7=TH!H431,OR(L431="331",M431="331")),"331",IF(AND(OR(L431="131",M431="131"),H431='131-CT'!$E$7),"131",""))</f>
        <v/>
      </c>
      <c r="O431" s="90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21"/>
      <c r="AC431" s="211" t="str">
        <f>IF(F431=VLOOKUP(F431,NXT!$C$12:$C$305,1,0),"","x")</f>
        <v/>
      </c>
    </row>
    <row r="432" spans="1:31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922</v>
      </c>
      <c r="E432" s="191">
        <v>41922</v>
      </c>
      <c r="F432" s="192" t="s">
        <v>426</v>
      </c>
      <c r="G432" s="468" t="s">
        <v>739</v>
      </c>
      <c r="H432" s="7" t="s">
        <v>918</v>
      </c>
      <c r="I432" s="256"/>
      <c r="J432" s="256"/>
      <c r="K432" s="568">
        <v>2395200</v>
      </c>
      <c r="L432" s="569" t="s">
        <v>253</v>
      </c>
      <c r="M432" s="569" t="s">
        <v>367</v>
      </c>
      <c r="N432" s="52" t="str">
        <f>IF(AND('331-CT'!$E$7=TH!H432,OR(L432="331",M432="331")),"331",IF(AND(OR(L432="131",M432="131"),H432='131-CT'!$E$7),"131",""))</f>
        <v/>
      </c>
      <c r="O432" s="90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21"/>
      <c r="AC432" s="560" t="str">
        <f>IF(VLOOKUP(H432,DS_131,1,0)&lt;&gt;"","","x")</f>
        <v/>
      </c>
    </row>
    <row r="433" spans="1:31" s="56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923</v>
      </c>
      <c r="E433" s="191">
        <v>41922</v>
      </c>
      <c r="F433" s="192" t="s">
        <v>740</v>
      </c>
      <c r="G433" s="468" t="s">
        <v>741</v>
      </c>
      <c r="H433" s="7" t="s">
        <v>742</v>
      </c>
      <c r="I433" s="256">
        <v>600</v>
      </c>
      <c r="J433" s="256">
        <v>11300</v>
      </c>
      <c r="K433" s="568">
        <f>ROUND(I433*J433,0)</f>
        <v>6780000</v>
      </c>
      <c r="L433" s="569" t="s">
        <v>253</v>
      </c>
      <c r="M433" s="569" t="s">
        <v>177</v>
      </c>
      <c r="N433" s="52" t="str">
        <f>IF(AND('331-CT'!$E$7=TH!H433,OR(L433="331",M433="331")),"331",IF(AND(OR(L433="131",M433="131"),H433='131-CT'!$E$7),"131",""))</f>
        <v/>
      </c>
      <c r="O433" s="90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21"/>
      <c r="AC433" s="211" t="str">
        <f>IF(F433=VLOOKUP(F433,NXT!$C$12:$C$305,1,0),"","x")</f>
        <v/>
      </c>
      <c r="AD433" s="211"/>
      <c r="AE433" s="211"/>
    </row>
    <row r="434" spans="1:31" s="56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923</v>
      </c>
      <c r="E434" s="191">
        <v>41922</v>
      </c>
      <c r="F434" s="192" t="s">
        <v>426</v>
      </c>
      <c r="G434" s="468" t="s">
        <v>741</v>
      </c>
      <c r="H434" s="7" t="s">
        <v>742</v>
      </c>
      <c r="I434" s="256"/>
      <c r="J434" s="256"/>
      <c r="K434" s="568">
        <v>678000</v>
      </c>
      <c r="L434" s="569" t="s">
        <v>253</v>
      </c>
      <c r="M434" s="569" t="s">
        <v>367</v>
      </c>
      <c r="N434" s="52" t="str">
        <f>IF(AND('331-CT'!$E$7=TH!H434,OR(L434="331",M434="331")),"331",IF(AND(OR(L434="131",M434="131"),H434='131-CT'!$E$7),"131",""))</f>
        <v/>
      </c>
      <c r="O434" s="90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21"/>
      <c r="AC434" s="560" t="str">
        <f>IF(VLOOKUP(H434,DS_131,1,0)&lt;&gt;"","","x")</f>
        <v/>
      </c>
      <c r="AD434" s="211"/>
      <c r="AE434" s="211"/>
    </row>
    <row r="435" spans="1:31" s="56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924</v>
      </c>
      <c r="E435" s="191">
        <v>41922</v>
      </c>
      <c r="F435" s="192" t="s">
        <v>670</v>
      </c>
      <c r="G435" s="468" t="s">
        <v>743</v>
      </c>
      <c r="H435" s="7" t="s">
        <v>609</v>
      </c>
      <c r="I435" s="256">
        <v>1932</v>
      </c>
      <c r="J435" s="256">
        <v>10050</v>
      </c>
      <c r="K435" s="568">
        <f t="shared" ref="K435:K442" si="20">ROUND(I435*J435,0)</f>
        <v>19416600</v>
      </c>
      <c r="L435" s="569" t="s">
        <v>253</v>
      </c>
      <c r="M435" s="569" t="s">
        <v>177</v>
      </c>
      <c r="N435" s="52" t="str">
        <f>IF(AND('331-CT'!$E$7=TH!H435,OR(L435="331",M435="331")),"331",IF(AND(OR(L435="131",M435="131"),H435='131-CT'!$E$7),"131",""))</f>
        <v/>
      </c>
      <c r="O435" s="90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21"/>
      <c r="AC435" s="211" t="str">
        <f>IF(F435=VLOOKUP(F435,NXT!$C$12:$C$305,1,0),"","x")</f>
        <v/>
      </c>
      <c r="AD435" s="211"/>
      <c r="AE435" s="211"/>
    </row>
    <row r="436" spans="1:31" s="56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924</v>
      </c>
      <c r="E436" s="191">
        <v>41922</v>
      </c>
      <c r="F436" s="192" t="s">
        <v>670</v>
      </c>
      <c r="G436" s="468" t="s">
        <v>743</v>
      </c>
      <c r="H436" s="7" t="s">
        <v>609</v>
      </c>
      <c r="I436" s="256">
        <v>593</v>
      </c>
      <c r="J436" s="256">
        <v>10050</v>
      </c>
      <c r="K436" s="568">
        <f t="shared" si="20"/>
        <v>5959650</v>
      </c>
      <c r="L436" s="569" t="s">
        <v>253</v>
      </c>
      <c r="M436" s="569" t="s">
        <v>177</v>
      </c>
      <c r="N436" s="52" t="str">
        <f>IF(AND('331-CT'!$E$7=TH!H436,OR(L436="331",M436="331")),"331",IF(AND(OR(L436="131",M436="131"),H436='131-CT'!$E$7),"131",""))</f>
        <v/>
      </c>
      <c r="O436" s="90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21"/>
      <c r="AC436" s="211" t="str">
        <f>IF(F436=VLOOKUP(F436,NXT!$C$12:$C$305,1,0),"","x")</f>
        <v/>
      </c>
      <c r="AD436" s="211"/>
      <c r="AE436" s="211"/>
    </row>
    <row r="437" spans="1:31" s="56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924</v>
      </c>
      <c r="E437" s="191">
        <v>41922</v>
      </c>
      <c r="F437" s="192" t="s">
        <v>744</v>
      </c>
      <c r="G437" s="468" t="s">
        <v>743</v>
      </c>
      <c r="H437" s="7" t="s">
        <v>609</v>
      </c>
      <c r="I437" s="256">
        <v>314</v>
      </c>
      <c r="J437" s="256">
        <v>9450</v>
      </c>
      <c r="K437" s="568">
        <f t="shared" si="20"/>
        <v>2967300</v>
      </c>
      <c r="L437" s="569" t="s">
        <v>253</v>
      </c>
      <c r="M437" s="569" t="s">
        <v>177</v>
      </c>
      <c r="N437" s="52" t="str">
        <f>IF(AND('331-CT'!$E$7=TH!H437,OR(L437="331",M437="331")),"331",IF(AND(OR(L437="131",M437="131"),H437='131-CT'!$E$7),"131",""))</f>
        <v/>
      </c>
      <c r="O437" s="90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21"/>
      <c r="AC437" s="211" t="str">
        <f>IF(F437=VLOOKUP(F437,NXT!$C$12:$C$305,1,0),"","x")</f>
        <v/>
      </c>
      <c r="AD437" s="211"/>
      <c r="AE437" s="211"/>
    </row>
    <row r="438" spans="1:31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924</v>
      </c>
      <c r="E438" s="191">
        <v>41922</v>
      </c>
      <c r="F438" s="192" t="s">
        <v>670</v>
      </c>
      <c r="G438" s="468" t="s">
        <v>743</v>
      </c>
      <c r="H438" s="7" t="s">
        <v>609</v>
      </c>
      <c r="I438" s="256">
        <v>173</v>
      </c>
      <c r="J438" s="256">
        <v>10050</v>
      </c>
      <c r="K438" s="568">
        <f t="shared" si="20"/>
        <v>1738650</v>
      </c>
      <c r="L438" s="569" t="s">
        <v>253</v>
      </c>
      <c r="M438" s="569" t="s">
        <v>177</v>
      </c>
      <c r="N438" s="52" t="str">
        <f>IF(AND('331-CT'!$E$7=TH!H438,OR(L438="331",M438="331")),"331",IF(AND(OR(L438="131",M438="131"),H438='131-CT'!$E$7),"131",""))</f>
        <v/>
      </c>
      <c r="O438" s="90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21"/>
      <c r="AC438" s="211" t="str">
        <f>IF(F438=VLOOKUP(F438,NXT!$C$12:$C$305,1,0),"","x")</f>
        <v/>
      </c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924</v>
      </c>
      <c r="E439" s="191">
        <v>41922</v>
      </c>
      <c r="F439" s="192" t="s">
        <v>670</v>
      </c>
      <c r="G439" s="468" t="s">
        <v>743</v>
      </c>
      <c r="H439" s="7" t="s">
        <v>609</v>
      </c>
      <c r="I439" s="256">
        <v>287</v>
      </c>
      <c r="J439" s="256">
        <v>10050</v>
      </c>
      <c r="K439" s="568">
        <f t="shared" si="20"/>
        <v>2884350</v>
      </c>
      <c r="L439" s="569" t="s">
        <v>253</v>
      </c>
      <c r="M439" s="569" t="s">
        <v>177</v>
      </c>
      <c r="N439" s="52" t="str">
        <f>IF(AND('331-CT'!$E$7=TH!H439,OR(L439="331",M439="331")),"331",IF(AND(OR(L439="131",M439="131"),H439='131-CT'!$E$7),"131",""))</f>
        <v/>
      </c>
      <c r="O439" s="902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21"/>
      <c r="AC439" s="211" t="str">
        <f>IF(F439=VLOOKUP(F439,NXT!$C$12:$C$305,1,0),"","x")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924</v>
      </c>
      <c r="E440" s="191">
        <v>41922</v>
      </c>
      <c r="F440" s="192" t="s">
        <v>744</v>
      </c>
      <c r="G440" s="468" t="s">
        <v>743</v>
      </c>
      <c r="H440" s="7" t="s">
        <v>609</v>
      </c>
      <c r="I440" s="256">
        <v>454</v>
      </c>
      <c r="J440" s="256">
        <v>9450</v>
      </c>
      <c r="K440" s="568">
        <f t="shared" si="20"/>
        <v>4290300</v>
      </c>
      <c r="L440" s="569" t="s">
        <v>253</v>
      </c>
      <c r="M440" s="569" t="s">
        <v>177</v>
      </c>
      <c r="N440" s="52" t="str">
        <f>IF(AND('331-CT'!$E$7=TH!H440,OR(L440="331",M440="331")),"331",IF(AND(OR(L440="131",M440="131"),H440='131-CT'!$E$7),"131",""))</f>
        <v/>
      </c>
      <c r="O440" s="90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21"/>
      <c r="AC440" s="211" t="str">
        <f>IF(F440=VLOOKUP(F440,NXT!$C$12:$C$305,1,0),"","x")</f>
        <v/>
      </c>
    </row>
    <row r="441" spans="1:31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924</v>
      </c>
      <c r="E441" s="191">
        <v>41922</v>
      </c>
      <c r="F441" s="192" t="s">
        <v>744</v>
      </c>
      <c r="G441" s="468" t="s">
        <v>743</v>
      </c>
      <c r="H441" s="7" t="s">
        <v>609</v>
      </c>
      <c r="I441" s="256">
        <v>160</v>
      </c>
      <c r="J441" s="256">
        <v>9450</v>
      </c>
      <c r="K441" s="568">
        <f t="shared" si="20"/>
        <v>1512000</v>
      </c>
      <c r="L441" s="569" t="s">
        <v>253</v>
      </c>
      <c r="M441" s="569" t="s">
        <v>177</v>
      </c>
      <c r="N441" s="52" t="str">
        <f>IF(AND('331-CT'!$E$7=TH!H441,OR(L441="331",M441="331")),"331",IF(AND(OR(L441="131",M441="131"),H441='131-CT'!$E$7),"131",""))</f>
        <v/>
      </c>
      <c r="O441" s="90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21"/>
      <c r="AC441" s="211" t="str">
        <f>IF(F441=VLOOKUP(F441,NXT!$C$12:$C$305,1,0),"","x")</f>
        <v/>
      </c>
    </row>
    <row r="442" spans="1:31" s="56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924</v>
      </c>
      <c r="E442" s="191">
        <v>41922</v>
      </c>
      <c r="F442" s="192" t="s">
        <v>630</v>
      </c>
      <c r="G442" s="468" t="s">
        <v>743</v>
      </c>
      <c r="H442" s="7" t="s">
        <v>609</v>
      </c>
      <c r="I442" s="256">
        <v>4800</v>
      </c>
      <c r="J442" s="256">
        <v>400</v>
      </c>
      <c r="K442" s="568">
        <f t="shared" si="20"/>
        <v>1920000</v>
      </c>
      <c r="L442" s="569" t="s">
        <v>253</v>
      </c>
      <c r="M442" s="569" t="s">
        <v>177</v>
      </c>
      <c r="N442" s="52" t="str">
        <f>IF(AND('331-CT'!$E$7=TH!H442,OR(L442="331",M442="331")),"331",IF(AND(OR(L442="131",M442="131"),H442='131-CT'!$E$7),"131",""))</f>
        <v/>
      </c>
      <c r="O442" s="90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21"/>
      <c r="AC442" s="211" t="str">
        <f>IF(F442=VLOOKUP(F442,NXT!$C$12:$C$305,1,0),"","x")</f>
        <v/>
      </c>
      <c r="AD442" s="211"/>
      <c r="AE442" s="211"/>
    </row>
    <row r="443" spans="1:31" s="56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924</v>
      </c>
      <c r="E443" s="191">
        <v>41922</v>
      </c>
      <c r="F443" s="192" t="s">
        <v>426</v>
      </c>
      <c r="G443" s="468" t="s">
        <v>743</v>
      </c>
      <c r="H443" s="7" t="s">
        <v>609</v>
      </c>
      <c r="I443" s="256"/>
      <c r="J443" s="256"/>
      <c r="K443" s="568">
        <v>4068885</v>
      </c>
      <c r="L443" s="569" t="s">
        <v>253</v>
      </c>
      <c r="M443" s="569" t="s">
        <v>367</v>
      </c>
      <c r="N443" s="52" t="str">
        <f>IF(AND('331-CT'!$E$7=TH!H443,OR(L443="331",M443="331")),"331",IF(AND(OR(L443="131",M443="131"),H443='131-CT'!$E$7),"131",""))</f>
        <v/>
      </c>
      <c r="O443" s="90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21"/>
      <c r="AC443" s="560" t="str">
        <f>IF(VLOOKUP(H443,DS_131,1,0)&lt;&gt;"","","x")</f>
        <v/>
      </c>
      <c r="AD443" s="211"/>
      <c r="AE443" s="211"/>
    </row>
    <row r="444" spans="1:31" s="56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925</v>
      </c>
      <c r="E444" s="191">
        <v>41926</v>
      </c>
      <c r="F444" s="192" t="s">
        <v>714</v>
      </c>
      <c r="G444" s="468" t="s">
        <v>745</v>
      </c>
      <c r="H444" s="7" t="s">
        <v>589</v>
      </c>
      <c r="I444" s="256">
        <v>1635</v>
      </c>
      <c r="J444" s="256">
        <v>7000</v>
      </c>
      <c r="K444" s="568">
        <f>ROUND(I444*J444,0)</f>
        <v>11445000</v>
      </c>
      <c r="L444" s="569" t="s">
        <v>253</v>
      </c>
      <c r="M444" s="569" t="s">
        <v>177</v>
      </c>
      <c r="N444" s="52" t="str">
        <f>IF(AND('331-CT'!$E$7=TH!H444,OR(L444="331",M444="331")),"331",IF(AND(OR(L444="131",M444="131"),H444='131-CT'!$E$7),"131",""))</f>
        <v/>
      </c>
      <c r="O444" s="90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21"/>
      <c r="AC444" s="211" t="str">
        <f>IF(F444=VLOOKUP(F444,NXT!$C$12:$C$305,1,0),"","x")</f>
        <v/>
      </c>
      <c r="AD444" s="211"/>
      <c r="AE444" s="211"/>
    </row>
    <row r="445" spans="1:31" s="56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925</v>
      </c>
      <c r="E445" s="191">
        <v>41926</v>
      </c>
      <c r="F445" s="192" t="s">
        <v>426</v>
      </c>
      <c r="G445" s="468" t="s">
        <v>745</v>
      </c>
      <c r="H445" s="7" t="s">
        <v>589</v>
      </c>
      <c r="I445" s="256"/>
      <c r="J445" s="256"/>
      <c r="K445" s="568">
        <v>1144500</v>
      </c>
      <c r="L445" s="569" t="s">
        <v>253</v>
      </c>
      <c r="M445" s="569" t="s">
        <v>367</v>
      </c>
      <c r="N445" s="52" t="str">
        <f>IF(AND('331-CT'!$E$7=TH!H445,OR(L445="331",M445="331")),"331",IF(AND(OR(L445="131",M445="131"),H445='131-CT'!$E$7),"131",""))</f>
        <v/>
      </c>
      <c r="O445" s="90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21"/>
      <c r="AC445" s="560" t="str">
        <f>IF(VLOOKUP(H445,DS_131,1,0)&lt;&gt;"","","x")</f>
        <v/>
      </c>
      <c r="AD445" s="211"/>
      <c r="AE445" s="211"/>
    </row>
    <row r="446" spans="1:31" s="56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926</v>
      </c>
      <c r="E446" s="191">
        <v>41926</v>
      </c>
      <c r="F446" s="192" t="s">
        <v>500</v>
      </c>
      <c r="G446" s="468" t="s">
        <v>746</v>
      </c>
      <c r="H446" s="7" t="s">
        <v>917</v>
      </c>
      <c r="I446" s="256">
        <v>197</v>
      </c>
      <c r="J446" s="256">
        <v>8600</v>
      </c>
      <c r="K446" s="568">
        <f>ROUND(I446*J446,0)</f>
        <v>1694200</v>
      </c>
      <c r="L446" s="569" t="s">
        <v>253</v>
      </c>
      <c r="M446" s="569" t="s">
        <v>177</v>
      </c>
      <c r="N446" s="52" t="str">
        <f>IF(AND('331-CT'!$E$7=TH!H446,OR(L446="331",M446="331")),"331",IF(AND(OR(L446="131",M446="131"),H446='131-CT'!$E$7),"131",""))</f>
        <v/>
      </c>
      <c r="O446" s="90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21"/>
      <c r="AC446" s="211" t="str">
        <f>IF(F446=VLOOKUP(F446,NXT!$C$12:$C$305,1,0),"","x")</f>
        <v/>
      </c>
      <c r="AD446" s="211"/>
      <c r="AE446" s="211"/>
    </row>
    <row r="447" spans="1:31" s="56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926</v>
      </c>
      <c r="E447" s="191">
        <v>41926</v>
      </c>
      <c r="F447" s="192" t="s">
        <v>518</v>
      </c>
      <c r="G447" s="468" t="s">
        <v>746</v>
      </c>
      <c r="H447" s="7" t="s">
        <v>917</v>
      </c>
      <c r="I447" s="256">
        <v>300</v>
      </c>
      <c r="J447" s="256">
        <v>7000</v>
      </c>
      <c r="K447" s="568">
        <f>ROUND(I447*J447,0)</f>
        <v>2100000</v>
      </c>
      <c r="L447" s="569" t="s">
        <v>253</v>
      </c>
      <c r="M447" s="569" t="s">
        <v>177</v>
      </c>
      <c r="N447" s="52" t="str">
        <f>IF(AND('331-CT'!$E$7=TH!H447,OR(L447="331",M447="331")),"331",IF(AND(OR(L447="131",M447="131"),H447='131-CT'!$E$7),"131",""))</f>
        <v/>
      </c>
      <c r="O447" s="90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21"/>
      <c r="AC447" s="211" t="str">
        <f>IF(F447=VLOOKUP(F447,NXT!$C$12:$C$305,1,0),"","x")</f>
        <v/>
      </c>
      <c r="AD447" s="211"/>
      <c r="AE447" s="211"/>
    </row>
    <row r="448" spans="1:31" s="56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926</v>
      </c>
      <c r="E448" s="191">
        <v>41926</v>
      </c>
      <c r="F448" s="192" t="s">
        <v>747</v>
      </c>
      <c r="G448" s="468" t="s">
        <v>746</v>
      </c>
      <c r="H448" s="7" t="s">
        <v>917</v>
      </c>
      <c r="I448" s="256">
        <v>42</v>
      </c>
      <c r="J448" s="256">
        <v>7400</v>
      </c>
      <c r="K448" s="568">
        <f>ROUND(I448*J448,0)</f>
        <v>310800</v>
      </c>
      <c r="L448" s="569" t="s">
        <v>253</v>
      </c>
      <c r="M448" s="569" t="s">
        <v>177</v>
      </c>
      <c r="N448" s="52" t="str">
        <f>IF(AND('331-CT'!$E$7=TH!H448,OR(L448="331",M448="331")),"331",IF(AND(OR(L448="131",M448="131"),H448='131-CT'!$E$7),"131",""))</f>
        <v/>
      </c>
      <c r="O448" s="90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21"/>
      <c r="AC448" s="211" t="str">
        <f>IF(F448=VLOOKUP(F448,NXT!$C$12:$C$305,1,0),"","x")</f>
        <v/>
      </c>
      <c r="AD448" s="211"/>
      <c r="AE448" s="211"/>
    </row>
    <row r="449" spans="1:31" s="56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926</v>
      </c>
      <c r="E449" s="191">
        <v>41926</v>
      </c>
      <c r="F449" s="192" t="s">
        <v>492</v>
      </c>
      <c r="G449" s="468" t="s">
        <v>746</v>
      </c>
      <c r="H449" s="7" t="s">
        <v>917</v>
      </c>
      <c r="I449" s="256">
        <v>297</v>
      </c>
      <c r="J449" s="256">
        <v>9300</v>
      </c>
      <c r="K449" s="568">
        <f>ROUND(I449*J449,0)</f>
        <v>2762100</v>
      </c>
      <c r="L449" s="569" t="s">
        <v>253</v>
      </c>
      <c r="M449" s="569" t="s">
        <v>177</v>
      </c>
      <c r="N449" s="52" t="str">
        <f>IF(AND('331-CT'!$E$7=TH!H449,OR(L449="331",M449="331")),"331",IF(AND(OR(L449="131",M449="131"),H449='131-CT'!$E$7),"131",""))</f>
        <v/>
      </c>
      <c r="O449" s="902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21"/>
      <c r="AC449" s="211" t="str">
        <f>IF(F449=VLOOKUP(F449,NXT!$C$12:$C$305,1,0),"","x")</f>
        <v/>
      </c>
      <c r="AD449" s="211"/>
      <c r="AE449" s="211"/>
    </row>
    <row r="450" spans="1:31" s="56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926</v>
      </c>
      <c r="E450" s="191">
        <v>41926</v>
      </c>
      <c r="F450" s="192" t="s">
        <v>426</v>
      </c>
      <c r="G450" s="468" t="s">
        <v>746</v>
      </c>
      <c r="H450" s="7" t="s">
        <v>917</v>
      </c>
      <c r="I450" s="256"/>
      <c r="J450" s="256"/>
      <c r="K450" s="568">
        <v>686710</v>
      </c>
      <c r="L450" s="569" t="s">
        <v>253</v>
      </c>
      <c r="M450" s="569" t="s">
        <v>367</v>
      </c>
      <c r="N450" s="52" t="str">
        <f>IF(AND('331-CT'!$E$7=TH!H450,OR(L450="331",M450="331")),"331",IF(AND(OR(L450="131",M450="131"),H450='131-CT'!$E$7),"131",""))</f>
        <v/>
      </c>
      <c r="O450" s="902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21"/>
      <c r="AC450" s="560" t="str">
        <f>IF(VLOOKUP(H450,DS_131,1,0)&lt;&gt;"","","x")</f>
        <v/>
      </c>
      <c r="AD450" s="211"/>
      <c r="AE450" s="211"/>
    </row>
    <row r="451" spans="1:31" s="56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927</v>
      </c>
      <c r="E451" s="191">
        <v>41926</v>
      </c>
      <c r="F451" s="192" t="s">
        <v>748</v>
      </c>
      <c r="G451" s="468" t="s">
        <v>749</v>
      </c>
      <c r="H451" s="7" t="s">
        <v>609</v>
      </c>
      <c r="I451" s="256">
        <v>135</v>
      </c>
      <c r="J451" s="256">
        <v>13000</v>
      </c>
      <c r="K451" s="568">
        <f>ROUND(I451*J451,0)</f>
        <v>1755000</v>
      </c>
      <c r="L451" s="569" t="s">
        <v>253</v>
      </c>
      <c r="M451" s="569" t="s">
        <v>177</v>
      </c>
      <c r="N451" s="52" t="str">
        <f>IF(AND('331-CT'!$E$7=TH!H451,OR(L451="331",M451="331")),"331",IF(AND(OR(L451="131",M451="131"),H451='131-CT'!$E$7),"131",""))</f>
        <v/>
      </c>
      <c r="O451" s="90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21"/>
      <c r="AC451" s="211" t="str">
        <f>IF(F451=VLOOKUP(F451,NXT!$C$12:$C$305,1,0),"","x")</f>
        <v/>
      </c>
      <c r="AD451" s="211"/>
      <c r="AE451" s="211"/>
    </row>
    <row r="452" spans="1:31" s="56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927</v>
      </c>
      <c r="E452" s="191">
        <v>41926</v>
      </c>
      <c r="F452" s="192" t="s">
        <v>748</v>
      </c>
      <c r="G452" s="468" t="s">
        <v>749</v>
      </c>
      <c r="H452" s="7" t="s">
        <v>609</v>
      </c>
      <c r="I452" s="256">
        <v>280</v>
      </c>
      <c r="J452" s="256">
        <v>13500</v>
      </c>
      <c r="K452" s="568">
        <f>ROUND(I452*J452,0)</f>
        <v>3780000</v>
      </c>
      <c r="L452" s="569" t="s">
        <v>253</v>
      </c>
      <c r="M452" s="569" t="s">
        <v>177</v>
      </c>
      <c r="N452" s="52" t="str">
        <f>IF(AND('331-CT'!$E$7=TH!H452,OR(L452="331",M452="331")),"331",IF(AND(OR(L452="131",M452="131"),H452='131-CT'!$E$7),"131",""))</f>
        <v/>
      </c>
      <c r="O452" s="90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21"/>
      <c r="AC452" s="211" t="str">
        <f>IF(F452=VLOOKUP(F452,NXT!$C$12:$C$305,1,0),"","x")</f>
        <v/>
      </c>
      <c r="AD452" s="211"/>
      <c r="AE452" s="211"/>
    </row>
    <row r="453" spans="1:31" s="560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927</v>
      </c>
      <c r="E453" s="191">
        <v>41926</v>
      </c>
      <c r="F453" s="192" t="s">
        <v>426</v>
      </c>
      <c r="G453" s="468" t="s">
        <v>749</v>
      </c>
      <c r="H453" s="7" t="s">
        <v>609</v>
      </c>
      <c r="I453" s="256"/>
      <c r="J453" s="256"/>
      <c r="K453" s="568">
        <v>553500</v>
      </c>
      <c r="L453" s="569" t="s">
        <v>253</v>
      </c>
      <c r="M453" s="569" t="s">
        <v>367</v>
      </c>
      <c r="N453" s="52" t="str">
        <f>IF(AND('331-CT'!$E$7=TH!H453,OR(L453="331",M453="331")),"331",IF(AND(OR(L453="131",M453="131"),H453='131-CT'!$E$7),"131",""))</f>
        <v/>
      </c>
      <c r="O453" s="90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21"/>
      <c r="AC453" s="560" t="str">
        <f>IF(VLOOKUP(H453,DS_131,1,0)&lt;&gt;"","","x")</f>
        <v/>
      </c>
      <c r="AD453" s="211"/>
      <c r="AE453" s="211"/>
    </row>
    <row r="454" spans="1:31" s="560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928</v>
      </c>
      <c r="E454" s="191">
        <v>41928</v>
      </c>
      <c r="F454" s="192" t="s">
        <v>750</v>
      </c>
      <c r="G454" s="468" t="s">
        <v>751</v>
      </c>
      <c r="H454" s="7" t="s">
        <v>425</v>
      </c>
      <c r="I454" s="256">
        <v>2960</v>
      </c>
      <c r="J454" s="256">
        <v>5800</v>
      </c>
      <c r="K454" s="568">
        <f>ROUND(I454*J454,0)</f>
        <v>17168000</v>
      </c>
      <c r="L454" s="569" t="s">
        <v>253</v>
      </c>
      <c r="M454" s="569" t="s">
        <v>177</v>
      </c>
      <c r="N454" s="52" t="str">
        <f>IF(AND('331-CT'!$E$7=TH!H454,OR(L454="331",M454="331")),"331",IF(AND(OR(L454="131",M454="131"),H454='131-CT'!$E$7),"131",""))</f>
        <v/>
      </c>
      <c r="O454" s="902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21"/>
      <c r="AC454" s="211" t="str">
        <f>IF(F454=VLOOKUP(F454,NXT!$C$12:$C$305,1,0),"","x")</f>
        <v/>
      </c>
      <c r="AD454" s="211"/>
      <c r="AE454" s="211"/>
    </row>
    <row r="455" spans="1:31" s="560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928</v>
      </c>
      <c r="E455" s="191">
        <v>41928</v>
      </c>
      <c r="F455" s="192" t="s">
        <v>426</v>
      </c>
      <c r="G455" s="468" t="s">
        <v>751</v>
      </c>
      <c r="H455" s="7" t="s">
        <v>425</v>
      </c>
      <c r="I455" s="256"/>
      <c r="J455" s="256"/>
      <c r="K455" s="568">
        <v>1716800</v>
      </c>
      <c r="L455" s="569" t="s">
        <v>253</v>
      </c>
      <c r="M455" s="569" t="s">
        <v>367</v>
      </c>
      <c r="N455" s="52" t="str">
        <f>IF(AND('331-CT'!$E$7=TH!H455,OR(L455="331",M455="331")),"331",IF(AND(OR(L455="131",M455="131"),H455='131-CT'!$E$7),"131",""))</f>
        <v/>
      </c>
      <c r="O455" s="902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21"/>
      <c r="AC455" s="560" t="str">
        <f>IF(VLOOKUP(H455,DS_131,1,0)&lt;&gt;"","","x")</f>
        <v/>
      </c>
      <c r="AD455" s="211"/>
      <c r="AE455" s="211"/>
    </row>
    <row r="456" spans="1:31" s="560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929</v>
      </c>
      <c r="E456" s="191">
        <v>41929</v>
      </c>
      <c r="F456" s="192" t="s">
        <v>619</v>
      </c>
      <c r="G456" s="468" t="s">
        <v>752</v>
      </c>
      <c r="H456" s="7" t="s">
        <v>425</v>
      </c>
      <c r="I456" s="256">
        <v>500</v>
      </c>
      <c r="J456" s="256">
        <v>4500</v>
      </c>
      <c r="K456" s="568">
        <f>ROUND(I456*J456,0)</f>
        <v>2250000</v>
      </c>
      <c r="L456" s="569" t="s">
        <v>253</v>
      </c>
      <c r="M456" s="569" t="s">
        <v>177</v>
      </c>
      <c r="N456" s="52" t="str">
        <f>IF(AND('331-CT'!$E$7=TH!H456,OR(L456="331",M456="331")),"331",IF(AND(OR(L456="131",M456="131"),H456='131-CT'!$E$7),"131",""))</f>
        <v/>
      </c>
      <c r="O456" s="90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21"/>
      <c r="AC456" s="211" t="str">
        <f>IF(F456=VLOOKUP(F456,NXT!$C$12:$C$305,1,0),"","x")</f>
        <v/>
      </c>
      <c r="AD456" s="211"/>
      <c r="AE456" s="211"/>
    </row>
    <row r="457" spans="1:31" s="560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929</v>
      </c>
      <c r="E457" s="191">
        <v>41929</v>
      </c>
      <c r="F457" s="192" t="s">
        <v>426</v>
      </c>
      <c r="G457" s="468" t="s">
        <v>752</v>
      </c>
      <c r="H457" s="7" t="s">
        <v>425</v>
      </c>
      <c r="I457" s="256"/>
      <c r="J457" s="256"/>
      <c r="K457" s="568">
        <v>225000</v>
      </c>
      <c r="L457" s="569" t="s">
        <v>253</v>
      </c>
      <c r="M457" s="569" t="s">
        <v>367</v>
      </c>
      <c r="N457" s="52" t="str">
        <f>IF(AND('331-CT'!$E$7=TH!H457,OR(L457="331",M457="331")),"331",IF(AND(OR(L457="131",M457="131"),H457='131-CT'!$E$7),"131",""))</f>
        <v/>
      </c>
      <c r="O457" s="90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21"/>
      <c r="AC457" s="560" t="str">
        <f>IF(VLOOKUP(H457,DS_131,1,0)&lt;&gt;"","","x")</f>
        <v/>
      </c>
      <c r="AD457" s="211"/>
      <c r="AE457" s="211"/>
    </row>
    <row r="458" spans="1:31" s="560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930</v>
      </c>
      <c r="E458" s="191">
        <v>41934</v>
      </c>
      <c r="F458" s="192" t="s">
        <v>753</v>
      </c>
      <c r="G458" s="468" t="s">
        <v>754</v>
      </c>
      <c r="H458" s="7" t="s">
        <v>692</v>
      </c>
      <c r="I458" s="256">
        <v>164</v>
      </c>
      <c r="J458" s="256">
        <v>34000</v>
      </c>
      <c r="K458" s="568">
        <f>ROUND(I458*J458,0)</f>
        <v>5576000</v>
      </c>
      <c r="L458" s="569" t="s">
        <v>253</v>
      </c>
      <c r="M458" s="569" t="s">
        <v>177</v>
      </c>
      <c r="N458" s="52" t="str">
        <f>IF(AND('331-CT'!$E$7=TH!H458,OR(L458="331",M458="331")),"331",IF(AND(OR(L458="131",M458="131"),H458='131-CT'!$E$7),"131",""))</f>
        <v/>
      </c>
      <c r="O458" s="90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21"/>
      <c r="AC458" s="211" t="str">
        <f>IF(F458=VLOOKUP(F458,NXT!$C$12:$C$305,1,0),"","x")</f>
        <v/>
      </c>
      <c r="AD458" s="211"/>
      <c r="AE458" s="211"/>
    </row>
    <row r="459" spans="1:31" s="560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930</v>
      </c>
      <c r="E459" s="191">
        <v>41934</v>
      </c>
      <c r="F459" s="192" t="s">
        <v>755</v>
      </c>
      <c r="G459" s="468" t="s">
        <v>754</v>
      </c>
      <c r="H459" s="7" t="s">
        <v>692</v>
      </c>
      <c r="I459" s="256">
        <v>328</v>
      </c>
      <c r="J459" s="256">
        <v>1440</v>
      </c>
      <c r="K459" s="568">
        <f>ROUND(I459*J459,0)</f>
        <v>472320</v>
      </c>
      <c r="L459" s="569" t="s">
        <v>253</v>
      </c>
      <c r="M459" s="569" t="s">
        <v>177</v>
      </c>
      <c r="N459" s="52" t="str">
        <f>IF(AND('331-CT'!$E$7=TH!H459,OR(L459="331",M459="331")),"331",IF(AND(OR(L459="131",M459="131"),H459='131-CT'!$E$7),"131",""))</f>
        <v/>
      </c>
      <c r="O459" s="902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21"/>
      <c r="AC459" s="211" t="str">
        <f>IF(F459=VLOOKUP(F459,NXT!$C$12:$C$305,1,0),"","x")</f>
        <v/>
      </c>
      <c r="AD459" s="211"/>
      <c r="AE459" s="211"/>
    </row>
    <row r="460" spans="1:31" s="560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930</v>
      </c>
      <c r="E460" s="191">
        <v>41934</v>
      </c>
      <c r="F460" s="192" t="s">
        <v>426</v>
      </c>
      <c r="G460" s="468" t="s">
        <v>754</v>
      </c>
      <c r="H460" s="7" t="s">
        <v>692</v>
      </c>
      <c r="I460" s="256"/>
      <c r="J460" s="256"/>
      <c r="K460" s="568">
        <v>604832</v>
      </c>
      <c r="L460" s="569" t="s">
        <v>253</v>
      </c>
      <c r="M460" s="569" t="s">
        <v>367</v>
      </c>
      <c r="N460" s="52" t="str">
        <f>IF(AND('331-CT'!$E$7=TH!H460,OR(L460="331",M460="331")),"331",IF(AND(OR(L460="131",M460="131"),H460='131-CT'!$E$7),"131",""))</f>
        <v/>
      </c>
      <c r="O460" s="902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21"/>
      <c r="AC460" s="560" t="str">
        <f>IF(VLOOKUP(H460,DS_131,1,0)&lt;&gt;"","","x")</f>
        <v/>
      </c>
      <c r="AD460" s="211"/>
      <c r="AE460" s="211"/>
    </row>
    <row r="461" spans="1:31" s="560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931</v>
      </c>
      <c r="E461" s="191">
        <v>41934</v>
      </c>
      <c r="F461" s="192" t="s">
        <v>756</v>
      </c>
      <c r="G461" s="468" t="s">
        <v>757</v>
      </c>
      <c r="H461" s="7" t="s">
        <v>609</v>
      </c>
      <c r="I461" s="256">
        <v>738</v>
      </c>
      <c r="J461" s="256">
        <v>24000</v>
      </c>
      <c r="K461" s="568">
        <f>ROUND(I461*J461,0)</f>
        <v>17712000</v>
      </c>
      <c r="L461" s="569" t="s">
        <v>253</v>
      </c>
      <c r="M461" s="569" t="s">
        <v>177</v>
      </c>
      <c r="N461" s="52" t="str">
        <f>IF(AND('331-CT'!$E$7=TH!H461,OR(L461="331",M461="331")),"331",IF(AND(OR(L461="131",M461="131"),H461='131-CT'!$E$7),"131",""))</f>
        <v/>
      </c>
      <c r="O461" s="902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21"/>
      <c r="AC461" s="211" t="str">
        <f>IF(F461=VLOOKUP(F461,NXT!$C$12:$C$305,1,0),"","x")</f>
        <v/>
      </c>
      <c r="AD461" s="211"/>
      <c r="AE461" s="211"/>
    </row>
    <row r="462" spans="1:31" s="560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931</v>
      </c>
      <c r="E462" s="191">
        <v>41934</v>
      </c>
      <c r="F462" s="192" t="s">
        <v>720</v>
      </c>
      <c r="G462" s="468" t="s">
        <v>757</v>
      </c>
      <c r="H462" s="7" t="s">
        <v>609</v>
      </c>
      <c r="I462" s="256">
        <v>30</v>
      </c>
      <c r="J462" s="256">
        <v>13500</v>
      </c>
      <c r="K462" s="568">
        <f>ROUND(I462*J462,0)</f>
        <v>405000</v>
      </c>
      <c r="L462" s="569" t="s">
        <v>253</v>
      </c>
      <c r="M462" s="569" t="s">
        <v>177</v>
      </c>
      <c r="N462" s="52" t="str">
        <f>IF(AND('331-CT'!$E$7=TH!H462,OR(L462="331",M462="331")),"331",IF(AND(OR(L462="131",M462="131"),H462='131-CT'!$E$7),"131",""))</f>
        <v/>
      </c>
      <c r="O462" s="90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21"/>
      <c r="AC462" s="211" t="str">
        <f>IF(F462=VLOOKUP(F462,NXT!$C$12:$C$305,1,0),"","x")</f>
        <v/>
      </c>
      <c r="AD462" s="211"/>
      <c r="AE462" s="211"/>
    </row>
    <row r="463" spans="1:31" s="861" customFormat="1" ht="15.75" hidden="1" customHeight="1">
      <c r="A463" s="850" t="str">
        <f>IF(B463&lt;&gt;"",IF(AND(B463&gt;=_TM1,B463&lt;=_TM2,OR(TH!L463="1111",TH!M463="1111")),TH!D463,""),"")</f>
        <v/>
      </c>
      <c r="B463" s="851">
        <f t="shared" si="21"/>
        <v>10</v>
      </c>
      <c r="C463" s="852">
        <f t="shared" si="22"/>
        <v>41934</v>
      </c>
      <c r="D463" s="852" t="s">
        <v>931</v>
      </c>
      <c r="E463" s="853">
        <v>41934</v>
      </c>
      <c r="F463" s="863" t="s">
        <v>426</v>
      </c>
      <c r="G463" s="864" t="s">
        <v>757</v>
      </c>
      <c r="H463" s="856" t="s">
        <v>609</v>
      </c>
      <c r="I463" s="857"/>
      <c r="J463" s="857"/>
      <c r="K463" s="858">
        <v>1811700</v>
      </c>
      <c r="L463" s="859" t="s">
        <v>253</v>
      </c>
      <c r="M463" s="569" t="s">
        <v>367</v>
      </c>
      <c r="N463" s="849" t="str">
        <f>IF(AND('331-CT'!$E$7=TH!H463,OR(L463="331",M463="331")),"331",IF(AND(OR(L463="131",M463="131"),H463='131-CT'!$E$7),"131",""))</f>
        <v/>
      </c>
      <c r="O463" s="902" t="str">
        <f>IF(AND('341-CT'!$E$9=H463,OR(LEFT(L463,3)=$O$7,LEFT(M463,3)=$O$7)),"x","")</f>
        <v/>
      </c>
      <c r="P463" s="849" t="str">
        <f>IF(AND($B463&gt;='111'!$N$11,$B463&lt;='111'!$O$11,OR($L463=$P$7,$M463=$P$7)),"x","")</f>
        <v/>
      </c>
      <c r="Q463" s="849" t="str">
        <f>IF(AND($L463=$P$7,$B463&lt;'111'!$N$11),"x","")</f>
        <v/>
      </c>
      <c r="R463" s="849" t="str">
        <f>IF(AND($M463=$P$7,$B463&lt;'111'!$N$11),"x","")</f>
        <v/>
      </c>
      <c r="S463" s="849" t="str">
        <f>IF(ISERROR(FIND('112'!$M$9,G463,1)),"",IF((AND(FIND('112'!$M$9,G463,1)&gt;=1,$B463&gt;='112'!$N$8,$B463&lt;='112'!$O$8,OR($L463='112'!$I$6,$M463='112'!$I$6))),"x",""))</f>
        <v/>
      </c>
      <c r="T463" s="849" t="str">
        <f>IF(ISERROR(FIND('112'!$M$9,G463,1)),"",IF((AND(LEFT(G463,2)=LEFT('112'!$M$9,2),B463&lt;'112'!$N$8,$L463='112'!$I$6)),"x",""))</f>
        <v/>
      </c>
      <c r="U463" s="849" t="str">
        <f>IF(ISERROR(FIND('112'!$M$9,G463,1)),"",IF((AND(RIGHT(G463,2)=RIGHT('112'!$M$9,2),B463&lt;'112'!$N$8,$M463='112'!$I$6)),"x",""))</f>
        <v/>
      </c>
      <c r="V463" s="84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849" t="str">
        <f>IF(OR(TH!L463=TH!$W$7,M463=TH!$W$7),"x","")</f>
        <v/>
      </c>
      <c r="X463" s="849" t="str">
        <f>IF(AND(B463&gt;='IN-NX'!$P$3,B463&lt;='IN-NX'!$Q$3,'IN-NX'!$D$7=D463,OR(LEFT(L463,2)="15",AND(LEFT(M463,2)&lt;&gt;"15",LEFT(M463,2)&lt;&gt;"33"))),"x","")</f>
        <v/>
      </c>
      <c r="Y463" s="849" t="str">
        <f>IF(AND(OR(LEFT(TH!L463,2)="15",LEFT(TH!M463,2)="15"),'152-CT'!$J$8=TH!F463),"x","")</f>
        <v/>
      </c>
      <c r="Z463" s="849" t="str">
        <f>IF(AND(OR(LEFT(TH!L463,2)="15",LEFT(TH!M463,2)="15"),TK!$E$7=TH!F463),"x","")</f>
        <v/>
      </c>
      <c r="AA463" s="849" t="str">
        <f>IF(AND(B463&lt;=NKC!$N$8,B463&gt;=NKC!$M$8),"x","")</f>
        <v/>
      </c>
      <c r="AB463" s="860"/>
      <c r="AC463" s="861" t="str">
        <f>IF(VLOOKUP(H463,DS_131,1,0)&lt;&gt;"","","x")</f>
        <v/>
      </c>
      <c r="AD463" s="862">
        <v>1817012</v>
      </c>
      <c r="AE463" s="865">
        <f>AD463-K463</f>
        <v>5312</v>
      </c>
    </row>
    <row r="464" spans="1:31" s="560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932</v>
      </c>
      <c r="E464" s="191">
        <v>41935</v>
      </c>
      <c r="F464" s="192" t="s">
        <v>660</v>
      </c>
      <c r="G464" s="468" t="s">
        <v>758</v>
      </c>
      <c r="H464" s="7" t="s">
        <v>662</v>
      </c>
      <c r="I464" s="256">
        <v>4080</v>
      </c>
      <c r="J464" s="256">
        <v>7400</v>
      </c>
      <c r="K464" s="568">
        <f>ROUND(I464*J464,0)</f>
        <v>30192000</v>
      </c>
      <c r="L464" s="569" t="s">
        <v>253</v>
      </c>
      <c r="M464" s="569" t="s">
        <v>177</v>
      </c>
      <c r="N464" s="52" t="str">
        <f>IF(AND('331-CT'!$E$7=TH!H464,OR(L464="331",M464="331")),"331",IF(AND(OR(L464="131",M464="131"),H464='131-CT'!$E$7),"131",""))</f>
        <v/>
      </c>
      <c r="O464" s="90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21"/>
      <c r="AC464" s="211" t="str">
        <f>IF(F464=VLOOKUP(F464,NXT!$C$12:$C$305,1,0),"","x")</f>
        <v/>
      </c>
      <c r="AD464" s="211"/>
      <c r="AE464" s="211"/>
    </row>
    <row r="465" spans="1:31" s="560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932</v>
      </c>
      <c r="E465" s="191">
        <v>41935</v>
      </c>
      <c r="F465" s="192" t="s">
        <v>426</v>
      </c>
      <c r="G465" s="468" t="s">
        <v>758</v>
      </c>
      <c r="H465" s="7" t="s">
        <v>662</v>
      </c>
      <c r="I465" s="256"/>
      <c r="J465" s="256"/>
      <c r="K465" s="568">
        <v>3019200</v>
      </c>
      <c r="L465" s="569" t="s">
        <v>253</v>
      </c>
      <c r="M465" s="569" t="s">
        <v>367</v>
      </c>
      <c r="N465" s="52" t="str">
        <f>IF(AND('331-CT'!$E$7=TH!H465,OR(L465="331",M465="331")),"331",IF(AND(OR(L465="131",M465="131"),H465='131-CT'!$E$7),"131",""))</f>
        <v/>
      </c>
      <c r="O465" s="90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21"/>
      <c r="AC465" s="560" t="str">
        <f>IF(VLOOKUP(H465,DS_131,1,0)&lt;&gt;"","","x")</f>
        <v/>
      </c>
      <c r="AD465" s="211"/>
      <c r="AE465" s="211"/>
    </row>
    <row r="466" spans="1:31" s="560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933</v>
      </c>
      <c r="E466" s="191">
        <v>41937</v>
      </c>
      <c r="F466" s="192" t="s">
        <v>442</v>
      </c>
      <c r="G466" s="468" t="s">
        <v>759</v>
      </c>
      <c r="H466" s="7" t="s">
        <v>444</v>
      </c>
      <c r="I466" s="256">
        <v>388</v>
      </c>
      <c r="J466" s="256">
        <v>10500</v>
      </c>
      <c r="K466" s="568">
        <f>ROUND(I466*J466,0)</f>
        <v>4074000</v>
      </c>
      <c r="L466" s="569" t="s">
        <v>253</v>
      </c>
      <c r="M466" s="569" t="s">
        <v>177</v>
      </c>
      <c r="N466" s="52" t="str">
        <f>IF(AND('331-CT'!$E$7=TH!H466,OR(L466="331",M466="331")),"331",IF(AND(OR(L466="131",M466="131"),H466='131-CT'!$E$7),"131",""))</f>
        <v/>
      </c>
      <c r="O466" s="90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21"/>
      <c r="AC466" s="211" t="str">
        <f>IF(F466=VLOOKUP(F466,NXT!$C$12:$C$305,1,0),"","x")</f>
        <v/>
      </c>
      <c r="AD466" s="211"/>
      <c r="AE466" s="211"/>
    </row>
    <row r="467" spans="1:31" s="560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933</v>
      </c>
      <c r="E467" s="191">
        <v>41937</v>
      </c>
      <c r="F467" s="192" t="s">
        <v>572</v>
      </c>
      <c r="G467" s="468" t="s">
        <v>759</v>
      </c>
      <c r="H467" s="7" t="s">
        <v>444</v>
      </c>
      <c r="I467" s="256">
        <v>405</v>
      </c>
      <c r="J467" s="256">
        <v>10500</v>
      </c>
      <c r="K467" s="568">
        <f>ROUND(I467*J467,0)</f>
        <v>4252500</v>
      </c>
      <c r="L467" s="569" t="s">
        <v>253</v>
      </c>
      <c r="M467" s="569" t="s">
        <v>177</v>
      </c>
      <c r="N467" s="52" t="str">
        <f>IF(AND('331-CT'!$E$7=TH!H467,OR(L467="331",M467="331")),"331",IF(AND(OR(L467="131",M467="131"),H467='131-CT'!$E$7),"131",""))</f>
        <v/>
      </c>
      <c r="O467" s="90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21"/>
      <c r="AC467" s="211" t="str">
        <f>IF(F467=VLOOKUP(F467,NXT!$C$12:$C$305,1,0),"","x")</f>
        <v/>
      </c>
      <c r="AD467" s="211"/>
      <c r="AE467" s="211"/>
    </row>
    <row r="468" spans="1:31" s="560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933</v>
      </c>
      <c r="E468" s="191">
        <v>41937</v>
      </c>
      <c r="F468" s="192" t="s">
        <v>426</v>
      </c>
      <c r="G468" s="468" t="s">
        <v>759</v>
      </c>
      <c r="H468" s="7" t="s">
        <v>444</v>
      </c>
      <c r="I468" s="256"/>
      <c r="J468" s="256"/>
      <c r="K468" s="568">
        <v>832650</v>
      </c>
      <c r="L468" s="569" t="s">
        <v>253</v>
      </c>
      <c r="M468" s="569" t="s">
        <v>367</v>
      </c>
      <c r="N468" s="52" t="str">
        <f>IF(AND('331-CT'!$E$7=TH!H468,OR(L468="331",M468="331")),"331",IF(AND(OR(L468="131",M468="131"),H468='131-CT'!$E$7),"131",""))</f>
        <v/>
      </c>
      <c r="O468" s="902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21"/>
      <c r="AC468" s="560" t="str">
        <f>IF(VLOOKUP(H468,DS_131,1,0)&lt;&gt;"","","x")</f>
        <v/>
      </c>
      <c r="AD468" s="211"/>
      <c r="AE468" s="211"/>
    </row>
    <row r="469" spans="1:31" s="560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934</v>
      </c>
      <c r="E469" s="191">
        <v>41940</v>
      </c>
      <c r="F469" s="192" t="s">
        <v>760</v>
      </c>
      <c r="G469" s="468" t="s">
        <v>761</v>
      </c>
      <c r="H469" s="7" t="s">
        <v>692</v>
      </c>
      <c r="I469" s="256">
        <v>57</v>
      </c>
      <c r="J469" s="256">
        <v>34000</v>
      </c>
      <c r="K469" s="568">
        <f>ROUND(I469*J469,0)</f>
        <v>1938000</v>
      </c>
      <c r="L469" s="569" t="s">
        <v>253</v>
      </c>
      <c r="M469" s="569" t="s">
        <v>177</v>
      </c>
      <c r="N469" s="52" t="str">
        <f>IF(AND('331-CT'!$E$7=TH!H469,OR(L469="331",M469="331")),"331",IF(AND(OR(L469="131",M469="131"),H469='131-CT'!$E$7),"131",""))</f>
        <v/>
      </c>
      <c r="O469" s="902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21"/>
      <c r="AC469" s="211" t="str">
        <f>IF(F469=VLOOKUP(F469,NXT!$C$12:$C$305,1,0),"","x")</f>
        <v/>
      </c>
      <c r="AD469" s="211"/>
      <c r="AE469" s="211"/>
    </row>
    <row r="470" spans="1:31" s="560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934</v>
      </c>
      <c r="E470" s="191">
        <v>41940</v>
      </c>
      <c r="F470" s="192" t="s">
        <v>762</v>
      </c>
      <c r="G470" s="468" t="s">
        <v>761</v>
      </c>
      <c r="H470" s="7" t="s">
        <v>692</v>
      </c>
      <c r="I470" s="256">
        <v>236</v>
      </c>
      <c r="J470" s="256">
        <v>32000</v>
      </c>
      <c r="K470" s="568">
        <f>ROUND(I470*J470,0)</f>
        <v>7552000</v>
      </c>
      <c r="L470" s="569" t="s">
        <v>253</v>
      </c>
      <c r="M470" s="569" t="s">
        <v>177</v>
      </c>
      <c r="N470" s="52" t="str">
        <f>IF(AND('331-CT'!$E$7=TH!H470,OR(L470="331",M470="331")),"331",IF(AND(OR(L470="131",M470="131"),H470='131-CT'!$E$7),"131",""))</f>
        <v/>
      </c>
      <c r="O470" s="90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21"/>
      <c r="AC470" s="211" t="str">
        <f>IF(F470=VLOOKUP(F470,NXT!$C$12:$C$305,1,0),"","x")</f>
        <v/>
      </c>
      <c r="AD470" s="211"/>
      <c r="AE470" s="211"/>
    </row>
    <row r="471" spans="1:31" s="560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934</v>
      </c>
      <c r="E471" s="191">
        <v>41940</v>
      </c>
      <c r="F471" s="192" t="s">
        <v>755</v>
      </c>
      <c r="G471" s="468" t="s">
        <v>761</v>
      </c>
      <c r="H471" s="7" t="s">
        <v>692</v>
      </c>
      <c r="I471" s="256">
        <v>586</v>
      </c>
      <c r="J471" s="256">
        <v>1440</v>
      </c>
      <c r="K471" s="568">
        <f>ROUND(I471*J471,0)</f>
        <v>843840</v>
      </c>
      <c r="L471" s="569" t="s">
        <v>253</v>
      </c>
      <c r="M471" s="569" t="s">
        <v>177</v>
      </c>
      <c r="N471" s="52" t="str">
        <f>IF(AND('331-CT'!$E$7=TH!H471,OR(L471="331",M471="331")),"331",IF(AND(OR(L471="131",M471="131"),H471='131-CT'!$E$7),"131",""))</f>
        <v/>
      </c>
      <c r="O471" s="90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21"/>
      <c r="AC471" s="211" t="str">
        <f>IF(F471=VLOOKUP(F471,NXT!$C$12:$C$305,1,0),"","x")</f>
        <v/>
      </c>
      <c r="AD471" s="211"/>
      <c r="AE471" s="211"/>
    </row>
    <row r="472" spans="1:31" s="560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934</v>
      </c>
      <c r="E472" s="191">
        <v>41940</v>
      </c>
      <c r="F472" s="192" t="s">
        <v>426</v>
      </c>
      <c r="G472" s="468" t="s">
        <v>761</v>
      </c>
      <c r="H472" s="7" t="s">
        <v>692</v>
      </c>
      <c r="I472" s="256"/>
      <c r="J472" s="256"/>
      <c r="K472" s="568">
        <v>1033384</v>
      </c>
      <c r="L472" s="569" t="s">
        <v>253</v>
      </c>
      <c r="M472" s="569" t="s">
        <v>367</v>
      </c>
      <c r="N472" s="52" t="str">
        <f>IF(AND('331-CT'!$E$7=TH!H472,OR(L472="331",M472="331")),"331",IF(AND(OR(L472="131",M472="131"),H472='131-CT'!$E$7),"131",""))</f>
        <v/>
      </c>
      <c r="O472" s="90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21"/>
      <c r="AC472" s="560" t="str">
        <f>IF(VLOOKUP(H472,DS_131,1,0)&lt;&gt;"","","x")</f>
        <v/>
      </c>
      <c r="AD472" s="211"/>
      <c r="AE472" s="211"/>
    </row>
    <row r="473" spans="1:31" s="560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935</v>
      </c>
      <c r="E473" s="191">
        <v>41940</v>
      </c>
      <c r="F473" s="189" t="s">
        <v>763</v>
      </c>
      <c r="G473" s="468" t="s">
        <v>764</v>
      </c>
      <c r="H473" s="7" t="s">
        <v>649</v>
      </c>
      <c r="I473" s="259">
        <v>1028</v>
      </c>
      <c r="J473" s="259">
        <v>5400</v>
      </c>
      <c r="K473" s="568">
        <f>ROUND(I473*J473,0)</f>
        <v>5551200</v>
      </c>
      <c r="L473" s="569" t="s">
        <v>253</v>
      </c>
      <c r="M473" s="569" t="s">
        <v>177</v>
      </c>
      <c r="N473" s="52" t="str">
        <f>IF(AND('331-CT'!$E$7=TH!H473,OR(L473="331",M473="331")),"331",IF(AND(OR(L473="131",M473="131"),H473='131-CT'!$E$7),"131",""))</f>
        <v/>
      </c>
      <c r="O473" s="90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21"/>
      <c r="AC473" s="211" t="str">
        <f>IF(F473=VLOOKUP(F473,NXT!$C$12:$C$305,1,0),"","x")</f>
        <v/>
      </c>
      <c r="AD473" s="211"/>
      <c r="AE473" s="211"/>
    </row>
    <row r="474" spans="1:31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935</v>
      </c>
      <c r="E474" s="191">
        <v>41940</v>
      </c>
      <c r="F474" s="192" t="s">
        <v>426</v>
      </c>
      <c r="G474" s="468" t="s">
        <v>764</v>
      </c>
      <c r="H474" s="7" t="s">
        <v>649</v>
      </c>
      <c r="I474" s="259"/>
      <c r="J474" s="259"/>
      <c r="K474" s="568">
        <v>555120</v>
      </c>
      <c r="L474" s="569" t="s">
        <v>253</v>
      </c>
      <c r="M474" s="569" t="s">
        <v>367</v>
      </c>
      <c r="N474" s="52" t="str">
        <f>IF(AND('331-CT'!$E$7=TH!H474,OR(L474="331",M474="331")),"331",IF(AND(OR(L474="131",M474="131"),H474='131-CT'!$E$7),"131",""))</f>
        <v/>
      </c>
      <c r="O474" s="90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21"/>
      <c r="AC474" s="560" t="str">
        <f>IF(VLOOKUP(H474,DS_131,1,0)&lt;&gt;"","","x")</f>
        <v/>
      </c>
    </row>
    <row r="475" spans="1:31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936</v>
      </c>
      <c r="E475" s="191">
        <v>41941</v>
      </c>
      <c r="F475" s="189" t="s">
        <v>1217</v>
      </c>
      <c r="G475" s="468" t="s">
        <v>765</v>
      </c>
      <c r="H475" s="7" t="s">
        <v>483</v>
      </c>
      <c r="I475" s="256">
        <v>500</v>
      </c>
      <c r="J475" s="256">
        <v>1000</v>
      </c>
      <c r="K475" s="568">
        <f>ROUND(I475*J475,0)</f>
        <v>500000</v>
      </c>
      <c r="L475" s="569" t="s">
        <v>253</v>
      </c>
      <c r="M475" s="569" t="s">
        <v>177</v>
      </c>
      <c r="N475" s="52" t="str">
        <f>IF(AND('331-CT'!$E$7=TH!H475,OR(L475="331",M475="331")),"331",IF(AND(OR(L475="131",M475="131"),H475='131-CT'!$E$7),"131",""))</f>
        <v/>
      </c>
      <c r="O475" s="90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21"/>
      <c r="AC475" s="211" t="str">
        <f>IF(F475=VLOOKUP(F475,NXT!$C$12:$C$305,1,0),"","x")</f>
        <v/>
      </c>
    </row>
    <row r="476" spans="1:31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936</v>
      </c>
      <c r="E476" s="191">
        <v>41941</v>
      </c>
      <c r="F476" s="40" t="s">
        <v>1218</v>
      </c>
      <c r="G476" s="468" t="s">
        <v>765</v>
      </c>
      <c r="H476" s="7" t="s">
        <v>483</v>
      </c>
      <c r="I476" s="257">
        <v>500</v>
      </c>
      <c r="J476" s="257">
        <v>900</v>
      </c>
      <c r="K476" s="568">
        <f>ROUND(I476*J476,0)</f>
        <v>450000</v>
      </c>
      <c r="L476" s="569" t="s">
        <v>253</v>
      </c>
      <c r="M476" s="569" t="s">
        <v>177</v>
      </c>
      <c r="N476" s="52" t="str">
        <f>IF(AND('331-CT'!$E$7=TH!H476,OR(L476="331",M476="331")),"331",IF(AND(OR(L476="131",M476="131"),H476='131-CT'!$E$7),"131",""))</f>
        <v/>
      </c>
      <c r="O476" s="90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21"/>
      <c r="AC476" s="211" t="str">
        <f>IF(F476=VLOOKUP(F476,NXT!$C$12:$C$305,1,0),"","x")</f>
        <v/>
      </c>
    </row>
    <row r="477" spans="1:31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936</v>
      </c>
      <c r="E477" s="191">
        <v>41941</v>
      </c>
      <c r="F477" s="40" t="s">
        <v>1219</v>
      </c>
      <c r="G477" s="468" t="s">
        <v>765</v>
      </c>
      <c r="H477" s="7" t="s">
        <v>483</v>
      </c>
      <c r="I477" s="256">
        <v>500</v>
      </c>
      <c r="J477" s="256">
        <v>1600</v>
      </c>
      <c r="K477" s="568">
        <f>ROUND(I477*J477,0)</f>
        <v>800000</v>
      </c>
      <c r="L477" s="569" t="s">
        <v>253</v>
      </c>
      <c r="M477" s="569" t="s">
        <v>177</v>
      </c>
      <c r="N477" s="52" t="str">
        <f>IF(AND('331-CT'!$E$7=TH!H477,OR(L477="331",M477="331")),"331",IF(AND(OR(L477="131",M477="131"),H477='131-CT'!$E$7),"131",""))</f>
        <v/>
      </c>
      <c r="O477" s="90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21"/>
      <c r="AC477" s="211" t="str">
        <f>IF(F477=VLOOKUP(F477,NXT!$C$12:$C$305,1,0),"","x")</f>
        <v/>
      </c>
    </row>
    <row r="478" spans="1:31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936</v>
      </c>
      <c r="E478" s="191">
        <v>41941</v>
      </c>
      <c r="F478" s="192" t="s">
        <v>426</v>
      </c>
      <c r="G478" s="468" t="s">
        <v>765</v>
      </c>
      <c r="H478" s="7" t="s">
        <v>483</v>
      </c>
      <c r="I478" s="256"/>
      <c r="J478" s="256"/>
      <c r="K478" s="568">
        <v>175000</v>
      </c>
      <c r="L478" s="569" t="s">
        <v>253</v>
      </c>
      <c r="M478" s="569" t="s">
        <v>367</v>
      </c>
      <c r="N478" s="52" t="str">
        <f>IF(AND('331-CT'!$E$7=TH!H478,OR(L478="331",M478="331")),"331",IF(AND(OR(L478="131",M478="131"),H478='131-CT'!$E$7),"131",""))</f>
        <v/>
      </c>
      <c r="O478" s="90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21"/>
      <c r="AC478" s="560" t="str">
        <f>IF(VLOOKUP(H478,DS_131,1,0)&lt;&gt;"","","x")</f>
        <v/>
      </c>
    </row>
    <row r="479" spans="1:31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937</v>
      </c>
      <c r="E479" s="191">
        <v>41942</v>
      </c>
      <c r="F479" s="189" t="s">
        <v>1220</v>
      </c>
      <c r="G479" s="468" t="s">
        <v>766</v>
      </c>
      <c r="H479" s="7" t="s">
        <v>916</v>
      </c>
      <c r="I479" s="256">
        <v>595</v>
      </c>
      <c r="J479" s="256">
        <v>14300</v>
      </c>
      <c r="K479" s="568">
        <f>ROUND(I479*J479,0)</f>
        <v>8508500</v>
      </c>
      <c r="L479" s="569" t="s">
        <v>253</v>
      </c>
      <c r="M479" s="569" t="s">
        <v>177</v>
      </c>
      <c r="N479" s="52" t="str">
        <f>IF(AND('331-CT'!$E$7=TH!H479,OR(L479="331",M479="331")),"331",IF(AND(OR(L479="131",M479="131"),H479='131-CT'!$E$7),"131",""))</f>
        <v/>
      </c>
      <c r="O479" s="90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21"/>
      <c r="AC479" s="211" t="str">
        <f>IF(F479=VLOOKUP(F479,NXT!$C$12:$C$305,1,0),"","x")</f>
        <v/>
      </c>
    </row>
    <row r="480" spans="1:31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937</v>
      </c>
      <c r="E480" s="37">
        <v>41942</v>
      </c>
      <c r="F480" s="40" t="s">
        <v>451</v>
      </c>
      <c r="G480" s="570" t="s">
        <v>766</v>
      </c>
      <c r="H480" s="7" t="s">
        <v>916</v>
      </c>
      <c r="I480" s="256">
        <v>1190</v>
      </c>
      <c r="J480" s="256">
        <v>1500</v>
      </c>
      <c r="K480" s="568">
        <f>ROUND(I480*J480,0)</f>
        <v>1785000</v>
      </c>
      <c r="L480" s="569" t="s">
        <v>253</v>
      </c>
      <c r="M480" s="569" t="s">
        <v>177</v>
      </c>
      <c r="N480" s="52" t="str">
        <f>IF(AND('331-CT'!$E$7=TH!H480,OR(L480="331",M480="331")),"331",IF(AND(OR(L480="131",M480="131"),H480='131-CT'!$E$7),"131",""))</f>
        <v/>
      </c>
      <c r="O480" s="90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21"/>
      <c r="AC480" s="211" t="str">
        <f>IF(F480=VLOOKUP(F480,NXT!$C$12:$C$305,1,0),"","x")</f>
        <v/>
      </c>
      <c r="AD480" s="560"/>
      <c r="AE480" s="560"/>
    </row>
    <row r="481" spans="1:31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937</v>
      </c>
      <c r="E481" s="37">
        <v>41942</v>
      </c>
      <c r="F481" s="192" t="s">
        <v>426</v>
      </c>
      <c r="G481" s="570" t="s">
        <v>766</v>
      </c>
      <c r="H481" s="7" t="s">
        <v>916</v>
      </c>
      <c r="I481" s="256"/>
      <c r="J481" s="256"/>
      <c r="K481" s="568">
        <v>1029350</v>
      </c>
      <c r="L481" s="569" t="s">
        <v>253</v>
      </c>
      <c r="M481" s="569" t="s">
        <v>367</v>
      </c>
      <c r="N481" s="52" t="str">
        <f>IF(AND('331-CT'!$E$7=TH!H481,OR(L481="331",M481="331")),"331",IF(AND(OR(L481="131",M481="131"),H481='131-CT'!$E$7),"131",""))</f>
        <v/>
      </c>
      <c r="O481" s="90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21"/>
      <c r="AC481" s="560" t="str">
        <f>IF(VLOOKUP(H481,DS_131,1,0)&lt;&gt;"","","x")</f>
        <v/>
      </c>
      <c r="AD481" s="560"/>
      <c r="AE481" s="560"/>
    </row>
    <row r="482" spans="1:31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938</v>
      </c>
      <c r="E482" s="37">
        <v>41942</v>
      </c>
      <c r="F482" s="189" t="s">
        <v>465</v>
      </c>
      <c r="G482" s="570" t="s">
        <v>767</v>
      </c>
      <c r="H482" s="7" t="s">
        <v>467</v>
      </c>
      <c r="I482" s="256">
        <v>1005</v>
      </c>
      <c r="J482" s="256">
        <v>8740</v>
      </c>
      <c r="K482" s="568">
        <f>ROUND(I482*J482,0)</f>
        <v>8783700</v>
      </c>
      <c r="L482" s="569" t="s">
        <v>253</v>
      </c>
      <c r="M482" s="569" t="s">
        <v>177</v>
      </c>
      <c r="N482" s="52" t="str">
        <f>IF(AND('331-CT'!$E$7=TH!H482,OR(L482="331",M482="331")),"331",IF(AND(OR(L482="131",M482="131"),H482='131-CT'!$E$7),"131",""))</f>
        <v/>
      </c>
      <c r="O482" s="90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21"/>
      <c r="AC482" s="211" t="str">
        <f>IF(F482=VLOOKUP(F482,NXT!$C$12:$C$305,1,0),"","x")</f>
        <v/>
      </c>
      <c r="AD482" s="560"/>
      <c r="AE482" s="560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938</v>
      </c>
      <c r="E483" s="191">
        <v>41942</v>
      </c>
      <c r="F483" s="192" t="s">
        <v>426</v>
      </c>
      <c r="G483" s="468" t="s">
        <v>767</v>
      </c>
      <c r="H483" s="210" t="s">
        <v>467</v>
      </c>
      <c r="I483" s="256"/>
      <c r="J483" s="256"/>
      <c r="K483" s="568">
        <v>878370</v>
      </c>
      <c r="L483" s="569" t="s">
        <v>253</v>
      </c>
      <c r="M483" s="569" t="s">
        <v>367</v>
      </c>
      <c r="N483" s="52" t="str">
        <f>IF(AND('331-CT'!$E$7=TH!H483,OR(L483="331",M483="331")),"331",IF(AND(OR(L483="131",M483="131"),H483='131-CT'!$E$7),"131",""))</f>
        <v/>
      </c>
      <c r="O483" s="902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21"/>
      <c r="AC483" s="560" t="str">
        <f>IF(VLOOKUP(H483,DS_131,1,0)&lt;&gt;"","","x")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939</v>
      </c>
      <c r="E484" s="191">
        <v>41947</v>
      </c>
      <c r="F484" s="192" t="s">
        <v>518</v>
      </c>
      <c r="G484" s="468" t="s">
        <v>768</v>
      </c>
      <c r="H484" s="7" t="s">
        <v>917</v>
      </c>
      <c r="I484" s="256">
        <v>300</v>
      </c>
      <c r="J484" s="256">
        <v>7000</v>
      </c>
      <c r="K484" s="568">
        <f>ROUND(I484*J484,0)</f>
        <v>2100000</v>
      </c>
      <c r="L484" s="569" t="s">
        <v>253</v>
      </c>
      <c r="M484" s="569" t="s">
        <v>177</v>
      </c>
      <c r="N484" s="52" t="str">
        <f>IF(AND('331-CT'!$E$7=TH!H484,OR(L484="331",M484="331")),"331",IF(AND(OR(L484="131",M484="131"),H484='131-CT'!$E$7),"131",""))</f>
        <v/>
      </c>
      <c r="O484" s="902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21"/>
      <c r="AC484" s="211" t="str">
        <f>IF(F484=VLOOKUP(F484,NXT!$C$12:$C$305,1,0),"","x")</f>
        <v/>
      </c>
    </row>
    <row r="485" spans="1:31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939</v>
      </c>
      <c r="E485" s="191">
        <v>41947</v>
      </c>
      <c r="F485" s="192" t="s">
        <v>492</v>
      </c>
      <c r="G485" s="468" t="s">
        <v>768</v>
      </c>
      <c r="H485" s="7" t="s">
        <v>917</v>
      </c>
      <c r="I485" s="256">
        <v>300</v>
      </c>
      <c r="J485" s="256">
        <v>9300</v>
      </c>
      <c r="K485" s="568">
        <f>ROUND(I485*J485,0)</f>
        <v>2790000</v>
      </c>
      <c r="L485" s="569" t="s">
        <v>253</v>
      </c>
      <c r="M485" s="569" t="s">
        <v>177</v>
      </c>
      <c r="N485" s="52" t="str">
        <f>IF(AND('331-CT'!$E$7=TH!H485,OR(L485="331",M485="331")),"331",IF(AND(OR(L485="131",M485="131"),H485='131-CT'!$E$7),"131",""))</f>
        <v/>
      </c>
      <c r="O485" s="90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21"/>
      <c r="AC485" s="211" t="str">
        <f>IF(F485=VLOOKUP(F485,NXT!$C$12:$C$305,1,0),"","x")</f>
        <v/>
      </c>
    </row>
    <row r="486" spans="1:31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939</v>
      </c>
      <c r="E486" s="191">
        <v>41947</v>
      </c>
      <c r="F486" s="192" t="s">
        <v>426</v>
      </c>
      <c r="G486" s="468" t="s">
        <v>768</v>
      </c>
      <c r="H486" s="7" t="s">
        <v>917</v>
      </c>
      <c r="I486" s="256"/>
      <c r="J486" s="256"/>
      <c r="K486" s="568">
        <v>489000</v>
      </c>
      <c r="L486" s="569" t="s">
        <v>253</v>
      </c>
      <c r="M486" s="569" t="s">
        <v>367</v>
      </c>
      <c r="N486" s="52" t="str">
        <f>IF(AND('331-CT'!$E$7=TH!H486,OR(L486="331",M486="331")),"331",IF(AND(OR(L486="131",M486="131"),H486='131-CT'!$E$7),"131",""))</f>
        <v/>
      </c>
      <c r="O486" s="90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21"/>
      <c r="AC486" s="560" t="str">
        <f>IF(VLOOKUP(H486,DS_131,1,0)&lt;&gt;"","","x")</f>
        <v/>
      </c>
    </row>
    <row r="487" spans="1:31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940</v>
      </c>
      <c r="E487" s="191">
        <v>41947</v>
      </c>
      <c r="F487" s="192" t="s">
        <v>769</v>
      </c>
      <c r="G487" s="468" t="s">
        <v>770</v>
      </c>
      <c r="H487" s="210" t="s">
        <v>692</v>
      </c>
      <c r="I487" s="256">
        <v>224</v>
      </c>
      <c r="J487" s="256">
        <v>32500</v>
      </c>
      <c r="K487" s="568">
        <f>ROUND(I487*J487,0)</f>
        <v>7280000</v>
      </c>
      <c r="L487" s="569" t="s">
        <v>253</v>
      </c>
      <c r="M487" s="569" t="s">
        <v>177</v>
      </c>
      <c r="N487" s="52" t="str">
        <f>IF(AND('331-CT'!$E$7=TH!H487,OR(L487="331",M487="331")),"331",IF(AND(OR(L487="131",M487="131"),H487='131-CT'!$E$7),"131",""))</f>
        <v/>
      </c>
      <c r="O487" s="90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21"/>
      <c r="AC487" s="211" t="str">
        <f>IF(F487=VLOOKUP(F487,NXT!$C$12:$C$305,1,0),"","x")</f>
        <v/>
      </c>
    </row>
    <row r="488" spans="1:31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940</v>
      </c>
      <c r="E488" s="191">
        <v>41947</v>
      </c>
      <c r="F488" s="192" t="s">
        <v>755</v>
      </c>
      <c r="G488" s="468" t="s">
        <v>770</v>
      </c>
      <c r="H488" s="7" t="s">
        <v>692</v>
      </c>
      <c r="I488" s="256">
        <v>448</v>
      </c>
      <c r="J488" s="256">
        <v>1440</v>
      </c>
      <c r="K488" s="568">
        <f>ROUND(I488*J488,0)</f>
        <v>645120</v>
      </c>
      <c r="L488" s="569" t="s">
        <v>253</v>
      </c>
      <c r="M488" s="569" t="s">
        <v>177</v>
      </c>
      <c r="N488" s="52" t="str">
        <f>IF(AND('331-CT'!$E$7=TH!H488,OR(L488="331",M488="331")),"331",IF(AND(OR(L488="131",M488="131"),H488='131-CT'!$E$7),"131",""))</f>
        <v/>
      </c>
      <c r="O488" s="902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21"/>
      <c r="AC488" s="211" t="str">
        <f>IF(F488=VLOOKUP(F488,NXT!$C$12:$C$305,1,0),"","x")</f>
        <v/>
      </c>
    </row>
    <row r="489" spans="1:31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940</v>
      </c>
      <c r="E489" s="191">
        <v>41947</v>
      </c>
      <c r="F489" s="192" t="s">
        <v>426</v>
      </c>
      <c r="G489" s="468" t="s">
        <v>770</v>
      </c>
      <c r="H489" s="7" t="s">
        <v>692</v>
      </c>
      <c r="I489" s="257"/>
      <c r="J489" s="257"/>
      <c r="K489" s="568">
        <v>792512</v>
      </c>
      <c r="L489" s="569" t="s">
        <v>253</v>
      </c>
      <c r="M489" s="569" t="s">
        <v>367</v>
      </c>
      <c r="N489" s="52" t="str">
        <f>IF(AND('331-CT'!$E$7=TH!H489,OR(L489="331",M489="331")),"331",IF(AND(OR(L489="131",M489="131"),H489='131-CT'!$E$7),"131",""))</f>
        <v/>
      </c>
      <c r="O489" s="90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21"/>
      <c r="AC489" s="560" t="str">
        <f>IF(VLOOKUP(H489,DS_131,1,0)&lt;&gt;"","","x")</f>
        <v/>
      </c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941</v>
      </c>
      <c r="E490" s="191">
        <v>41947</v>
      </c>
      <c r="F490" s="192" t="s">
        <v>472</v>
      </c>
      <c r="G490" s="468" t="s">
        <v>771</v>
      </c>
      <c r="H490" s="7" t="s">
        <v>918</v>
      </c>
      <c r="I490" s="256">
        <v>1529</v>
      </c>
      <c r="J490" s="256">
        <v>4650</v>
      </c>
      <c r="K490" s="568">
        <f>ROUND(I490*J490,0)</f>
        <v>7109850</v>
      </c>
      <c r="L490" s="569" t="s">
        <v>253</v>
      </c>
      <c r="M490" s="569" t="s">
        <v>177</v>
      </c>
      <c r="N490" s="52" t="str">
        <f>IF(AND('331-CT'!$E$7=TH!H490,OR(L490="331",M490="331")),"331",IF(AND(OR(L490="131",M490="131"),H490='131-CT'!$E$7),"131",""))</f>
        <v/>
      </c>
      <c r="O490" s="90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21"/>
      <c r="AC490" s="211" t="str">
        <f>IF(F490=VLOOKUP(F490,NXT!$C$12:$C$305,1,0),"","x")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941</v>
      </c>
      <c r="E491" s="191">
        <v>41947</v>
      </c>
      <c r="F491" s="192" t="s">
        <v>426</v>
      </c>
      <c r="G491" s="468" t="s">
        <v>771</v>
      </c>
      <c r="H491" s="7" t="s">
        <v>918</v>
      </c>
      <c r="I491" s="256"/>
      <c r="J491" s="256"/>
      <c r="K491" s="568">
        <v>710985</v>
      </c>
      <c r="L491" s="569" t="s">
        <v>253</v>
      </c>
      <c r="M491" s="569" t="s">
        <v>367</v>
      </c>
      <c r="N491" s="52" t="str">
        <f>IF(AND('331-CT'!$E$7=TH!H491,OR(L491="331",M491="331")),"331",IF(AND(OR(L491="131",M491="131"),H491='131-CT'!$E$7),"131",""))</f>
        <v/>
      </c>
      <c r="O491" s="90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21"/>
      <c r="AC491" s="560" t="str">
        <f>IF(VLOOKUP(H491,DS_131,1,0)&lt;&gt;"","","x")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942</v>
      </c>
      <c r="E492" s="191">
        <v>41948</v>
      </c>
      <c r="F492" s="40" t="s">
        <v>590</v>
      </c>
      <c r="G492" s="468" t="s">
        <v>772</v>
      </c>
      <c r="H492" s="7" t="s">
        <v>589</v>
      </c>
      <c r="I492" s="256">
        <v>11</v>
      </c>
      <c r="J492" s="256">
        <v>15000</v>
      </c>
      <c r="K492" s="568">
        <f t="shared" ref="K492:K500" si="23">ROUND(I492*J492,0)</f>
        <v>165000</v>
      </c>
      <c r="L492" s="569" t="s">
        <v>253</v>
      </c>
      <c r="M492" s="569" t="s">
        <v>177</v>
      </c>
      <c r="N492" s="52" t="str">
        <f>IF(AND('331-CT'!$E$7=TH!H492,OR(L492="331",M492="331")),"331",IF(AND(OR(L492="131",M492="131"),H492='131-CT'!$E$7),"131",""))</f>
        <v/>
      </c>
      <c r="O492" s="90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21"/>
      <c r="AC492" s="211" t="str">
        <f>IF(F492=VLOOKUP(F492,NXT!$C$12:$C$305,1,0),"","x")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942</v>
      </c>
      <c r="E493" s="191">
        <v>41948</v>
      </c>
      <c r="F493" s="192" t="s">
        <v>715</v>
      </c>
      <c r="G493" s="468" t="s">
        <v>772</v>
      </c>
      <c r="H493" s="7" t="s">
        <v>589</v>
      </c>
      <c r="I493" s="256">
        <v>126</v>
      </c>
      <c r="J493" s="256">
        <v>9550</v>
      </c>
      <c r="K493" s="568">
        <f t="shared" si="23"/>
        <v>1203300</v>
      </c>
      <c r="L493" s="569" t="s">
        <v>253</v>
      </c>
      <c r="M493" s="569" t="s">
        <v>177</v>
      </c>
      <c r="N493" s="52" t="str">
        <f>IF(AND('331-CT'!$E$7=TH!H493,OR(L493="331",M493="331")),"331",IF(AND(OR(L493="131",M493="131"),H493='131-CT'!$E$7),"131",""))</f>
        <v/>
      </c>
      <c r="O493" s="90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21"/>
      <c r="AC493" s="211" t="str">
        <f>IF(F493=VLOOKUP(F493,NXT!$C$12:$C$305,1,0),"","x")</f>
        <v/>
      </c>
    </row>
    <row r="494" spans="1:31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942</v>
      </c>
      <c r="E494" s="191">
        <v>41948</v>
      </c>
      <c r="F494" s="192" t="s">
        <v>613</v>
      </c>
      <c r="G494" s="468" t="s">
        <v>772</v>
      </c>
      <c r="H494" s="7" t="s">
        <v>589</v>
      </c>
      <c r="I494" s="256">
        <v>150</v>
      </c>
      <c r="J494" s="256">
        <v>9050</v>
      </c>
      <c r="K494" s="568">
        <f t="shared" si="23"/>
        <v>1357500</v>
      </c>
      <c r="L494" s="569" t="s">
        <v>253</v>
      </c>
      <c r="M494" s="569" t="s">
        <v>177</v>
      </c>
      <c r="N494" s="52" t="str">
        <f>IF(AND('331-CT'!$E$7=TH!H494,OR(L494="331",M494="331")),"331",IF(AND(OR(L494="131",M494="131"),H494='131-CT'!$E$7),"131",""))</f>
        <v/>
      </c>
      <c r="O494" s="90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21"/>
      <c r="AC494" s="211" t="str">
        <f>IF(F494=VLOOKUP(F494,NXT!$C$12:$C$305,1,0),"","x")</f>
        <v/>
      </c>
    </row>
    <row r="495" spans="1:31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942</v>
      </c>
      <c r="E495" s="191">
        <v>41948</v>
      </c>
      <c r="F495" s="192" t="s">
        <v>715</v>
      </c>
      <c r="G495" s="468" t="s">
        <v>772</v>
      </c>
      <c r="H495" s="7" t="s">
        <v>589</v>
      </c>
      <c r="I495" s="256">
        <v>221</v>
      </c>
      <c r="J495" s="256">
        <v>9550</v>
      </c>
      <c r="K495" s="568">
        <f t="shared" si="23"/>
        <v>2110550</v>
      </c>
      <c r="L495" s="569" t="s">
        <v>253</v>
      </c>
      <c r="M495" s="569" t="s">
        <v>177</v>
      </c>
      <c r="N495" s="52" t="str">
        <f>IF(AND('331-CT'!$E$7=TH!H495,OR(L495="331",M495="331")),"331",IF(AND(OR(L495="131",M495="131"),H495='131-CT'!$E$7),"131",""))</f>
        <v/>
      </c>
      <c r="O495" s="902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21"/>
      <c r="AC495" s="211" t="str">
        <f>IF(F495=VLOOKUP(F495,NXT!$C$12:$C$305,1,0),"","x")</f>
        <v/>
      </c>
    </row>
    <row r="496" spans="1:31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942</v>
      </c>
      <c r="E496" s="191">
        <v>41948</v>
      </c>
      <c r="F496" s="40" t="s">
        <v>590</v>
      </c>
      <c r="G496" s="468" t="s">
        <v>772</v>
      </c>
      <c r="H496" s="193" t="s">
        <v>589</v>
      </c>
      <c r="I496" s="256">
        <v>25</v>
      </c>
      <c r="J496" s="256">
        <v>13920</v>
      </c>
      <c r="K496" s="568">
        <f t="shared" si="23"/>
        <v>348000</v>
      </c>
      <c r="L496" s="569" t="s">
        <v>253</v>
      </c>
      <c r="M496" s="569" t="s">
        <v>177</v>
      </c>
      <c r="N496" s="52" t="str">
        <f>IF(AND('331-CT'!$E$7=TH!H496,OR(L496="331",M496="331")),"331",IF(AND(OR(L496="131",M496="131"),H496='131-CT'!$E$7),"131",""))</f>
        <v/>
      </c>
      <c r="O496" s="90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21"/>
      <c r="AC496" s="211" t="str">
        <f>IF(F496=VLOOKUP(F496,NXT!$C$12:$C$305,1,0),"","x")</f>
        <v/>
      </c>
    </row>
    <row r="497" spans="1:31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942</v>
      </c>
      <c r="E497" s="191">
        <v>41948</v>
      </c>
      <c r="F497" s="192" t="s">
        <v>615</v>
      </c>
      <c r="G497" s="468" t="s">
        <v>772</v>
      </c>
      <c r="H497" s="193" t="s">
        <v>589</v>
      </c>
      <c r="I497" s="256">
        <v>55</v>
      </c>
      <c r="J497" s="256">
        <v>12320</v>
      </c>
      <c r="K497" s="568">
        <f t="shared" si="23"/>
        <v>677600</v>
      </c>
      <c r="L497" s="569" t="s">
        <v>253</v>
      </c>
      <c r="M497" s="569" t="s">
        <v>177</v>
      </c>
      <c r="N497" s="52" t="str">
        <f>IF(AND('331-CT'!$E$7=TH!H497,OR(L497="331",M497="331")),"331",IF(AND(OR(L497="131",M497="131"),H497='131-CT'!$E$7),"131",""))</f>
        <v/>
      </c>
      <c r="O497" s="90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21"/>
      <c r="AC497" s="211" t="str">
        <f>IF(F497=VLOOKUP(F497,NXT!$C$12:$C$305,1,0),"","x")</f>
        <v/>
      </c>
    </row>
    <row r="498" spans="1:31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942</v>
      </c>
      <c r="E498" s="191">
        <v>41948</v>
      </c>
      <c r="F498" s="192" t="s">
        <v>715</v>
      </c>
      <c r="G498" s="468" t="s">
        <v>772</v>
      </c>
      <c r="H498" s="193" t="s">
        <v>589</v>
      </c>
      <c r="I498" s="256">
        <v>70</v>
      </c>
      <c r="J498" s="256">
        <v>9500</v>
      </c>
      <c r="K498" s="568">
        <f t="shared" si="23"/>
        <v>665000</v>
      </c>
      <c r="L498" s="569" t="s">
        <v>253</v>
      </c>
      <c r="M498" s="569" t="s">
        <v>177</v>
      </c>
      <c r="N498" s="52" t="str">
        <f>IF(AND('331-CT'!$E$7=TH!H498,OR(L498="331",M498="331")),"331",IF(AND(OR(L498="131",M498="131"),H498='131-CT'!$E$7),"131",""))</f>
        <v/>
      </c>
      <c r="O498" s="90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21"/>
      <c r="AC498" s="211" t="str">
        <f>IF(F498=VLOOKUP(F498,NXT!$C$12:$C$305,1,0),"","x")</f>
        <v/>
      </c>
    </row>
    <row r="499" spans="1:31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942</v>
      </c>
      <c r="E499" s="191">
        <v>41948</v>
      </c>
      <c r="F499" s="192" t="s">
        <v>716</v>
      </c>
      <c r="G499" s="468" t="s">
        <v>772</v>
      </c>
      <c r="H499" s="193" t="s">
        <v>589</v>
      </c>
      <c r="I499" s="256">
        <v>101</v>
      </c>
      <c r="J499" s="256">
        <v>8760</v>
      </c>
      <c r="K499" s="568">
        <f t="shared" si="23"/>
        <v>884760</v>
      </c>
      <c r="L499" s="569" t="s">
        <v>253</v>
      </c>
      <c r="M499" s="569" t="s">
        <v>177</v>
      </c>
      <c r="N499" s="52" t="str">
        <f>IF(AND('331-CT'!$E$7=TH!H499,OR(L499="331",M499="331")),"331",IF(AND(OR(L499="131",M499="131"),H499='131-CT'!$E$7),"131",""))</f>
        <v/>
      </c>
      <c r="O499" s="90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21"/>
      <c r="AC499" s="211" t="str">
        <f>IF(F499=VLOOKUP(F499,NXT!$C$12:$C$305,1,0),"","x")</f>
        <v/>
      </c>
    </row>
    <row r="500" spans="1:31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942</v>
      </c>
      <c r="E500" s="191">
        <v>41948</v>
      </c>
      <c r="F500" s="189" t="s">
        <v>798</v>
      </c>
      <c r="G500" s="468" t="s">
        <v>772</v>
      </c>
      <c r="H500" s="193" t="s">
        <v>589</v>
      </c>
      <c r="I500" s="256">
        <v>3030</v>
      </c>
      <c r="J500" s="256">
        <v>7450</v>
      </c>
      <c r="K500" s="568">
        <f t="shared" si="23"/>
        <v>22573500</v>
      </c>
      <c r="L500" s="569" t="s">
        <v>253</v>
      </c>
      <c r="M500" s="569" t="s">
        <v>177</v>
      </c>
      <c r="N500" s="52" t="str">
        <f>IF(AND('331-CT'!$E$7=TH!H500,OR(L500="331",M500="331")),"331",IF(AND(OR(L500="131",M500="131"),H500='131-CT'!$E$7),"131",""))</f>
        <v/>
      </c>
      <c r="O500" s="90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21"/>
      <c r="AC500" s="211" t="str">
        <f>IF(F500=VLOOKUP(F500,NXT!$C$12:$C$305,1,0),"","x")</f>
        <v/>
      </c>
    </row>
    <row r="501" spans="1:31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942</v>
      </c>
      <c r="E501" s="191">
        <v>41948</v>
      </c>
      <c r="F501" s="192" t="s">
        <v>426</v>
      </c>
      <c r="G501" s="468" t="s">
        <v>772</v>
      </c>
      <c r="H501" s="193" t="s">
        <v>589</v>
      </c>
      <c r="I501" s="256"/>
      <c r="J501" s="256"/>
      <c r="K501" s="568">
        <v>2998521</v>
      </c>
      <c r="L501" s="569" t="s">
        <v>253</v>
      </c>
      <c r="M501" s="569" t="s">
        <v>367</v>
      </c>
      <c r="N501" s="52" t="str">
        <f>IF(AND('331-CT'!$E$7=TH!H501,OR(L501="331",M501="331")),"331",IF(AND(OR(L501="131",M501="131"),H501='131-CT'!$E$7),"131",""))</f>
        <v/>
      </c>
      <c r="O501" s="90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21"/>
      <c r="AC501" s="560" t="str">
        <f>IF(VLOOKUP(H501,DS_131,1,0)&lt;&gt;"","","x")</f>
        <v/>
      </c>
    </row>
    <row r="502" spans="1:31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943</v>
      </c>
      <c r="E502" s="191">
        <v>41950</v>
      </c>
      <c r="F502" s="192" t="s">
        <v>773</v>
      </c>
      <c r="G502" s="468" t="s">
        <v>774</v>
      </c>
      <c r="H502" s="7" t="s">
        <v>483</v>
      </c>
      <c r="I502" s="256">
        <v>100</v>
      </c>
      <c r="J502" s="256">
        <v>2000</v>
      </c>
      <c r="K502" s="568">
        <f>ROUND(I502*J502,0)</f>
        <v>200000</v>
      </c>
      <c r="L502" s="569" t="s">
        <v>253</v>
      </c>
      <c r="M502" s="569" t="s">
        <v>177</v>
      </c>
      <c r="N502" s="52" t="str">
        <f>IF(AND('331-CT'!$E$7=TH!H502,OR(L502="331",M502="331")),"331",IF(AND(OR(L502="131",M502="131"),H502='131-CT'!$E$7),"131",""))</f>
        <v/>
      </c>
      <c r="O502" s="902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21"/>
      <c r="AC502" s="211" t="str">
        <f>IF(F502=VLOOKUP(F502,NXT!$C$12:$C$305,1,0),"","x")</f>
        <v/>
      </c>
    </row>
    <row r="503" spans="1:31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943</v>
      </c>
      <c r="E503" s="191">
        <v>41950</v>
      </c>
      <c r="F503" s="192" t="s">
        <v>775</v>
      </c>
      <c r="G503" s="468" t="s">
        <v>774</v>
      </c>
      <c r="H503" s="7" t="s">
        <v>483</v>
      </c>
      <c r="I503" s="256">
        <v>100</v>
      </c>
      <c r="J503" s="256">
        <v>20000</v>
      </c>
      <c r="K503" s="568">
        <f>ROUND(I503*J503,0)</f>
        <v>2000000</v>
      </c>
      <c r="L503" s="569" t="s">
        <v>253</v>
      </c>
      <c r="M503" s="569" t="s">
        <v>177</v>
      </c>
      <c r="N503" s="52" t="str">
        <f>IF(AND('331-CT'!$E$7=TH!H503,OR(L503="331",M503="331")),"331",IF(AND(OR(L503="131",M503="131"),H503='131-CT'!$E$7),"131",""))</f>
        <v/>
      </c>
      <c r="O503" s="90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21"/>
      <c r="AC503" s="211" t="str">
        <f>IF(F503=VLOOKUP(F503,NXT!$C$12:$C$305,1,0),"","x")</f>
        <v/>
      </c>
    </row>
    <row r="504" spans="1:31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943</v>
      </c>
      <c r="E504" s="191">
        <v>41950</v>
      </c>
      <c r="F504" s="192" t="s">
        <v>776</v>
      </c>
      <c r="G504" s="468" t="s">
        <v>774</v>
      </c>
      <c r="H504" s="193" t="s">
        <v>483</v>
      </c>
      <c r="I504" s="256">
        <v>209</v>
      </c>
      <c r="J504" s="256">
        <v>11000</v>
      </c>
      <c r="K504" s="568">
        <f>ROUND(I504*J504,0)</f>
        <v>2299000</v>
      </c>
      <c r="L504" s="569" t="s">
        <v>253</v>
      </c>
      <c r="M504" s="569" t="s">
        <v>177</v>
      </c>
      <c r="N504" s="52" t="str">
        <f>IF(AND('331-CT'!$E$7=TH!H504,OR(L504="331",M504="331")),"331",IF(AND(OR(L504="131",M504="131"),H504='131-CT'!$E$7),"131",""))</f>
        <v/>
      </c>
      <c r="O504" s="90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21"/>
      <c r="AC504" s="211" t="str">
        <f>IF(F504=VLOOKUP(F504,NXT!$C$12:$C$305,1,0),"","x")</f>
        <v/>
      </c>
      <c r="AD504" s="560"/>
      <c r="AE504" s="560"/>
    </row>
    <row r="505" spans="1:31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943</v>
      </c>
      <c r="E505" s="184">
        <v>41950</v>
      </c>
      <c r="F505" s="192" t="s">
        <v>426</v>
      </c>
      <c r="G505" s="570" t="s">
        <v>774</v>
      </c>
      <c r="H505" s="193" t="s">
        <v>483</v>
      </c>
      <c r="I505" s="256"/>
      <c r="J505" s="256"/>
      <c r="K505" s="568">
        <v>449900</v>
      </c>
      <c r="L505" s="569" t="s">
        <v>253</v>
      </c>
      <c r="M505" s="569" t="s">
        <v>367</v>
      </c>
      <c r="N505" s="52" t="str">
        <f>IF(AND('331-CT'!$E$7=TH!H505,OR(L505="331",M505="331")),"331",IF(AND(OR(L505="131",M505="131"),H505='131-CT'!$E$7),"131",""))</f>
        <v/>
      </c>
      <c r="O505" s="90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21"/>
      <c r="AC505" s="560" t="str">
        <f>IF(VLOOKUP(H505,DS_131,1,0)&lt;&gt;"","","x")</f>
        <v/>
      </c>
      <c r="AD505" s="560"/>
      <c r="AE505" s="560"/>
    </row>
    <row r="506" spans="1:31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944</v>
      </c>
      <c r="E506" s="191">
        <v>41950</v>
      </c>
      <c r="F506" s="40" t="s">
        <v>600</v>
      </c>
      <c r="G506" s="468" t="s">
        <v>777</v>
      </c>
      <c r="H506" s="7" t="s">
        <v>478</v>
      </c>
      <c r="I506" s="256">
        <v>206</v>
      </c>
      <c r="J506" s="256">
        <v>19000</v>
      </c>
      <c r="K506" s="568">
        <f>ROUND(I506*J506,0)</f>
        <v>3914000</v>
      </c>
      <c r="L506" s="569" t="s">
        <v>253</v>
      </c>
      <c r="M506" s="569" t="s">
        <v>177</v>
      </c>
      <c r="N506" s="52" t="str">
        <f>IF(AND('331-CT'!$E$7=TH!H506,OR(L506="331",M506="331")),"331",IF(AND(OR(L506="131",M506="131"),H506='131-CT'!$E$7),"131",""))</f>
        <v/>
      </c>
      <c r="O506" s="90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21"/>
      <c r="AC506" s="211" t="str">
        <f>IF(F506=VLOOKUP(F506,NXT!$C$12:$C$305,1,0),"","x")</f>
        <v/>
      </c>
    </row>
    <row r="507" spans="1:31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944</v>
      </c>
      <c r="E507" s="191">
        <v>41950</v>
      </c>
      <c r="F507" s="192" t="s">
        <v>426</v>
      </c>
      <c r="G507" s="468" t="s">
        <v>777</v>
      </c>
      <c r="H507" s="7" t="s">
        <v>478</v>
      </c>
      <c r="I507" s="256"/>
      <c r="J507" s="256"/>
      <c r="K507" s="568">
        <v>391400</v>
      </c>
      <c r="L507" s="569" t="s">
        <v>253</v>
      </c>
      <c r="M507" s="569" t="s">
        <v>367</v>
      </c>
      <c r="N507" s="52" t="str">
        <f>IF(AND('331-CT'!$E$7=TH!H507,OR(L507="331",M507="331")),"331",IF(AND(OR(L507="131",M507="131"),H507='131-CT'!$E$7),"131",""))</f>
        <v/>
      </c>
      <c r="O507" s="90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21"/>
      <c r="AC507" s="560" t="str">
        <f>IF(VLOOKUP(H507,DS_131,1,0)&lt;&gt;"","","x")</f>
        <v/>
      </c>
    </row>
    <row r="508" spans="1:31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945</v>
      </c>
      <c r="E508" s="191">
        <v>41955</v>
      </c>
      <c r="F508" s="189" t="s">
        <v>442</v>
      </c>
      <c r="G508" s="468" t="s">
        <v>778</v>
      </c>
      <c r="H508" s="7" t="s">
        <v>444</v>
      </c>
      <c r="I508" s="256">
        <v>504</v>
      </c>
      <c r="J508" s="256">
        <v>10500</v>
      </c>
      <c r="K508" s="568">
        <f>ROUND(I508*J508,0)</f>
        <v>5292000</v>
      </c>
      <c r="L508" s="569" t="s">
        <v>253</v>
      </c>
      <c r="M508" s="569" t="s">
        <v>177</v>
      </c>
      <c r="N508" s="52" t="str">
        <f>IF(AND('331-CT'!$E$7=TH!H508,OR(L508="331",M508="331")),"331",IF(AND(OR(L508="131",M508="131"),H508='131-CT'!$E$7),"131",""))</f>
        <v/>
      </c>
      <c r="O508" s="90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21"/>
      <c r="AC508" s="211" t="str">
        <f>IF(F508=VLOOKUP(F508,NXT!$C$12:$C$305,1,0),"","x")</f>
        <v/>
      </c>
    </row>
    <row r="509" spans="1:31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945</v>
      </c>
      <c r="E509" s="191">
        <v>41955</v>
      </c>
      <c r="F509" s="189" t="s">
        <v>442</v>
      </c>
      <c r="G509" s="468" t="s">
        <v>778</v>
      </c>
      <c r="H509" s="7" t="s">
        <v>444</v>
      </c>
      <c r="I509" s="257">
        <v>318</v>
      </c>
      <c r="J509" s="257">
        <v>10500</v>
      </c>
      <c r="K509" s="568">
        <f>ROUND(I509*J509,0)</f>
        <v>3339000</v>
      </c>
      <c r="L509" s="569" t="s">
        <v>253</v>
      </c>
      <c r="M509" s="569" t="s">
        <v>177</v>
      </c>
      <c r="N509" s="52" t="str">
        <f>IF(AND('331-CT'!$E$7=TH!H509,OR(L509="331",M509="331")),"331",IF(AND(OR(L509="131",M509="131"),H509='131-CT'!$E$7),"131",""))</f>
        <v/>
      </c>
      <c r="O509" s="90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21"/>
      <c r="AC509" s="211" t="str">
        <f>IF(F509=VLOOKUP(F509,NXT!$C$12:$C$305,1,0),"","x")</f>
        <v/>
      </c>
    </row>
    <row r="510" spans="1:31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945</v>
      </c>
      <c r="E510" s="191">
        <v>41955</v>
      </c>
      <c r="F510" s="192" t="s">
        <v>426</v>
      </c>
      <c r="G510" s="468" t="s">
        <v>779</v>
      </c>
      <c r="H510" s="7" t="s">
        <v>444</v>
      </c>
      <c r="I510" s="256"/>
      <c r="J510" s="256"/>
      <c r="K510" s="568">
        <v>863100</v>
      </c>
      <c r="L510" s="569" t="s">
        <v>253</v>
      </c>
      <c r="M510" s="569" t="s">
        <v>367</v>
      </c>
      <c r="N510" s="52" t="str">
        <f>IF(AND('331-CT'!$E$7=TH!H510,OR(L510="331",M510="331")),"331",IF(AND(OR(L510="131",M510="131"),H510='131-CT'!$E$7),"131",""))</f>
        <v/>
      </c>
      <c r="O510" s="90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21"/>
      <c r="AC510" s="560" t="str">
        <f>IF(VLOOKUP(H510,DS_131,1,0)&lt;&gt;"","","x")</f>
        <v/>
      </c>
    </row>
    <row r="511" spans="1:31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946</v>
      </c>
      <c r="E511" s="191">
        <v>41955</v>
      </c>
      <c r="F511" s="788" t="s">
        <v>780</v>
      </c>
      <c r="G511" s="468" t="s">
        <v>779</v>
      </c>
      <c r="H511" s="7" t="s">
        <v>692</v>
      </c>
      <c r="I511" s="256">
        <v>347</v>
      </c>
      <c r="J511" s="256">
        <v>31500</v>
      </c>
      <c r="K511" s="568">
        <f>ROUND(I511*J511,0)</f>
        <v>10930500</v>
      </c>
      <c r="L511" s="569" t="s">
        <v>253</v>
      </c>
      <c r="M511" s="569" t="s">
        <v>177</v>
      </c>
      <c r="N511" s="52" t="str">
        <f>IF(AND('331-CT'!$E$7=TH!H511,OR(L511="331",M511="331")),"331",IF(AND(OR(L511="131",M511="131"),H511='131-CT'!$E$7),"131",""))</f>
        <v/>
      </c>
      <c r="O511" s="90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21"/>
      <c r="AC511" s="211" t="str">
        <f>IF(F511=VLOOKUP(F511,NXT!$C$12:$C$305,1,0),"","x")</f>
        <v/>
      </c>
    </row>
    <row r="512" spans="1:31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946</v>
      </c>
      <c r="E512" s="191">
        <v>41955</v>
      </c>
      <c r="F512" s="40" t="s">
        <v>781</v>
      </c>
      <c r="G512" s="468" t="s">
        <v>779</v>
      </c>
      <c r="H512" s="7" t="s">
        <v>692</v>
      </c>
      <c r="I512" s="256">
        <v>593</v>
      </c>
      <c r="J512" s="256">
        <v>39900</v>
      </c>
      <c r="K512" s="568">
        <f>ROUND(I512*J512,0)</f>
        <v>23660700</v>
      </c>
      <c r="L512" s="569" t="s">
        <v>253</v>
      </c>
      <c r="M512" s="569" t="s">
        <v>177</v>
      </c>
      <c r="N512" s="52" t="str">
        <f>IF(AND('331-CT'!$E$7=TH!H512,OR(L512="331",M512="331")),"331",IF(AND(OR(L512="131",M512="131"),H512='131-CT'!$E$7),"131",""))</f>
        <v/>
      </c>
      <c r="O512" s="90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21"/>
      <c r="AC512" s="211" t="str">
        <f>IF(F512=VLOOKUP(F512,NXT!$C$12:$C$305,1,0),"","x")</f>
        <v/>
      </c>
    </row>
    <row r="513" spans="1:31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946</v>
      </c>
      <c r="E513" s="191">
        <v>41955</v>
      </c>
      <c r="F513" s="192" t="s">
        <v>755</v>
      </c>
      <c r="G513" s="468" t="s">
        <v>779</v>
      </c>
      <c r="H513" s="7" t="s">
        <v>692</v>
      </c>
      <c r="I513" s="256">
        <v>1880</v>
      </c>
      <c r="J513" s="256">
        <v>1440</v>
      </c>
      <c r="K513" s="568">
        <f>ROUND(I513*J513,0)</f>
        <v>2707200</v>
      </c>
      <c r="L513" s="569" t="s">
        <v>253</v>
      </c>
      <c r="M513" s="569" t="s">
        <v>177</v>
      </c>
      <c r="N513" s="52" t="str">
        <f>IF(AND('331-CT'!$E$7=TH!H513,OR(L513="331",M513="331")),"331",IF(AND(OR(L513="131",M513="131"),H513='131-CT'!$E$7),"131",""))</f>
        <v/>
      </c>
      <c r="O513" s="90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21"/>
      <c r="AC513" s="211" t="str">
        <f>IF(F513=VLOOKUP(F513,NXT!$C$12:$C$305,1,0),"","x")</f>
        <v/>
      </c>
    </row>
    <row r="514" spans="1:31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946</v>
      </c>
      <c r="E514" s="191">
        <v>41955</v>
      </c>
      <c r="F514" s="192" t="s">
        <v>426</v>
      </c>
      <c r="G514" s="468" t="s">
        <v>779</v>
      </c>
      <c r="H514" s="7" t="s">
        <v>692</v>
      </c>
      <c r="I514" s="256"/>
      <c r="J514" s="256"/>
      <c r="K514" s="568">
        <v>3729840</v>
      </c>
      <c r="L514" s="569" t="s">
        <v>253</v>
      </c>
      <c r="M514" s="569" t="s">
        <v>367</v>
      </c>
      <c r="N514" s="52" t="str">
        <f>IF(AND('331-CT'!$E$7=TH!H514,OR(L514="331",M514="331")),"331",IF(AND(OR(L514="131",M514="131"),H514='131-CT'!$E$7),"131",""))</f>
        <v/>
      </c>
      <c r="O514" s="90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21"/>
      <c r="AC514" s="560" t="str">
        <f>IF(VLOOKUP(H514,DS_131,1,0)&lt;&gt;"","","x")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947</v>
      </c>
      <c r="E515" s="184">
        <v>41956</v>
      </c>
      <c r="F515" s="189" t="s">
        <v>678</v>
      </c>
      <c r="G515" s="570" t="s">
        <v>782</v>
      </c>
      <c r="H515" s="193" t="s">
        <v>680</v>
      </c>
      <c r="I515" s="256">
        <v>1010</v>
      </c>
      <c r="J515" s="256">
        <v>9500</v>
      </c>
      <c r="K515" s="568">
        <f>ROUND(I515*J515,0)</f>
        <v>9595000</v>
      </c>
      <c r="L515" s="569" t="s">
        <v>253</v>
      </c>
      <c r="M515" s="569" t="s">
        <v>177</v>
      </c>
      <c r="N515" s="52" t="str">
        <f>IF(AND('331-CT'!$E$7=TH!H515,OR(L515="331",M515="331")),"331",IF(AND(OR(L515="131",M515="131"),H515='131-CT'!$E$7),"131",""))</f>
        <v/>
      </c>
      <c r="O515" s="90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21"/>
      <c r="AC515" s="211" t="str">
        <f>IF(F515=VLOOKUP(F515,NXT!$C$12:$C$305,1,0),"","x")</f>
        <v/>
      </c>
      <c r="AD515" s="560"/>
      <c r="AE515" s="560"/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947</v>
      </c>
      <c r="E516" s="191">
        <v>41956</v>
      </c>
      <c r="F516" s="192" t="s">
        <v>426</v>
      </c>
      <c r="G516" s="468" t="s">
        <v>782</v>
      </c>
      <c r="H516" s="7" t="s">
        <v>680</v>
      </c>
      <c r="I516" s="257"/>
      <c r="J516" s="257"/>
      <c r="K516" s="568">
        <v>959500</v>
      </c>
      <c r="L516" s="569" t="s">
        <v>253</v>
      </c>
      <c r="M516" s="569" t="s">
        <v>367</v>
      </c>
      <c r="N516" s="52" t="str">
        <f>IF(AND('331-CT'!$E$7=TH!H516,OR(L516="331",M516="331")),"331",IF(AND(OR(L516="131",M516="131"),H516='131-CT'!$E$7),"131",""))</f>
        <v/>
      </c>
      <c r="O516" s="90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21"/>
      <c r="AC516" s="560" t="str">
        <f>IF(VLOOKUP(H516,DS_131,1,0)&lt;&gt;"","","x")</f>
        <v/>
      </c>
      <c r="AD516" s="560"/>
      <c r="AE516" s="560"/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948</v>
      </c>
      <c r="E517" s="191">
        <v>41958</v>
      </c>
      <c r="F517" s="766" t="s">
        <v>521</v>
      </c>
      <c r="G517" s="468" t="s">
        <v>783</v>
      </c>
      <c r="H517" s="7" t="s">
        <v>918</v>
      </c>
      <c r="I517" s="256">
        <v>1012</v>
      </c>
      <c r="J517" s="256">
        <v>12000</v>
      </c>
      <c r="K517" s="568">
        <f>ROUND(I517*J517,0)</f>
        <v>12144000</v>
      </c>
      <c r="L517" s="569" t="s">
        <v>253</v>
      </c>
      <c r="M517" s="569" t="s">
        <v>177</v>
      </c>
      <c r="N517" s="52" t="str">
        <f>IF(AND('331-CT'!$E$7=TH!H517,OR(L517="331",M517="331")),"331",IF(AND(OR(L517="131",M517="131"),H517='131-CT'!$E$7),"131",""))</f>
        <v/>
      </c>
      <c r="O517" s="90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21"/>
      <c r="AC517" s="211" t="str">
        <f>IF(F517=VLOOKUP(F517,NXT!$C$12:$C$305,1,0),"","x")</f>
        <v/>
      </c>
      <c r="AE517" s="560"/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948</v>
      </c>
      <c r="E518" s="184">
        <v>41958</v>
      </c>
      <c r="F518" s="192" t="s">
        <v>426</v>
      </c>
      <c r="G518" s="570" t="s">
        <v>783</v>
      </c>
      <c r="H518" s="7" t="s">
        <v>918</v>
      </c>
      <c r="I518" s="256"/>
      <c r="J518" s="256"/>
      <c r="K518" s="568">
        <v>1214400</v>
      </c>
      <c r="L518" s="569" t="s">
        <v>253</v>
      </c>
      <c r="M518" s="569" t="s">
        <v>367</v>
      </c>
      <c r="N518" s="52" t="str">
        <f>IF(AND('331-CT'!$E$7=TH!H518,OR(L518="331",M518="331")),"331",IF(AND(OR(L518="131",M518="131"),H518='131-CT'!$E$7),"131",""))</f>
        <v/>
      </c>
      <c r="O518" s="90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21"/>
      <c r="AC518" s="560" t="str">
        <f>IF(VLOOKUP(H518,DS_131,1,0)&lt;&gt;"","","x")</f>
        <v/>
      </c>
      <c r="AD518" s="560"/>
      <c r="AE518" s="560"/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949</v>
      </c>
      <c r="E519" s="184">
        <v>41960</v>
      </c>
      <c r="F519" s="189" t="s">
        <v>784</v>
      </c>
      <c r="G519" s="570" t="s">
        <v>785</v>
      </c>
      <c r="H519" s="7" t="s">
        <v>786</v>
      </c>
      <c r="I519" s="256">
        <v>1990</v>
      </c>
      <c r="J519" s="256">
        <v>6100</v>
      </c>
      <c r="K519" s="568">
        <f>ROUND(I519*J519,0)</f>
        <v>12139000</v>
      </c>
      <c r="L519" s="569" t="s">
        <v>253</v>
      </c>
      <c r="M519" s="569" t="s">
        <v>177</v>
      </c>
      <c r="N519" s="52" t="str">
        <f>IF(AND('331-CT'!$E$7=TH!H519,OR(L519="331",M519="331")),"331",IF(AND(OR(L519="131",M519="131"),H519='131-CT'!$E$7),"131",""))</f>
        <v/>
      </c>
      <c r="O519" s="90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21"/>
      <c r="AC519" s="211" t="str">
        <f>IF(F519=VLOOKUP(F519,NXT!$C$12:$C$305,1,0),"","x")</f>
        <v/>
      </c>
      <c r="AD519" s="560"/>
      <c r="AE519" s="560"/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949</v>
      </c>
      <c r="E520" s="191">
        <v>41960</v>
      </c>
      <c r="F520" s="192" t="s">
        <v>426</v>
      </c>
      <c r="G520" s="468" t="s">
        <v>785</v>
      </c>
      <c r="H520" s="7" t="s">
        <v>786</v>
      </c>
      <c r="I520" s="257"/>
      <c r="J520" s="257"/>
      <c r="K520" s="568">
        <v>1213900</v>
      </c>
      <c r="L520" s="569" t="s">
        <v>253</v>
      </c>
      <c r="M520" s="569" t="s">
        <v>367</v>
      </c>
      <c r="N520" s="52" t="str">
        <f>IF(AND('331-CT'!$E$7=TH!H520,OR(L520="331",M520="331")),"331",IF(AND(OR(L520="131",M520="131"),H520='131-CT'!$E$7),"131",""))</f>
        <v/>
      </c>
      <c r="O520" s="90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21"/>
      <c r="AC520" s="560" t="str">
        <f>IF(VLOOKUP(H520,DS_131,1,0)&lt;&gt;"","","x")</f>
        <v/>
      </c>
      <c r="AD520" s="560"/>
      <c r="AE520" s="560"/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950</v>
      </c>
      <c r="E521" s="191">
        <v>41962</v>
      </c>
      <c r="F521" s="189" t="s">
        <v>509</v>
      </c>
      <c r="G521" s="468" t="s">
        <v>787</v>
      </c>
      <c r="H521" s="7" t="s">
        <v>508</v>
      </c>
      <c r="I521" s="257">
        <v>609</v>
      </c>
      <c r="J521" s="257">
        <v>6250</v>
      </c>
      <c r="K521" s="568">
        <f>ROUND(I521*J521,0)</f>
        <v>3806250</v>
      </c>
      <c r="L521" s="569" t="s">
        <v>253</v>
      </c>
      <c r="M521" s="569" t="s">
        <v>177</v>
      </c>
      <c r="N521" s="52" t="str">
        <f>IF(AND('331-CT'!$E$7=TH!H521,OR(L521="331",M521="331")),"331",IF(AND(OR(L521="131",M521="131"),H521='131-CT'!$E$7),"131",""))</f>
        <v/>
      </c>
      <c r="O521" s="90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21"/>
      <c r="AC521" s="211" t="str">
        <f>IF(F521=VLOOKUP(F521,NXT!$C$12:$C$305,1,0),"","x")</f>
        <v/>
      </c>
      <c r="AD521" s="560"/>
      <c r="AE521" s="560"/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950</v>
      </c>
      <c r="E522" s="191">
        <v>41962</v>
      </c>
      <c r="F522" s="189" t="s">
        <v>510</v>
      </c>
      <c r="G522" s="468" t="s">
        <v>787</v>
      </c>
      <c r="H522" s="7" t="s">
        <v>508</v>
      </c>
      <c r="I522" s="257">
        <v>213</v>
      </c>
      <c r="J522" s="257">
        <v>6550</v>
      </c>
      <c r="K522" s="568">
        <f>ROUND(I522*J522,0)</f>
        <v>1395150</v>
      </c>
      <c r="L522" s="569" t="s">
        <v>253</v>
      </c>
      <c r="M522" s="569" t="s">
        <v>177</v>
      </c>
      <c r="N522" s="52" t="str">
        <f>IF(AND('331-CT'!$E$7=TH!H522,OR(L522="331",M522="331")),"331",IF(AND(OR(L522="131",M522="131"),H522='131-CT'!$E$7),"131",""))</f>
        <v/>
      </c>
      <c r="O522" s="90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21"/>
      <c r="AC522" s="211" t="str">
        <f>IF(F522=VLOOKUP(F522,NXT!$C$12:$C$305,1,0),"","x")</f>
        <v/>
      </c>
      <c r="AD522" s="560"/>
      <c r="AE522" s="560"/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950</v>
      </c>
      <c r="E523" s="191">
        <v>41962</v>
      </c>
      <c r="F523" s="189" t="s">
        <v>788</v>
      </c>
      <c r="G523" s="468" t="s">
        <v>787</v>
      </c>
      <c r="H523" s="7" t="s">
        <v>508</v>
      </c>
      <c r="I523" s="257">
        <v>796</v>
      </c>
      <c r="J523" s="257">
        <v>5900</v>
      </c>
      <c r="K523" s="568">
        <f>ROUND(I523*J523,0)</f>
        <v>4696400</v>
      </c>
      <c r="L523" s="569" t="s">
        <v>253</v>
      </c>
      <c r="M523" s="569" t="s">
        <v>177</v>
      </c>
      <c r="N523" s="52" t="str">
        <f>IF(AND('331-CT'!$E$7=TH!H523,OR(L523="331",M523="331")),"331",IF(AND(OR(L523="131",M523="131"),H523='131-CT'!$E$7),"131",""))</f>
        <v/>
      </c>
      <c r="O523" s="90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21"/>
      <c r="AC523" s="211" t="str">
        <f>IF(F523=VLOOKUP(F523,NXT!$C$12:$C$305,1,0),"","x")</f>
        <v/>
      </c>
      <c r="AD523" s="560"/>
      <c r="AE523" s="560"/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950</v>
      </c>
      <c r="E524" s="191">
        <v>41962</v>
      </c>
      <c r="F524" s="189" t="s">
        <v>411</v>
      </c>
      <c r="G524" s="468" t="s">
        <v>787</v>
      </c>
      <c r="H524" s="7" t="s">
        <v>508</v>
      </c>
      <c r="I524" s="257">
        <v>402</v>
      </c>
      <c r="J524" s="257">
        <v>6800</v>
      </c>
      <c r="K524" s="568">
        <f>ROUND(I524*J524,0)</f>
        <v>2733600</v>
      </c>
      <c r="L524" s="569" t="s">
        <v>253</v>
      </c>
      <c r="M524" s="569" t="s">
        <v>177</v>
      </c>
      <c r="N524" s="52" t="str">
        <f>IF(AND('331-CT'!$E$7=TH!H524,OR(L524="331",M524="331")),"331",IF(AND(OR(L524="131",M524="131"),H524='131-CT'!$E$7),"131",""))</f>
        <v/>
      </c>
      <c r="O524" s="90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21"/>
      <c r="AC524" s="211" t="str">
        <f>IF(F524=VLOOKUP(F524,NXT!$C$12:$C$305,1,0),"","x")</f>
        <v/>
      </c>
      <c r="AD524" s="560"/>
      <c r="AE524" s="560"/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950</v>
      </c>
      <c r="E525" s="191">
        <v>41962</v>
      </c>
      <c r="F525" s="192" t="s">
        <v>426</v>
      </c>
      <c r="G525" s="468" t="s">
        <v>787</v>
      </c>
      <c r="H525" s="7" t="s">
        <v>508</v>
      </c>
      <c r="I525" s="257"/>
      <c r="J525" s="257"/>
      <c r="K525" s="38">
        <v>1263140</v>
      </c>
      <c r="L525" s="569" t="s">
        <v>253</v>
      </c>
      <c r="M525" s="569" t="s">
        <v>367</v>
      </c>
      <c r="N525" s="52" t="str">
        <f>IF(AND('331-CT'!$E$7=TH!H525,OR(L525="331",M525="331")),"331",IF(AND(OR(L525="131",M525="131"),H525='131-CT'!$E$7),"131",""))</f>
        <v/>
      </c>
      <c r="O525" s="90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21"/>
      <c r="AC525" s="560" t="str">
        <f>IF(VLOOKUP(H525,DS_131,1,0)&lt;&gt;"","","x")</f>
        <v/>
      </c>
      <c r="AD525" s="560"/>
      <c r="AE525" s="560"/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951</v>
      </c>
      <c r="E526" s="191">
        <v>41962</v>
      </c>
      <c r="F526" s="189" t="s">
        <v>789</v>
      </c>
      <c r="G526" s="468" t="s">
        <v>790</v>
      </c>
      <c r="H526" s="7" t="s">
        <v>791</v>
      </c>
      <c r="I526" s="256">
        <v>975</v>
      </c>
      <c r="J526" s="256">
        <v>5130</v>
      </c>
      <c r="K526" s="568">
        <f t="shared" ref="K526:K529" si="26">ROUND(I526*J526,0)</f>
        <v>5001750</v>
      </c>
      <c r="L526" s="569" t="s">
        <v>253</v>
      </c>
      <c r="M526" s="569" t="s">
        <v>177</v>
      </c>
      <c r="N526" s="52" t="str">
        <f>IF(AND('331-CT'!$E$7=TH!H526,OR(L526="331",M526="331")),"331",IF(AND(OR(L526="131",M526="131"),H526='131-CT'!$E$7),"131",""))</f>
        <v/>
      </c>
      <c r="O526" s="90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21"/>
      <c r="AC526" s="211" t="str">
        <f>IF(F526=VLOOKUP(F526,NXT!$C$12:$C$305,1,0),"","x")</f>
        <v/>
      </c>
      <c r="AD526" s="560"/>
      <c r="AE526" s="560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951</v>
      </c>
      <c r="E527" s="191">
        <v>41962</v>
      </c>
      <c r="F527" s="189" t="s">
        <v>1277</v>
      </c>
      <c r="G527" s="468" t="s">
        <v>790</v>
      </c>
      <c r="H527" s="7" t="s">
        <v>791</v>
      </c>
      <c r="I527" s="256">
        <v>1000</v>
      </c>
      <c r="J527" s="256">
        <v>2798</v>
      </c>
      <c r="K527" s="568">
        <f t="shared" si="26"/>
        <v>2798000</v>
      </c>
      <c r="L527" s="569" t="s">
        <v>253</v>
      </c>
      <c r="M527" s="569" t="s">
        <v>177</v>
      </c>
      <c r="N527" s="52" t="str">
        <f>IF(AND('331-CT'!$E$7=TH!H527,OR(L527="331",M527="331")),"331",IF(AND(OR(L527="131",M527="131"),H527='131-CT'!$E$7),"131",""))</f>
        <v/>
      </c>
      <c r="O527" s="90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21"/>
      <c r="AC527" s="211" t="str">
        <f>IF(F527=VLOOKUP(F527,NXT!$C$12:$C$305,1,0),"","x")</f>
        <v/>
      </c>
      <c r="AD527" s="560"/>
      <c r="AE527" s="560"/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951</v>
      </c>
      <c r="E528" s="191">
        <v>41962</v>
      </c>
      <c r="F528" s="189" t="s">
        <v>794</v>
      </c>
      <c r="G528" s="468" t="s">
        <v>790</v>
      </c>
      <c r="H528" s="7" t="s">
        <v>791</v>
      </c>
      <c r="I528" s="256">
        <v>978</v>
      </c>
      <c r="J528" s="256">
        <v>4230</v>
      </c>
      <c r="K528" s="568">
        <f t="shared" si="26"/>
        <v>4136940</v>
      </c>
      <c r="L528" s="569" t="s">
        <v>253</v>
      </c>
      <c r="M528" s="569" t="s">
        <v>177</v>
      </c>
      <c r="N528" s="52" t="str">
        <f>IF(AND('331-CT'!$E$7=TH!H528,OR(L528="331",M528="331")),"331",IF(AND(OR(L528="131",M528="131"),H528='131-CT'!$E$7),"131",""))</f>
        <v/>
      </c>
      <c r="O528" s="90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21"/>
      <c r="AC528" s="211" t="str">
        <f>IF(F528=VLOOKUP(F528,NXT!$C$12:$C$305,1,0),"","x")</f>
        <v/>
      </c>
      <c r="AD528" s="560"/>
      <c r="AE528" s="560"/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951</v>
      </c>
      <c r="E529" s="191">
        <v>41962</v>
      </c>
      <c r="F529" s="189" t="s">
        <v>1277</v>
      </c>
      <c r="G529" s="468" t="s">
        <v>790</v>
      </c>
      <c r="H529" s="7" t="s">
        <v>791</v>
      </c>
      <c r="I529" s="256">
        <v>1000</v>
      </c>
      <c r="J529" s="256">
        <v>1568</v>
      </c>
      <c r="K529" s="568">
        <f t="shared" si="26"/>
        <v>1568000</v>
      </c>
      <c r="L529" s="569" t="s">
        <v>253</v>
      </c>
      <c r="M529" s="569" t="s">
        <v>177</v>
      </c>
      <c r="N529" s="52" t="str">
        <f>IF(AND('331-CT'!$E$7=TH!H529,OR(L529="331",M529="331")),"331",IF(AND(OR(L529="131",M529="131"),H529='131-CT'!$E$7),"131",""))</f>
        <v/>
      </c>
      <c r="O529" s="90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21"/>
      <c r="AC529" s="211" t="str">
        <f>IF(F529=VLOOKUP(F529,NXT!$C$12:$C$305,1,0),"","x")</f>
        <v/>
      </c>
      <c r="AE529" s="560"/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951</v>
      </c>
      <c r="E530" s="191">
        <v>41962</v>
      </c>
      <c r="F530" s="192" t="s">
        <v>426</v>
      </c>
      <c r="G530" s="468" t="s">
        <v>790</v>
      </c>
      <c r="H530" s="7" t="s">
        <v>791</v>
      </c>
      <c r="I530" s="256"/>
      <c r="J530" s="256"/>
      <c r="K530" s="568">
        <v>1350469</v>
      </c>
      <c r="L530" s="569" t="s">
        <v>253</v>
      </c>
      <c r="M530" s="569" t="s">
        <v>367</v>
      </c>
      <c r="N530" s="52" t="str">
        <f>IF(AND('331-CT'!$E$7=TH!H530,OR(L530="331",M530="331")),"331",IF(AND(OR(L530="131",M530="131"),H530='131-CT'!$E$7),"131",""))</f>
        <v/>
      </c>
      <c r="O530" s="90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21"/>
      <c r="AC530" s="560" t="str">
        <f>IF(VLOOKUP(H530,DS_131,1,0)&lt;&gt;"","","x")</f>
        <v/>
      </c>
      <c r="AE530" s="560"/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952</v>
      </c>
      <c r="E531" s="191">
        <v>41963</v>
      </c>
      <c r="F531" s="189" t="s">
        <v>465</v>
      </c>
      <c r="G531" s="468" t="s">
        <v>797</v>
      </c>
      <c r="H531" s="7" t="s">
        <v>467</v>
      </c>
      <c r="I531" s="256">
        <v>993</v>
      </c>
      <c r="J531" s="256">
        <v>8740</v>
      </c>
      <c r="K531" s="568">
        <f>ROUND(I531*J531,0)</f>
        <v>8678820</v>
      </c>
      <c r="L531" s="569" t="s">
        <v>253</v>
      </c>
      <c r="M531" s="569" t="s">
        <v>177</v>
      </c>
      <c r="N531" s="52" t="str">
        <f>IF(AND('331-CT'!$E$7=TH!H531,OR(L531="331",M531="331")),"331",IF(AND(OR(L531="131",M531="131"),H531='131-CT'!$E$7),"131",""))</f>
        <v/>
      </c>
      <c r="O531" s="90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21"/>
      <c r="AC531" s="211" t="str">
        <f>IF(F531=VLOOKUP(F531,NXT!$C$12:$C$305,1,0),"","x")</f>
        <v/>
      </c>
      <c r="AD531" s="560"/>
      <c r="AE531" s="560"/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952</v>
      </c>
      <c r="E532" s="191">
        <v>41963</v>
      </c>
      <c r="F532" s="192" t="s">
        <v>426</v>
      </c>
      <c r="G532" s="468" t="s">
        <v>797</v>
      </c>
      <c r="H532" s="7" t="s">
        <v>467</v>
      </c>
      <c r="I532" s="256"/>
      <c r="J532" s="256"/>
      <c r="K532" s="38">
        <v>867882</v>
      </c>
      <c r="L532" s="569" t="s">
        <v>253</v>
      </c>
      <c r="M532" s="569" t="s">
        <v>367</v>
      </c>
      <c r="N532" s="52" t="str">
        <f>IF(AND('331-CT'!$E$7=TH!H532,OR(L532="331",M532="331")),"331",IF(AND(OR(L532="131",M532="131"),H532='131-CT'!$E$7),"131",""))</f>
        <v/>
      </c>
      <c r="O532" s="90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21"/>
      <c r="AC532" s="560" t="str">
        <f>IF(VLOOKUP(H532,DS_131,1,0)&lt;&gt;"","","x")</f>
        <v/>
      </c>
      <c r="AD532" s="560"/>
      <c r="AE532" s="560"/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953</v>
      </c>
      <c r="E533" s="184">
        <v>41963</v>
      </c>
      <c r="F533" s="189" t="s">
        <v>798</v>
      </c>
      <c r="G533" s="570" t="s">
        <v>799</v>
      </c>
      <c r="H533" s="193" t="s">
        <v>589</v>
      </c>
      <c r="I533" s="256">
        <v>3030</v>
      </c>
      <c r="J533" s="256">
        <v>7450</v>
      </c>
      <c r="K533" s="568">
        <f>ROUND(I533*J533,0)</f>
        <v>22573500</v>
      </c>
      <c r="L533" s="569" t="s">
        <v>253</v>
      </c>
      <c r="M533" s="569" t="s">
        <v>177</v>
      </c>
      <c r="N533" s="52" t="str">
        <f>IF(AND('331-CT'!$E$7=TH!H533,OR(L533="331",M533="331")),"331",IF(AND(OR(L533="131",M533="131"),H533='131-CT'!$E$7),"131",""))</f>
        <v/>
      </c>
      <c r="O533" s="90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21"/>
      <c r="AC533" s="211" t="str">
        <f>IF(F533=VLOOKUP(F533,NXT!$C$12:$C$305,1,0),"","x")</f>
        <v/>
      </c>
      <c r="AD533" s="560"/>
      <c r="AE533" s="560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953</v>
      </c>
      <c r="E534" s="191">
        <v>41963</v>
      </c>
      <c r="F534" s="192" t="s">
        <v>798</v>
      </c>
      <c r="G534" s="468" t="s">
        <v>799</v>
      </c>
      <c r="H534" s="193" t="s">
        <v>589</v>
      </c>
      <c r="I534" s="256">
        <v>219</v>
      </c>
      <c r="J534" s="256">
        <v>7450</v>
      </c>
      <c r="K534" s="568">
        <f>ROUND(I534*J534,0)</f>
        <v>1631550</v>
      </c>
      <c r="L534" s="569" t="s">
        <v>253</v>
      </c>
      <c r="M534" s="569" t="s">
        <v>177</v>
      </c>
      <c r="N534" s="52" t="str">
        <f>IF(AND('331-CT'!$E$7=TH!H534,OR(L534="331",M534="331")),"331",IF(AND(OR(L534="131",M534="131"),H534='131-CT'!$E$7),"131",""))</f>
        <v/>
      </c>
      <c r="O534" s="90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21"/>
      <c r="AC534" s="211" t="str">
        <f>IF(F534=VLOOKUP(F534,NXT!$C$12:$C$305,1,0),"","x")</f>
        <v/>
      </c>
      <c r="AD534" s="560"/>
      <c r="AE534" s="560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953</v>
      </c>
      <c r="E535" s="191">
        <v>41963</v>
      </c>
      <c r="F535" s="192" t="s">
        <v>798</v>
      </c>
      <c r="G535" s="468" t="s">
        <v>799</v>
      </c>
      <c r="H535" s="193" t="s">
        <v>589</v>
      </c>
      <c r="I535" s="256">
        <v>3167</v>
      </c>
      <c r="J535" s="256">
        <v>7450</v>
      </c>
      <c r="K535" s="568">
        <f>ROUND(I535*J535,0)</f>
        <v>23594150</v>
      </c>
      <c r="L535" s="569" t="s">
        <v>253</v>
      </c>
      <c r="M535" s="569" t="s">
        <v>177</v>
      </c>
      <c r="N535" s="52" t="str">
        <f>IF(AND('331-CT'!$E$7=TH!H535,OR(L535="331",M535="331")),"331",IF(AND(OR(L535="131",M535="131"),H535='131-CT'!$E$7),"131",""))</f>
        <v/>
      </c>
      <c r="O535" s="90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21"/>
      <c r="AC535" s="211" t="str">
        <f>IF(F535=VLOOKUP(F535,NXT!$C$12:$C$305,1,0),"","x")</f>
        <v/>
      </c>
      <c r="AD535" s="560"/>
      <c r="AE535" s="560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953</v>
      </c>
      <c r="E536" s="191">
        <v>41963</v>
      </c>
      <c r="F536" s="192" t="s">
        <v>426</v>
      </c>
      <c r="G536" s="468" t="s">
        <v>799</v>
      </c>
      <c r="H536" s="193" t="s">
        <v>589</v>
      </c>
      <c r="I536" s="256"/>
      <c r="J536" s="256"/>
      <c r="K536" s="38">
        <v>4779920</v>
      </c>
      <c r="L536" s="569" t="s">
        <v>253</v>
      </c>
      <c r="M536" s="569" t="s">
        <v>367</v>
      </c>
      <c r="N536" s="52" t="str">
        <f>IF(AND('331-CT'!$E$7=TH!H536,OR(L536="331",M536="331")),"331",IF(AND(OR(L536="131",M536="131"),H536='131-CT'!$E$7),"131",""))</f>
        <v/>
      </c>
      <c r="O536" s="90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21"/>
      <c r="AC536" s="560" t="str">
        <f>IF(VLOOKUP(H536,DS_131,1,0)&lt;&gt;"","","x")</f>
        <v/>
      </c>
      <c r="AD536" s="560"/>
      <c r="AE536" s="560"/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954</v>
      </c>
      <c r="E537" s="191">
        <v>41964</v>
      </c>
      <c r="F537" s="189" t="s">
        <v>1220</v>
      </c>
      <c r="G537" s="468" t="s">
        <v>800</v>
      </c>
      <c r="H537" s="7" t="s">
        <v>916</v>
      </c>
      <c r="I537" s="256">
        <v>780</v>
      </c>
      <c r="J537" s="256">
        <v>14300</v>
      </c>
      <c r="K537" s="568">
        <f>ROUND(I537*J537,0)</f>
        <v>11154000</v>
      </c>
      <c r="L537" s="569" t="s">
        <v>253</v>
      </c>
      <c r="M537" s="569" t="s">
        <v>177</v>
      </c>
      <c r="N537" s="52" t="str">
        <f>IF(AND('331-CT'!$E$7=TH!H537,OR(L537="331",M537="331")),"331",IF(AND(OR(L537="131",M537="131"),H537='131-CT'!$E$7),"131",""))</f>
        <v/>
      </c>
      <c r="O537" s="90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21"/>
      <c r="AC537" s="211" t="str">
        <f>IF(F537=VLOOKUP(F537,NXT!$C$12:$C$305,1,0),"","x")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954</v>
      </c>
      <c r="E538" s="191">
        <v>41964</v>
      </c>
      <c r="F538" s="40" t="s">
        <v>451</v>
      </c>
      <c r="G538" s="468" t="s">
        <v>800</v>
      </c>
      <c r="H538" s="7" t="s">
        <v>916</v>
      </c>
      <c r="I538" s="256">
        <v>1600</v>
      </c>
      <c r="J538" s="256">
        <v>1500</v>
      </c>
      <c r="K538" s="568">
        <f>ROUND(I538*J538,0)</f>
        <v>2400000</v>
      </c>
      <c r="L538" s="569" t="s">
        <v>253</v>
      </c>
      <c r="M538" s="569" t="s">
        <v>177</v>
      </c>
      <c r="N538" s="52" t="str">
        <f>IF(AND('331-CT'!$E$7=TH!H538,OR(L538="331",M538="331")),"331",IF(AND(OR(L538="131",M538="131"),H538='131-CT'!$E$7),"131",""))</f>
        <v/>
      </c>
      <c r="O538" s="90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21"/>
      <c r="AC538" s="211" t="str">
        <f>IF(F538=VLOOKUP(F538,NXT!$C$12:$C$305,1,0),"","x")</f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954</v>
      </c>
      <c r="E539" s="191">
        <v>41964</v>
      </c>
      <c r="F539" s="192" t="s">
        <v>426</v>
      </c>
      <c r="G539" s="468" t="s">
        <v>800</v>
      </c>
      <c r="H539" s="7" t="s">
        <v>916</v>
      </c>
      <c r="I539" s="256"/>
      <c r="J539" s="256"/>
      <c r="K539" s="568">
        <v>1355400</v>
      </c>
      <c r="L539" s="569" t="s">
        <v>253</v>
      </c>
      <c r="M539" s="569" t="s">
        <v>367</v>
      </c>
      <c r="N539" s="52" t="str">
        <f>IF(AND('331-CT'!$E$7=TH!H539,OR(L539="331",M539="331")),"331",IF(AND(OR(L539="131",M539="131"),H539='131-CT'!$E$7),"131",""))</f>
        <v/>
      </c>
      <c r="O539" s="90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21"/>
      <c r="AC539" s="560" t="str">
        <f>IF(VLOOKUP(H539,DS_131,1,0)&lt;&gt;"","","x")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955</v>
      </c>
      <c r="E540" s="191">
        <v>41967</v>
      </c>
      <c r="F540" s="189" t="s">
        <v>572</v>
      </c>
      <c r="G540" s="468" t="s">
        <v>801</v>
      </c>
      <c r="H540" s="7" t="s">
        <v>444</v>
      </c>
      <c r="I540" s="256">
        <v>511</v>
      </c>
      <c r="J540" s="256">
        <v>10500</v>
      </c>
      <c r="K540" s="568">
        <f>ROUND(I540*J540,0)</f>
        <v>5365500</v>
      </c>
      <c r="L540" s="569" t="s">
        <v>253</v>
      </c>
      <c r="M540" s="569" t="s">
        <v>177</v>
      </c>
      <c r="N540" s="52" t="str">
        <f>IF(AND('331-CT'!$E$7=TH!H540,OR(L540="331",M540="331")),"331",IF(AND(OR(L540="131",M540="131"),H540='131-CT'!$E$7),"131",""))</f>
        <v/>
      </c>
      <c r="O540" s="90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21"/>
      <c r="AC540" s="211" t="str">
        <f>IF(F540=VLOOKUP(F540,NXT!$C$12:$C$305,1,0),"","x")</f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955</v>
      </c>
      <c r="E541" s="191">
        <v>41967</v>
      </c>
      <c r="F541" s="192" t="s">
        <v>426</v>
      </c>
      <c r="G541" s="468" t="s">
        <v>801</v>
      </c>
      <c r="H541" s="7" t="s">
        <v>444</v>
      </c>
      <c r="I541" s="256"/>
      <c r="J541" s="256"/>
      <c r="K541" s="568">
        <v>536550</v>
      </c>
      <c r="L541" s="569" t="s">
        <v>253</v>
      </c>
      <c r="M541" s="569" t="s">
        <v>367</v>
      </c>
      <c r="N541" s="52" t="str">
        <f>IF(AND('331-CT'!$E$7=TH!H541,OR(L541="331",M541="331")),"331",IF(AND(OR(L541="131",M541="131"),H541='131-CT'!$E$7),"131",""))</f>
        <v/>
      </c>
      <c r="O541" s="90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21"/>
      <c r="AC541" s="560" t="str">
        <f>IF(VLOOKUP(H541,DS_131,1,0)&lt;&gt;"","","x")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956</v>
      </c>
      <c r="E542" s="191">
        <v>41968</v>
      </c>
      <c r="F542" s="40" t="s">
        <v>802</v>
      </c>
      <c r="G542" s="468" t="s">
        <v>803</v>
      </c>
      <c r="H542" s="7" t="s">
        <v>589</v>
      </c>
      <c r="I542" s="256">
        <v>3160</v>
      </c>
      <c r="J542" s="256">
        <v>7450</v>
      </c>
      <c r="K542" s="568">
        <f>ROUND(I542*J542,0)</f>
        <v>23542000</v>
      </c>
      <c r="L542" s="569" t="s">
        <v>253</v>
      </c>
      <c r="M542" s="569" t="s">
        <v>177</v>
      </c>
      <c r="N542" s="52" t="str">
        <f>IF(AND('331-CT'!$E$7=TH!H542,OR(L542="331",M542="331")),"331",IF(AND(OR(L542="131",M542="131"),H542='131-CT'!$E$7),"131",""))</f>
        <v/>
      </c>
      <c r="O542" s="90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21"/>
      <c r="AC542" s="211" t="str">
        <f>IF(F542=VLOOKUP(F542,NXT!$C$12:$C$305,1,0),"","x")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956</v>
      </c>
      <c r="E543" s="191">
        <v>41968</v>
      </c>
      <c r="F543" s="192" t="s">
        <v>426</v>
      </c>
      <c r="G543" s="468" t="s">
        <v>803</v>
      </c>
      <c r="H543" s="7" t="s">
        <v>589</v>
      </c>
      <c r="I543" s="256"/>
      <c r="J543" s="256"/>
      <c r="K543" s="568">
        <v>2354200</v>
      </c>
      <c r="L543" s="569" t="s">
        <v>253</v>
      </c>
      <c r="M543" s="569" t="s">
        <v>367</v>
      </c>
      <c r="N543" s="52" t="str">
        <f>IF(AND('331-CT'!$E$7=TH!H543,OR(L543="331",M543="331")),"331",IF(AND(OR(L543="131",M543="131"),H543='131-CT'!$E$7),"131",""))</f>
        <v/>
      </c>
      <c r="O543" s="90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21"/>
      <c r="AC543" s="560" t="str">
        <f>IF(VLOOKUP(H543,DS_131,1,0)&lt;&gt;"","","x")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957</v>
      </c>
      <c r="E544" s="191">
        <v>41968</v>
      </c>
      <c r="F544" s="189" t="s">
        <v>731</v>
      </c>
      <c r="G544" s="468" t="s">
        <v>804</v>
      </c>
      <c r="H544" s="7" t="s">
        <v>692</v>
      </c>
      <c r="I544" s="256">
        <v>33</v>
      </c>
      <c r="J544" s="256">
        <v>30000</v>
      </c>
      <c r="K544" s="568">
        <f>ROUND(I544*J544,0)</f>
        <v>990000</v>
      </c>
      <c r="L544" s="569" t="s">
        <v>253</v>
      </c>
      <c r="M544" s="569" t="s">
        <v>177</v>
      </c>
      <c r="N544" s="52" t="str">
        <f>IF(AND('331-CT'!$E$7=TH!H544,OR(L544="331",M544="331")),"331",IF(AND(OR(L544="131",M544="131"),H544='131-CT'!$E$7),"131",""))</f>
        <v/>
      </c>
      <c r="O544" s="90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21"/>
      <c r="AC544" s="211" t="str">
        <f>IF(F544=VLOOKUP(F544,NXT!$C$12:$C$305,1,0),"","x")</f>
        <v/>
      </c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957</v>
      </c>
      <c r="E545" s="191">
        <v>41968</v>
      </c>
      <c r="F545" s="40" t="s">
        <v>780</v>
      </c>
      <c r="G545" s="468" t="s">
        <v>804</v>
      </c>
      <c r="H545" s="7" t="s">
        <v>692</v>
      </c>
      <c r="I545" s="256">
        <v>56</v>
      </c>
      <c r="J545" s="256">
        <v>31500</v>
      </c>
      <c r="K545" s="568">
        <f>ROUND(I545*J545,0)</f>
        <v>1764000</v>
      </c>
      <c r="L545" s="569" t="s">
        <v>253</v>
      </c>
      <c r="M545" s="569" t="s">
        <v>177</v>
      </c>
      <c r="N545" s="52" t="str">
        <f>IF(AND('331-CT'!$E$7=TH!H545,OR(L545="331",M545="331")),"331",IF(AND(OR(L545="131",M545="131"),H545='131-CT'!$E$7),"131",""))</f>
        <v/>
      </c>
      <c r="O545" s="90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21"/>
      <c r="AC545" s="211" t="str">
        <f>IF(F545=VLOOKUP(F545,NXT!$C$12:$C$305,1,0),"","x")</f>
        <v/>
      </c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957</v>
      </c>
      <c r="E546" s="191">
        <v>41968</v>
      </c>
      <c r="F546" s="192" t="s">
        <v>755</v>
      </c>
      <c r="G546" s="468" t="s">
        <v>804</v>
      </c>
      <c r="H546" s="193" t="s">
        <v>692</v>
      </c>
      <c r="I546" s="256">
        <v>178</v>
      </c>
      <c r="J546" s="256">
        <v>1440</v>
      </c>
      <c r="K546" s="568">
        <f>ROUND(I546*J546,0)</f>
        <v>256320</v>
      </c>
      <c r="L546" s="569" t="s">
        <v>253</v>
      </c>
      <c r="M546" s="569" t="s">
        <v>177</v>
      </c>
      <c r="N546" s="52" t="str">
        <f>IF(AND('331-CT'!$E$7=TH!H546,OR(L546="331",M546="331")),"331",IF(AND(OR(L546="131",M546="131"),H546='131-CT'!$E$7),"131",""))</f>
        <v/>
      </c>
      <c r="O546" s="90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21"/>
      <c r="AC546" s="211" t="str">
        <f>IF(F546=VLOOKUP(F546,NXT!$C$12:$C$305,1,0),"","x")</f>
        <v/>
      </c>
      <c r="AE546" s="560"/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957</v>
      </c>
      <c r="E547" s="191">
        <v>41968</v>
      </c>
      <c r="F547" s="192" t="s">
        <v>426</v>
      </c>
      <c r="G547" s="468" t="s">
        <v>804</v>
      </c>
      <c r="H547" s="193" t="s">
        <v>692</v>
      </c>
      <c r="I547" s="256"/>
      <c r="J547" s="256"/>
      <c r="K547" s="38">
        <v>301032</v>
      </c>
      <c r="L547" s="569" t="s">
        <v>253</v>
      </c>
      <c r="M547" s="569" t="s">
        <v>367</v>
      </c>
      <c r="N547" s="52" t="str">
        <f>IF(AND('331-CT'!$E$7=TH!H547,OR(L547="331",M547="331")),"331",IF(AND(OR(L547="131",M547="131"),H547='131-CT'!$E$7),"131",""))</f>
        <v/>
      </c>
      <c r="O547" s="90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21"/>
      <c r="AC547" s="560" t="str">
        <f>IF(VLOOKUP(H547,DS_131,1,0)&lt;&gt;"","","x")</f>
        <v/>
      </c>
      <c r="AD547" s="560"/>
      <c r="AE547" s="560"/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958</v>
      </c>
      <c r="E548" s="191">
        <v>41970</v>
      </c>
      <c r="F548" s="189" t="s">
        <v>805</v>
      </c>
      <c r="G548" s="468" t="s">
        <v>806</v>
      </c>
      <c r="H548" s="7" t="s">
        <v>807</v>
      </c>
      <c r="I548" s="257">
        <v>100</v>
      </c>
      <c r="J548" s="257">
        <v>9173</v>
      </c>
      <c r="K548" s="568">
        <f>ROUND(I548*J548,0)</f>
        <v>917300</v>
      </c>
      <c r="L548" s="569" t="s">
        <v>253</v>
      </c>
      <c r="M548" s="569" t="s">
        <v>177</v>
      </c>
      <c r="N548" s="52" t="str">
        <f>IF(AND('331-CT'!$E$7=TH!H548,OR(L548="331",M548="331")),"331",IF(AND(OR(L548="131",M548="131"),H548='131-CT'!$E$7),"131",""))</f>
        <v/>
      </c>
      <c r="O548" s="90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21"/>
      <c r="AC548" s="211" t="str">
        <f>IF(F548=VLOOKUP(F548,NXT!$C$12:$C$305,1,0),"","x")</f>
        <v/>
      </c>
      <c r="AD548" s="560"/>
      <c r="AE548" s="560"/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958</v>
      </c>
      <c r="E549" s="191">
        <v>41970</v>
      </c>
      <c r="F549" s="192" t="s">
        <v>426</v>
      </c>
      <c r="G549" s="468" t="s">
        <v>806</v>
      </c>
      <c r="H549" s="7" t="s">
        <v>807</v>
      </c>
      <c r="I549" s="256"/>
      <c r="J549" s="256"/>
      <c r="K549" s="568">
        <v>91730</v>
      </c>
      <c r="L549" s="569" t="s">
        <v>253</v>
      </c>
      <c r="M549" s="569" t="s">
        <v>367</v>
      </c>
      <c r="N549" s="52" t="str">
        <f>IF(AND('331-CT'!$E$7=TH!H549,OR(L549="331",M549="331")),"331",IF(AND(OR(L549="131",M549="131"),H549='131-CT'!$E$7),"131",""))</f>
        <v/>
      </c>
      <c r="O549" s="90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21"/>
      <c r="AC549" s="560" t="str">
        <f>IF(VLOOKUP(H549,DS_131,1,0)&lt;&gt;"","","x")</f>
        <v/>
      </c>
      <c r="AD549" s="560"/>
      <c r="AE549" s="560"/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959</v>
      </c>
      <c r="E550" s="191">
        <v>41970</v>
      </c>
      <c r="F550" s="189" t="s">
        <v>514</v>
      </c>
      <c r="G550" s="468" t="s">
        <v>808</v>
      </c>
      <c r="H550" s="7" t="s">
        <v>917</v>
      </c>
      <c r="I550" s="256">
        <v>333</v>
      </c>
      <c r="J550" s="256">
        <v>9400</v>
      </c>
      <c r="K550" s="568">
        <f>ROUND(I550*J550,0)</f>
        <v>3130200</v>
      </c>
      <c r="L550" s="569" t="s">
        <v>253</v>
      </c>
      <c r="M550" s="569" t="s">
        <v>177</v>
      </c>
      <c r="N550" s="52" t="str">
        <f>IF(AND('331-CT'!$E$7=TH!H550,OR(L550="331",M550="331")),"331",IF(AND(OR(L550="131",M550="131"),H550='131-CT'!$E$7),"131",""))</f>
        <v/>
      </c>
      <c r="O550" s="90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21"/>
      <c r="AC550" s="211" t="str">
        <f>IF(F550=VLOOKUP(F550,NXT!$C$12:$C$305,1,0),"","x")</f>
        <v/>
      </c>
      <c r="AE550" s="560"/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959</v>
      </c>
      <c r="E551" s="191">
        <v>41970</v>
      </c>
      <c r="F551" s="189" t="s">
        <v>493</v>
      </c>
      <c r="G551" s="468" t="s">
        <v>808</v>
      </c>
      <c r="H551" s="7" t="s">
        <v>917</v>
      </c>
      <c r="I551" s="257">
        <v>219</v>
      </c>
      <c r="J551" s="257">
        <v>6400</v>
      </c>
      <c r="K551" s="568">
        <f>ROUND(I551*J551,0)</f>
        <v>1401600</v>
      </c>
      <c r="L551" s="569" t="s">
        <v>253</v>
      </c>
      <c r="M551" s="569" t="s">
        <v>177</v>
      </c>
      <c r="N551" s="52" t="str">
        <f>IF(AND('331-CT'!$E$7=TH!H551,OR(L551="331",M551="331")),"331",IF(AND(OR(L551="131",M551="131"),H551='131-CT'!$E$7),"131",""))</f>
        <v/>
      </c>
      <c r="O551" s="90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21"/>
      <c r="AC551" s="211" t="str">
        <f>IF(F551=VLOOKUP(F551,NXT!$C$12:$C$305,1,0),"","x")</f>
        <v/>
      </c>
      <c r="AD551" s="560"/>
      <c r="AE551" s="560"/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959</v>
      </c>
      <c r="E552" s="191">
        <v>41970</v>
      </c>
      <c r="F552" s="189" t="s">
        <v>492</v>
      </c>
      <c r="G552" s="468" t="s">
        <v>808</v>
      </c>
      <c r="H552" s="7" t="s">
        <v>917</v>
      </c>
      <c r="I552" s="256">
        <v>112</v>
      </c>
      <c r="J552" s="256">
        <v>9300</v>
      </c>
      <c r="K552" s="568">
        <f>ROUND(I552*J552,0)</f>
        <v>1041600</v>
      </c>
      <c r="L552" s="569" t="s">
        <v>253</v>
      </c>
      <c r="M552" s="569" t="s">
        <v>177</v>
      </c>
      <c r="N552" s="52" t="str">
        <f>IF(AND('331-CT'!$E$7=TH!H552,OR(L552="331",M552="331")),"331",IF(AND(OR(L552="131",M552="131"),H552='131-CT'!$E$7),"131",""))</f>
        <v/>
      </c>
      <c r="O552" s="90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21"/>
      <c r="AC552" s="211" t="str">
        <f>IF(F552=VLOOKUP(F552,NXT!$C$12:$C$305,1,0),"","x")</f>
        <v/>
      </c>
      <c r="AE552" s="560"/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959</v>
      </c>
      <c r="E553" s="191">
        <v>41970</v>
      </c>
      <c r="F553" s="192" t="s">
        <v>426</v>
      </c>
      <c r="G553" s="468" t="s">
        <v>808</v>
      </c>
      <c r="H553" s="7" t="s">
        <v>917</v>
      </c>
      <c r="I553" s="257"/>
      <c r="J553" s="257"/>
      <c r="K553" s="38">
        <v>557340</v>
      </c>
      <c r="L553" s="569" t="s">
        <v>253</v>
      </c>
      <c r="M553" s="569" t="s">
        <v>367</v>
      </c>
      <c r="N553" s="52" t="str">
        <f>IF(AND('331-CT'!$E$7=TH!H553,OR(L553="331",M553="331")),"331",IF(AND(OR(L553="131",M553="131"),H553='131-CT'!$E$7),"131",""))</f>
        <v/>
      </c>
      <c r="O553" s="90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21"/>
      <c r="AC553" s="560" t="str">
        <f>IF(VLOOKUP(H553,DS_131,1,0)&lt;&gt;"","","x")</f>
        <v/>
      </c>
      <c r="AD553" s="560"/>
      <c r="AE553" s="560"/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960</v>
      </c>
      <c r="E554" s="191">
        <v>41970</v>
      </c>
      <c r="F554" s="192" t="s">
        <v>638</v>
      </c>
      <c r="G554" s="468" t="s">
        <v>809</v>
      </c>
      <c r="H554" s="45" t="s">
        <v>475</v>
      </c>
      <c r="I554" s="256">
        <v>110</v>
      </c>
      <c r="J554" s="256">
        <v>3600</v>
      </c>
      <c r="K554" s="568">
        <f>ROUND(I554*J554,0)</f>
        <v>396000</v>
      </c>
      <c r="L554" s="569" t="s">
        <v>253</v>
      </c>
      <c r="M554" s="569" t="s">
        <v>177</v>
      </c>
      <c r="N554" s="52" t="str">
        <f>IF(AND('331-CT'!$E$7=TH!H554,OR(L554="331",M554="331")),"331",IF(AND(OR(L554="131",M554="131"),H554='131-CT'!$E$7),"131",""))</f>
        <v/>
      </c>
      <c r="O554" s="90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21"/>
      <c r="AC554" s="211" t="str">
        <f>IF(F554=VLOOKUP(F554,NXT!$C$12:$C$305,1,0),"","x")</f>
        <v/>
      </c>
      <c r="AD554" s="560"/>
      <c r="AE554" s="560"/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960</v>
      </c>
      <c r="E555" s="191">
        <v>41970</v>
      </c>
      <c r="F555" s="192" t="s">
        <v>640</v>
      </c>
      <c r="G555" s="468" t="s">
        <v>809</v>
      </c>
      <c r="H555" s="45" t="s">
        <v>475</v>
      </c>
      <c r="I555" s="256">
        <v>260</v>
      </c>
      <c r="J555" s="256">
        <v>5650</v>
      </c>
      <c r="K555" s="568">
        <f>ROUND(I555*J555,0)</f>
        <v>1469000</v>
      </c>
      <c r="L555" s="569" t="s">
        <v>253</v>
      </c>
      <c r="M555" s="569" t="s">
        <v>177</v>
      </c>
      <c r="N555" s="52" t="str">
        <f>IF(AND('331-CT'!$E$7=TH!H555,OR(L555="331",M555="331")),"331",IF(AND(OR(L555="131",M555="131"),H555='131-CT'!$E$7),"131",""))</f>
        <v/>
      </c>
      <c r="O555" s="90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21"/>
      <c r="AC555" s="211" t="str">
        <f>IF(F555=VLOOKUP(F555,NXT!$C$12:$C$305,1,0),"","x")</f>
        <v/>
      </c>
      <c r="AD555" s="560"/>
      <c r="AE555" s="560"/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960</v>
      </c>
      <c r="E556" s="191">
        <v>41970</v>
      </c>
      <c r="F556" s="189" t="s">
        <v>639</v>
      </c>
      <c r="G556" s="468" t="s">
        <v>809</v>
      </c>
      <c r="H556" s="7" t="s">
        <v>475</v>
      </c>
      <c r="I556" s="256">
        <v>450</v>
      </c>
      <c r="J556" s="256">
        <v>3800</v>
      </c>
      <c r="K556" s="568">
        <f>ROUND(I556*J556,0)</f>
        <v>1710000</v>
      </c>
      <c r="L556" s="569" t="s">
        <v>253</v>
      </c>
      <c r="M556" s="569" t="s">
        <v>177</v>
      </c>
      <c r="N556" s="52" t="str">
        <f>IF(AND('331-CT'!$E$7=TH!H556,OR(L556="331",M556="331")),"331",IF(AND(OR(L556="131",M556="131"),H556='131-CT'!$E$7),"131",""))</f>
        <v/>
      </c>
      <c r="O556" s="90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21"/>
      <c r="AC556" s="211" t="str">
        <f>IF(F556=VLOOKUP(F556,NXT!$C$12:$C$305,1,0),"","x")</f>
        <v/>
      </c>
      <c r="AD556" s="560"/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960</v>
      </c>
      <c r="E557" s="191">
        <v>41970</v>
      </c>
      <c r="F557" s="192" t="s">
        <v>426</v>
      </c>
      <c r="G557" s="468" t="s">
        <v>809</v>
      </c>
      <c r="H557" s="7" t="s">
        <v>475</v>
      </c>
      <c r="I557" s="256"/>
      <c r="J557" s="256"/>
      <c r="K557" s="568">
        <v>357500</v>
      </c>
      <c r="L557" s="569" t="s">
        <v>253</v>
      </c>
      <c r="M557" s="569" t="s">
        <v>367</v>
      </c>
      <c r="N557" s="52" t="str">
        <f>IF(AND('331-CT'!$E$7=TH!H557,OR(L557="331",M557="331")),"331",IF(AND(OR(L557="131",M557="131"),H557='131-CT'!$E$7),"131",""))</f>
        <v/>
      </c>
      <c r="O557" s="90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21"/>
      <c r="AC557" s="560" t="str">
        <f>IF(VLOOKUP(H557,DS_131,1,0)&lt;&gt;"","","x")</f>
        <v/>
      </c>
      <c r="AD557" s="560"/>
      <c r="AE557" s="560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961</v>
      </c>
      <c r="E558" s="191">
        <v>41972</v>
      </c>
      <c r="F558" s="189" t="s">
        <v>678</v>
      </c>
      <c r="G558" s="468" t="s">
        <v>810</v>
      </c>
      <c r="H558" s="7" t="s">
        <v>680</v>
      </c>
      <c r="I558" s="256">
        <v>1000</v>
      </c>
      <c r="J558" s="256">
        <v>9300</v>
      </c>
      <c r="K558" s="568">
        <f>ROUND(I558*J558,0)</f>
        <v>9300000</v>
      </c>
      <c r="L558" s="569" t="s">
        <v>253</v>
      </c>
      <c r="M558" s="569" t="s">
        <v>177</v>
      </c>
      <c r="N558" s="52" t="str">
        <f>IF(AND('331-CT'!$E$7=TH!H558,OR(L558="331",M558="331")),"331",IF(AND(OR(L558="131",M558="131"),H558='131-CT'!$E$7),"131",""))</f>
        <v/>
      </c>
      <c r="O558" s="90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21"/>
      <c r="AC558" s="211" t="str">
        <f>IF(F558=VLOOKUP(F558,NXT!$C$12:$C$305,1,0),"","x")</f>
        <v/>
      </c>
      <c r="AE558" s="560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961</v>
      </c>
      <c r="E559" s="191">
        <v>41972</v>
      </c>
      <c r="F559" s="192" t="s">
        <v>426</v>
      </c>
      <c r="G559" s="468" t="s">
        <v>810</v>
      </c>
      <c r="H559" s="7" t="s">
        <v>680</v>
      </c>
      <c r="I559" s="256"/>
      <c r="J559" s="256"/>
      <c r="K559" s="568">
        <v>930000</v>
      </c>
      <c r="L559" s="569" t="s">
        <v>253</v>
      </c>
      <c r="M559" s="569" t="s">
        <v>367</v>
      </c>
      <c r="N559" s="52" t="str">
        <f>IF(AND('331-CT'!$E$7=TH!H559,OR(L559="331",M559="331")),"331",IF(AND(OR(L559="131",M559="131"),H559='131-CT'!$E$7),"131",""))</f>
        <v/>
      </c>
      <c r="O559" s="90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21"/>
      <c r="AC559" s="560" t="str">
        <f>IF(VLOOKUP(H559,DS_131,1,0)&lt;&gt;"","","x")</f>
        <v/>
      </c>
      <c r="AD559" s="560"/>
      <c r="AE559" s="560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962</v>
      </c>
      <c r="E560" s="191">
        <v>41973</v>
      </c>
      <c r="F560" s="189" t="s">
        <v>678</v>
      </c>
      <c r="G560" s="468" t="s">
        <v>811</v>
      </c>
      <c r="H560" s="7" t="s">
        <v>680</v>
      </c>
      <c r="I560" s="256">
        <v>987</v>
      </c>
      <c r="J560" s="256">
        <v>9300</v>
      </c>
      <c r="K560" s="568">
        <f>ROUND(I560*J560,0)</f>
        <v>9179100</v>
      </c>
      <c r="L560" s="569" t="s">
        <v>253</v>
      </c>
      <c r="M560" s="569" t="s">
        <v>177</v>
      </c>
      <c r="N560" s="52" t="str">
        <f>IF(AND('331-CT'!$E$7=TH!H560,OR(L560="331",M560="331")),"331",IF(AND(OR(L560="131",M560="131"),H560='131-CT'!$E$7),"131",""))</f>
        <v/>
      </c>
      <c r="O560" s="90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21"/>
      <c r="AC560" s="211" t="str">
        <f>IF(F560=VLOOKUP(F560,NXT!$C$12:$C$305,1,0),"","x")</f>
        <v/>
      </c>
      <c r="AE560" s="560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962</v>
      </c>
      <c r="E561" s="191">
        <v>41973</v>
      </c>
      <c r="F561" s="189" t="s">
        <v>678</v>
      </c>
      <c r="G561" s="468" t="s">
        <v>811</v>
      </c>
      <c r="H561" s="7" t="s">
        <v>680</v>
      </c>
      <c r="I561" s="256">
        <v>226</v>
      </c>
      <c r="J561" s="256">
        <v>7100</v>
      </c>
      <c r="K561" s="568">
        <f>ROUND(I561*J561,0)</f>
        <v>1604600</v>
      </c>
      <c r="L561" s="569" t="s">
        <v>253</v>
      </c>
      <c r="M561" s="569" t="s">
        <v>177</v>
      </c>
      <c r="N561" s="52" t="str">
        <f>IF(AND('331-CT'!$E$7=TH!H561,OR(L561="331",M561="331")),"331",IF(AND(OR(L561="131",M561="131"),H561='131-CT'!$E$7),"131",""))</f>
        <v/>
      </c>
      <c r="O561" s="90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21"/>
      <c r="AC561" s="211" t="str">
        <f>IF(F561=VLOOKUP(F561,NXT!$C$12:$C$305,1,0),"","x")</f>
        <v/>
      </c>
      <c r="AD561" s="560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962</v>
      </c>
      <c r="E562" s="191">
        <v>41973</v>
      </c>
      <c r="F562" s="192" t="s">
        <v>426</v>
      </c>
      <c r="G562" s="468" t="s">
        <v>811</v>
      </c>
      <c r="H562" s="7" t="s">
        <v>680</v>
      </c>
      <c r="I562" s="256"/>
      <c r="J562" s="256"/>
      <c r="K562" s="568">
        <v>1078370</v>
      </c>
      <c r="L562" s="569" t="s">
        <v>253</v>
      </c>
      <c r="M562" s="569" t="s">
        <v>367</v>
      </c>
      <c r="N562" s="52" t="str">
        <f>IF(AND('331-CT'!$E$7=TH!H562,OR(L562="331",M562="331")),"331",IF(AND(OR(L562="131",M562="131"),H562='131-CT'!$E$7),"131",""))</f>
        <v/>
      </c>
      <c r="O562" s="90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21"/>
      <c r="AC562" s="560" t="str">
        <f>IF(VLOOKUP(H562,DS_131,1,0)&lt;&gt;"","","x")</f>
        <v/>
      </c>
      <c r="AD562" s="560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963</v>
      </c>
      <c r="E563" s="191">
        <v>41973</v>
      </c>
      <c r="F563" s="189" t="s">
        <v>784</v>
      </c>
      <c r="G563" s="468" t="s">
        <v>812</v>
      </c>
      <c r="H563" s="7" t="s">
        <v>786</v>
      </c>
      <c r="I563" s="256">
        <v>1980</v>
      </c>
      <c r="J563" s="256">
        <v>6100</v>
      </c>
      <c r="K563" s="568">
        <f>ROUND(I563*J563,0)</f>
        <v>12078000</v>
      </c>
      <c r="L563" s="569" t="s">
        <v>253</v>
      </c>
      <c r="M563" s="569" t="s">
        <v>177</v>
      </c>
      <c r="N563" s="52" t="str">
        <f>IF(AND('331-CT'!$E$7=TH!H563,OR(L563="331",M563="331")),"331",IF(AND(OR(L563="131",M563="131"),H563='131-CT'!$E$7),"131",""))</f>
        <v/>
      </c>
      <c r="O563" s="90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21"/>
      <c r="AC563" s="211" t="str">
        <f>IF(F563=VLOOKUP(F563,NXT!$C$12:$C$305,1,0),"","x")</f>
        <v/>
      </c>
      <c r="AD563" s="560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963</v>
      </c>
      <c r="E564" s="191">
        <v>41973</v>
      </c>
      <c r="F564" s="192" t="s">
        <v>426</v>
      </c>
      <c r="G564" s="468" t="s">
        <v>812</v>
      </c>
      <c r="H564" s="193" t="s">
        <v>786</v>
      </c>
      <c r="I564" s="256"/>
      <c r="J564" s="256"/>
      <c r="K564" s="38">
        <v>1207800</v>
      </c>
      <c r="L564" s="569" t="s">
        <v>253</v>
      </c>
      <c r="M564" s="569" t="s">
        <v>367</v>
      </c>
      <c r="N564" s="52" t="str">
        <f>IF(AND('331-CT'!$E$7=TH!H564,OR(L564="331",M564="331")),"331",IF(AND(OR(L564="131",M564="131"),H564='131-CT'!$E$7),"131",""))</f>
        <v/>
      </c>
      <c r="O564" s="90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21"/>
      <c r="AC564" s="560" t="str">
        <f>IF(VLOOKUP(H564,DS_131,1,0)&lt;&gt;"","","x")</f>
        <v/>
      </c>
      <c r="AD564" s="560"/>
      <c r="AE564" s="560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964</v>
      </c>
      <c r="E565" s="191">
        <v>41975</v>
      </c>
      <c r="F565" s="192" t="s">
        <v>750</v>
      </c>
      <c r="G565" s="468" t="s">
        <v>813</v>
      </c>
      <c r="H565" s="193" t="s">
        <v>425</v>
      </c>
      <c r="I565" s="256">
        <v>1059</v>
      </c>
      <c r="J565" s="256">
        <v>5400</v>
      </c>
      <c r="K565" s="568">
        <f>ROUND(I565*J565,0)</f>
        <v>5718600</v>
      </c>
      <c r="L565" s="569" t="s">
        <v>253</v>
      </c>
      <c r="M565" s="569" t="s">
        <v>177</v>
      </c>
      <c r="N565" s="52" t="str">
        <f>IF(AND('331-CT'!$E$7=TH!H565,OR(L565="331",M565="331")),"331",IF(AND(OR(L565="131",M565="131"),H565='131-CT'!$E$7),"131",""))</f>
        <v/>
      </c>
      <c r="O565" s="90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21"/>
      <c r="AC565" s="211" t="str">
        <f>IF(F565=VLOOKUP(F565,NXT!$C$12:$C$305,1,0),"","x")</f>
        <v/>
      </c>
      <c r="AD565" s="560"/>
      <c r="AE565" s="560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964</v>
      </c>
      <c r="E566" s="191">
        <v>41975</v>
      </c>
      <c r="F566" s="192" t="s">
        <v>426</v>
      </c>
      <c r="G566" s="468" t="s">
        <v>813</v>
      </c>
      <c r="H566" s="193" t="s">
        <v>425</v>
      </c>
      <c r="I566" s="257"/>
      <c r="J566" s="257"/>
      <c r="K566" s="568">
        <v>571860</v>
      </c>
      <c r="L566" s="569" t="s">
        <v>253</v>
      </c>
      <c r="M566" s="569" t="s">
        <v>367</v>
      </c>
      <c r="N566" s="52" t="str">
        <f>IF(AND('331-CT'!$E$7=TH!H566,OR(L566="331",M566="331")),"331",IF(AND(OR(L566="131",M566="131"),H566='131-CT'!$E$7),"131",""))</f>
        <v/>
      </c>
      <c r="O566" s="90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21"/>
      <c r="AC566" s="560" t="str">
        <f>IF(VLOOKUP(H566,DS_131,1,0)&lt;&gt;"","","x")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965</v>
      </c>
      <c r="E567" s="191">
        <v>41979</v>
      </c>
      <c r="F567" s="192" t="s">
        <v>814</v>
      </c>
      <c r="G567" s="468" t="s">
        <v>815</v>
      </c>
      <c r="H567" s="193" t="s">
        <v>649</v>
      </c>
      <c r="I567" s="256">
        <v>106</v>
      </c>
      <c r="J567" s="256">
        <v>7200</v>
      </c>
      <c r="K567" s="568">
        <f>ROUND(I567*J567,0)</f>
        <v>763200</v>
      </c>
      <c r="L567" s="569" t="s">
        <v>253</v>
      </c>
      <c r="M567" s="569" t="s">
        <v>177</v>
      </c>
      <c r="N567" s="52" t="str">
        <f>IF(AND('331-CT'!$E$7=TH!H567,OR(L567="331",M567="331")),"331",IF(AND(OR(L567="131",M567="131"),H567='131-CT'!$E$7),"131",""))</f>
        <v/>
      </c>
      <c r="O567" s="90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21"/>
      <c r="AC567" s="211" t="str">
        <f>IF(F567=VLOOKUP(F567,NXT!$C$12:$C$305,1,0),"","x")</f>
        <v/>
      </c>
      <c r="AD567" s="560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965</v>
      </c>
      <c r="E568" s="191">
        <v>41979</v>
      </c>
      <c r="F568" s="192" t="s">
        <v>763</v>
      </c>
      <c r="G568" s="468" t="s">
        <v>815</v>
      </c>
      <c r="H568" s="193" t="s">
        <v>649</v>
      </c>
      <c r="I568" s="256">
        <v>493</v>
      </c>
      <c r="J568" s="256">
        <v>5300</v>
      </c>
      <c r="K568" s="568">
        <f>ROUND(I568*J568,0)</f>
        <v>2612900</v>
      </c>
      <c r="L568" s="569" t="s">
        <v>253</v>
      </c>
      <c r="M568" s="569" t="s">
        <v>177</v>
      </c>
      <c r="N568" s="52" t="str">
        <f>IF(AND('331-CT'!$E$7=TH!H568,OR(L568="331",M568="331")),"331",IF(AND(OR(L568="131",M568="131"),H568='131-CT'!$E$7),"131",""))</f>
        <v/>
      </c>
      <c r="O568" s="90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21"/>
      <c r="AC568" s="211" t="str">
        <f>IF(F568=VLOOKUP(F568,NXT!$C$12:$C$305,1,0),"","x")</f>
        <v/>
      </c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965</v>
      </c>
      <c r="E569" s="191">
        <v>41979</v>
      </c>
      <c r="F569" s="192" t="s">
        <v>816</v>
      </c>
      <c r="G569" s="468" t="s">
        <v>815</v>
      </c>
      <c r="H569" s="193" t="s">
        <v>649</v>
      </c>
      <c r="I569" s="256">
        <v>512</v>
      </c>
      <c r="J569" s="256">
        <v>3900</v>
      </c>
      <c r="K569" s="568">
        <f>ROUND(I569*J569,0)</f>
        <v>1996800</v>
      </c>
      <c r="L569" s="569" t="s">
        <v>253</v>
      </c>
      <c r="M569" s="569" t="s">
        <v>177</v>
      </c>
      <c r="N569" s="52" t="str">
        <f>IF(AND('331-CT'!$E$7=TH!H569,OR(L569="331",M569="331")),"331",IF(AND(OR(L569="131",M569="131"),H569='131-CT'!$E$7),"131",""))</f>
        <v/>
      </c>
      <c r="O569" s="90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21"/>
      <c r="AC569" s="211" t="str">
        <f>IF(F569=VLOOKUP(F569,NXT!$C$12:$C$305,1,0),"","x")</f>
        <v/>
      </c>
      <c r="AD569" s="560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965</v>
      </c>
      <c r="E570" s="191">
        <v>41979</v>
      </c>
      <c r="F570" s="192" t="s">
        <v>698</v>
      </c>
      <c r="G570" s="468" t="s">
        <v>815</v>
      </c>
      <c r="H570" s="193" t="s">
        <v>649</v>
      </c>
      <c r="I570" s="258">
        <v>208</v>
      </c>
      <c r="J570" s="258">
        <v>5900</v>
      </c>
      <c r="K570" s="568">
        <f>ROUND(I570*J570,0)</f>
        <v>1227200</v>
      </c>
      <c r="L570" s="569" t="s">
        <v>253</v>
      </c>
      <c r="M570" s="569" t="s">
        <v>177</v>
      </c>
      <c r="N570" s="52" t="str">
        <f>IF(AND('331-CT'!$E$7=TH!H570,OR(L570="331",M570="331")),"331",IF(AND(OR(L570="131",M570="131"),H570='131-CT'!$E$7),"131",""))</f>
        <v/>
      </c>
      <c r="O570" s="90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21"/>
      <c r="AC570" s="211" t="str">
        <f>IF(F570=VLOOKUP(F570,NXT!$C$12:$C$305,1,0),"","x")</f>
        <v/>
      </c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965</v>
      </c>
      <c r="E571" s="191">
        <v>41979</v>
      </c>
      <c r="F571" s="40" t="s">
        <v>647</v>
      </c>
      <c r="G571" s="468" t="s">
        <v>815</v>
      </c>
      <c r="H571" s="7" t="s">
        <v>649</v>
      </c>
      <c r="I571" s="256">
        <v>1016</v>
      </c>
      <c r="J571" s="256">
        <v>4400</v>
      </c>
      <c r="K571" s="568">
        <f>ROUND(I571*J571,0)</f>
        <v>4470400</v>
      </c>
      <c r="L571" s="569" t="s">
        <v>253</v>
      </c>
      <c r="M571" s="569" t="s">
        <v>177</v>
      </c>
      <c r="N571" s="52" t="str">
        <f>IF(AND('331-CT'!$E$7=TH!H571,OR(L571="331",M571="331")),"331",IF(AND(OR(L571="131",M571="131"),H571='131-CT'!$E$7),"131",""))</f>
        <v/>
      </c>
      <c r="O571" s="90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21"/>
      <c r="AC571" s="211" t="str">
        <f>IF(F571=VLOOKUP(F571,NXT!$C$12:$C$305,1,0),"","x")</f>
        <v/>
      </c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965</v>
      </c>
      <c r="E572" s="191">
        <v>41979</v>
      </c>
      <c r="F572" s="192" t="s">
        <v>426</v>
      </c>
      <c r="G572" s="468" t="s">
        <v>815</v>
      </c>
      <c r="H572" s="7" t="s">
        <v>649</v>
      </c>
      <c r="I572" s="256"/>
      <c r="J572" s="256"/>
      <c r="K572" s="568">
        <v>1107050</v>
      </c>
      <c r="L572" s="569" t="s">
        <v>253</v>
      </c>
      <c r="M572" s="569" t="s">
        <v>367</v>
      </c>
      <c r="N572" s="52" t="str">
        <f>IF(AND('331-CT'!$E$7=TH!H572,OR(L572="331",M572="331")),"331",IF(AND(OR(L572="131",M572="131"),H572='131-CT'!$E$7),"131",""))</f>
        <v/>
      </c>
      <c r="O572" s="90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21"/>
      <c r="AC572" s="560" t="str">
        <f>IF(VLOOKUP(H572,DS_131,1,0)&lt;&gt;"","","x")</f>
        <v/>
      </c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966</v>
      </c>
      <c r="E573" s="191">
        <v>41981</v>
      </c>
      <c r="F573" s="40" t="s">
        <v>521</v>
      </c>
      <c r="G573" s="468" t="s">
        <v>817</v>
      </c>
      <c r="H573" s="7" t="s">
        <v>918</v>
      </c>
      <c r="I573" s="256">
        <v>1015</v>
      </c>
      <c r="J573" s="256">
        <v>12000</v>
      </c>
      <c r="K573" s="568">
        <f>ROUND(I573*J573,0)</f>
        <v>12180000</v>
      </c>
      <c r="L573" s="569" t="s">
        <v>253</v>
      </c>
      <c r="M573" s="569" t="s">
        <v>177</v>
      </c>
      <c r="N573" s="52" t="str">
        <f>IF(AND('331-CT'!$E$7=TH!H573,OR(L573="331",M573="331")),"331",IF(AND(OR(L573="131",M573="131"),H573='131-CT'!$E$7),"131",""))</f>
        <v/>
      </c>
      <c r="O573" s="90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21"/>
      <c r="AC573" s="211" t="str">
        <f>IF(F573=VLOOKUP(F573,NXT!$C$12:$C$305,1,0),"","x")</f>
        <v/>
      </c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966</v>
      </c>
      <c r="E574" s="191">
        <v>41981</v>
      </c>
      <c r="F574" s="192" t="s">
        <v>426</v>
      </c>
      <c r="G574" s="468" t="s">
        <v>817</v>
      </c>
      <c r="H574" s="7" t="s">
        <v>918</v>
      </c>
      <c r="I574" s="256"/>
      <c r="J574" s="256"/>
      <c r="K574" s="568">
        <v>1218000</v>
      </c>
      <c r="L574" s="569" t="s">
        <v>253</v>
      </c>
      <c r="M574" s="569" t="s">
        <v>367</v>
      </c>
      <c r="N574" s="52" t="str">
        <f>IF(AND('331-CT'!$E$7=TH!H574,OR(L574="331",M574="331")),"331",IF(AND(OR(L574="131",M574="131"),H574='131-CT'!$E$7),"131",""))</f>
        <v/>
      </c>
      <c r="O574" s="90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21"/>
      <c r="AC574" s="560" t="str">
        <f>IF(VLOOKUP(H574,DS_131,1,0)&lt;&gt;"","","x")</f>
        <v/>
      </c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968</v>
      </c>
      <c r="E575" s="191">
        <v>41982</v>
      </c>
      <c r="F575" s="189" t="s">
        <v>442</v>
      </c>
      <c r="G575" s="468" t="s">
        <v>820</v>
      </c>
      <c r="H575" s="7" t="s">
        <v>444</v>
      </c>
      <c r="I575" s="256">
        <v>440</v>
      </c>
      <c r="J575" s="256">
        <v>10500</v>
      </c>
      <c r="K575" s="568">
        <f>ROUND(I575*J575,0)</f>
        <v>4620000</v>
      </c>
      <c r="L575" s="569" t="s">
        <v>253</v>
      </c>
      <c r="M575" s="569" t="s">
        <v>177</v>
      </c>
      <c r="N575" s="52" t="str">
        <f>IF(AND('331-CT'!$E$7=TH!H575,OR(L575="331",M575="331")),"331",IF(AND(OR(L575="131",M575="131"),H575='131-CT'!$E$7),"131",""))</f>
        <v/>
      </c>
      <c r="O575" s="90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21"/>
      <c r="AC575" s="211" t="str">
        <f>IF(F575=VLOOKUP(F575,NXT!$C$12:$C$305,1,0),"","x")</f>
        <v/>
      </c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968</v>
      </c>
      <c r="E576" s="191">
        <v>41982</v>
      </c>
      <c r="F576" s="192" t="s">
        <v>426</v>
      </c>
      <c r="G576" s="468" t="s">
        <v>820</v>
      </c>
      <c r="H576" s="7" t="s">
        <v>444</v>
      </c>
      <c r="I576" s="256"/>
      <c r="J576" s="256"/>
      <c r="K576" s="568">
        <v>462000</v>
      </c>
      <c r="L576" s="569" t="s">
        <v>253</v>
      </c>
      <c r="M576" s="569" t="s">
        <v>367</v>
      </c>
      <c r="N576" s="52" t="str">
        <f>IF(AND('331-CT'!$E$7=TH!H576,OR(L576="331",M576="331")),"331",IF(AND(OR(L576="131",M576="131"),H576='131-CT'!$E$7),"131",""))</f>
        <v/>
      </c>
      <c r="O576" s="90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21"/>
      <c r="AC576" s="560" t="str">
        <f>IF(VLOOKUP(H576,DS_131,1,0)&lt;&gt;"","","x")</f>
        <v/>
      </c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969</v>
      </c>
      <c r="E577" s="191">
        <v>41985</v>
      </c>
      <c r="F577" s="296" t="s">
        <v>489</v>
      </c>
      <c r="G577" s="468" t="s">
        <v>821</v>
      </c>
      <c r="H577" s="7" t="s">
        <v>917</v>
      </c>
      <c r="I577" s="257">
        <v>411</v>
      </c>
      <c r="J577" s="257">
        <v>12900</v>
      </c>
      <c r="K577" s="568">
        <f>ROUND(I577*J577,0)</f>
        <v>5301900</v>
      </c>
      <c r="L577" s="569" t="s">
        <v>253</v>
      </c>
      <c r="M577" s="569" t="s">
        <v>177</v>
      </c>
      <c r="N577" s="52" t="str">
        <f>IF(AND('331-CT'!$E$7=TH!H577,OR(L577="331",M577="331")),"331",IF(AND(OR(L577="131",M577="131"),H577='131-CT'!$E$7),"131",""))</f>
        <v/>
      </c>
      <c r="O577" s="90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21"/>
      <c r="AC577" s="211" t="str">
        <f>IF(F577=VLOOKUP(F577,NXT!$C$12:$C$305,1,0),"","x")</f>
        <v/>
      </c>
      <c r="AD577" s="560"/>
      <c r="AE577" s="560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969</v>
      </c>
      <c r="E578" s="191">
        <v>41985</v>
      </c>
      <c r="F578" s="192" t="s">
        <v>426</v>
      </c>
      <c r="G578" s="468" t="s">
        <v>821</v>
      </c>
      <c r="H578" s="7" t="s">
        <v>917</v>
      </c>
      <c r="I578" s="256"/>
      <c r="J578" s="256"/>
      <c r="K578" s="38">
        <v>530190</v>
      </c>
      <c r="L578" s="569" t="s">
        <v>253</v>
      </c>
      <c r="M578" s="569" t="s">
        <v>367</v>
      </c>
      <c r="N578" s="52" t="str">
        <f>IF(AND('331-CT'!$E$7=TH!H578,OR(L578="331",M578="331")),"331",IF(AND(OR(L578="131",M578="131"),H578='131-CT'!$E$7),"131",""))</f>
        <v/>
      </c>
      <c r="O578" s="90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21"/>
      <c r="AC578" s="560" t="str">
        <f>IF(VLOOKUP(H578,DS_131,1,0)&lt;&gt;"","","x")</f>
        <v/>
      </c>
      <c r="AD578" s="560"/>
      <c r="AE578" s="560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970</v>
      </c>
      <c r="E579" s="184">
        <v>41985</v>
      </c>
      <c r="F579" s="189" t="s">
        <v>822</v>
      </c>
      <c r="G579" s="570" t="s">
        <v>823</v>
      </c>
      <c r="H579" s="193" t="s">
        <v>649</v>
      </c>
      <c r="I579" s="256">
        <v>89</v>
      </c>
      <c r="J579" s="256">
        <v>29700</v>
      </c>
      <c r="K579" s="568">
        <f>ROUND(I579*J579,0)</f>
        <v>2643300</v>
      </c>
      <c r="L579" s="569" t="s">
        <v>253</v>
      </c>
      <c r="M579" s="569" t="s">
        <v>177</v>
      </c>
      <c r="N579" s="52" t="str">
        <f>IF(AND('331-CT'!$E$7=TH!H579,OR(L579="331",M579="331")),"331",IF(AND(OR(L579="131",M579="131"),H579='131-CT'!$E$7),"131",""))</f>
        <v/>
      </c>
      <c r="O579" s="90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21"/>
      <c r="AC579" s="211" t="str">
        <f>IF(F579=VLOOKUP(F579,NXT!$C$12:$C$305,1,0),"","x")</f>
        <v/>
      </c>
      <c r="AD579" s="560"/>
      <c r="AE579" s="560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970</v>
      </c>
      <c r="E580" s="191">
        <v>41985</v>
      </c>
      <c r="F580" s="192" t="s">
        <v>426</v>
      </c>
      <c r="G580" s="468" t="s">
        <v>823</v>
      </c>
      <c r="H580" s="7" t="s">
        <v>649</v>
      </c>
      <c r="I580" s="257"/>
      <c r="J580" s="257"/>
      <c r="K580" s="38">
        <v>264330</v>
      </c>
      <c r="L580" s="569" t="s">
        <v>253</v>
      </c>
      <c r="M580" s="569" t="s">
        <v>367</v>
      </c>
      <c r="N580" s="52" t="str">
        <f>IF(AND('331-CT'!$E$7=TH!H580,OR(L580="331",M580="331")),"331",IF(AND(OR(L580="131",M580="131"),H580='131-CT'!$E$7),"131",""))</f>
        <v/>
      </c>
      <c r="O580" s="90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21"/>
      <c r="AC580" s="560" t="str">
        <f>IF(VLOOKUP(H580,DS_131,1,0)&lt;&gt;"","","x")</f>
        <v/>
      </c>
      <c r="AD580" s="560"/>
      <c r="AE580" s="560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971</v>
      </c>
      <c r="E581" s="184">
        <v>41985</v>
      </c>
      <c r="F581" s="189" t="s">
        <v>824</v>
      </c>
      <c r="G581" s="570" t="s">
        <v>825</v>
      </c>
      <c r="H581" s="7" t="s">
        <v>730</v>
      </c>
      <c r="I581" s="256">
        <v>350</v>
      </c>
      <c r="J581" s="256">
        <v>47449</v>
      </c>
      <c r="K581" s="568">
        <f>ROUND(I581*J581,0)</f>
        <v>16607150</v>
      </c>
      <c r="L581" s="569" t="s">
        <v>253</v>
      </c>
      <c r="M581" s="569" t="s">
        <v>177</v>
      </c>
      <c r="N581" s="52" t="str">
        <f>IF(AND('331-CT'!$E$7=TH!H581,OR(L581="331",M581="331")),"331",IF(AND(OR(L581="131",M581="131"),H581='131-CT'!$E$7),"131",""))</f>
        <v/>
      </c>
      <c r="O581" s="90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21"/>
      <c r="AC581" s="211" t="str">
        <f>IF(F581=VLOOKUP(F581,NXT!$C$12:$C$305,1,0),"","x")</f>
        <v/>
      </c>
      <c r="AD581" s="560"/>
      <c r="AE581" s="560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971</v>
      </c>
      <c r="E582" s="184">
        <v>41985</v>
      </c>
      <c r="F582" s="192" t="s">
        <v>426</v>
      </c>
      <c r="G582" s="570" t="s">
        <v>825</v>
      </c>
      <c r="H582" s="7" t="s">
        <v>730</v>
      </c>
      <c r="I582" s="256"/>
      <c r="J582" s="256"/>
      <c r="K582" s="568">
        <v>1660715</v>
      </c>
      <c r="L582" s="569" t="s">
        <v>253</v>
      </c>
      <c r="M582" s="569" t="s">
        <v>367</v>
      </c>
      <c r="N582" s="52" t="str">
        <f>IF(AND('331-CT'!$E$7=TH!H582,OR(L582="331",M582="331")),"331",IF(AND(OR(L582="131",M582="131"),H582='131-CT'!$E$7),"131",""))</f>
        <v/>
      </c>
      <c r="O582" s="90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21"/>
      <c r="AC582" s="560" t="str">
        <f>IF(VLOOKUP(H582,DS_131,1,0)&lt;&gt;"","","x")</f>
        <v/>
      </c>
      <c r="AD582" s="560"/>
      <c r="AE582" s="560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972</v>
      </c>
      <c r="E583" s="191">
        <v>41986</v>
      </c>
      <c r="F583" s="192" t="s">
        <v>826</v>
      </c>
      <c r="G583" s="468" t="s">
        <v>827</v>
      </c>
      <c r="H583" s="193" t="s">
        <v>444</v>
      </c>
      <c r="I583" s="256">
        <v>223</v>
      </c>
      <c r="J583" s="256">
        <v>10250</v>
      </c>
      <c r="K583" s="568">
        <f>ROUND(I583*J583,0)</f>
        <v>2285750</v>
      </c>
      <c r="L583" s="569" t="s">
        <v>253</v>
      </c>
      <c r="M583" s="569" t="s">
        <v>177</v>
      </c>
      <c r="N583" s="52" t="str">
        <f>IF(AND('331-CT'!$E$7=TH!H583,OR(L583="331",M583="331")),"331",IF(AND(OR(L583="131",M583="131"),H583='131-CT'!$E$7),"131",""))</f>
        <v/>
      </c>
      <c r="O583" s="90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21"/>
      <c r="AC583" s="211" t="str">
        <f>IF(F583=VLOOKUP(F583,NXT!$C$12:$C$305,1,0),"","x")</f>
        <v/>
      </c>
      <c r="AD583" s="560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972</v>
      </c>
      <c r="E584" s="191">
        <v>41986</v>
      </c>
      <c r="F584" s="192" t="s">
        <v>426</v>
      </c>
      <c r="G584" s="468" t="s">
        <v>827</v>
      </c>
      <c r="H584" s="193" t="s">
        <v>444</v>
      </c>
      <c r="I584" s="256"/>
      <c r="J584" s="256"/>
      <c r="K584" s="568">
        <v>228575</v>
      </c>
      <c r="L584" s="569" t="s">
        <v>253</v>
      </c>
      <c r="M584" s="569" t="s">
        <v>367</v>
      </c>
      <c r="N584" s="52" t="str">
        <f>IF(AND('331-CT'!$E$7=TH!H584,OR(L584="331",M584="331")),"331",IF(AND(OR(L584="131",M584="131"),H584='131-CT'!$E$7),"131",""))</f>
        <v/>
      </c>
      <c r="O584" s="90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21"/>
      <c r="AC584" s="560" t="str">
        <f>IF(VLOOKUP(H584,DS_131,1,0)&lt;&gt;"","","x")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973</v>
      </c>
      <c r="E585" s="191">
        <v>41986</v>
      </c>
      <c r="F585" s="192" t="s">
        <v>828</v>
      </c>
      <c r="G585" s="468" t="s">
        <v>829</v>
      </c>
      <c r="H585" s="193" t="s">
        <v>730</v>
      </c>
      <c r="I585" s="256">
        <v>200</v>
      </c>
      <c r="J585" s="256">
        <v>73100</v>
      </c>
      <c r="K585" s="568">
        <f>ROUND(I585*J585,0)</f>
        <v>14620000</v>
      </c>
      <c r="L585" s="569" t="s">
        <v>253</v>
      </c>
      <c r="M585" s="569" t="s">
        <v>177</v>
      </c>
      <c r="N585" s="52" t="str">
        <f>IF(AND('331-CT'!$E$7=TH!H585,OR(L585="331",M585="331")),"331",IF(AND(OR(L585="131",M585="131"),H585='131-CT'!$E$7),"131",""))</f>
        <v/>
      </c>
      <c r="O585" s="90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21"/>
      <c r="AC585" s="211" t="str">
        <f>IF(F585=VLOOKUP(F585,NXT!$C$12:$C$305,1,0),"","x")</f>
        <v/>
      </c>
      <c r="AD585" s="560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973</v>
      </c>
      <c r="E586" s="191">
        <v>41986</v>
      </c>
      <c r="F586" s="192" t="s">
        <v>426</v>
      </c>
      <c r="G586" s="468" t="s">
        <v>829</v>
      </c>
      <c r="H586" s="193" t="s">
        <v>730</v>
      </c>
      <c r="I586" s="256"/>
      <c r="J586" s="256"/>
      <c r="K586" s="38">
        <v>1462000</v>
      </c>
      <c r="L586" s="569" t="s">
        <v>253</v>
      </c>
      <c r="M586" s="569" t="s">
        <v>367</v>
      </c>
      <c r="N586" s="52" t="str">
        <f>IF(AND('331-CT'!$E$7=TH!H586,OR(L586="331",M586="331")),"331",IF(AND(OR(L586="131",M586="131"),H586='131-CT'!$E$7),"131",""))</f>
        <v/>
      </c>
      <c r="O586" s="90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21"/>
      <c r="AC586" s="560" t="str">
        <f>IF(VLOOKUP(H586,DS_131,1,0)&lt;&gt;"","","x")</f>
        <v/>
      </c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974</v>
      </c>
      <c r="E587" s="191">
        <v>41986</v>
      </c>
      <c r="F587" s="189" t="s">
        <v>452</v>
      </c>
      <c r="G587" s="468" t="s">
        <v>830</v>
      </c>
      <c r="H587" s="7" t="s">
        <v>589</v>
      </c>
      <c r="I587" s="256">
        <v>3160</v>
      </c>
      <c r="J587" s="256">
        <v>7200</v>
      </c>
      <c r="K587" s="568">
        <f>ROUND(I587*J587,0)</f>
        <v>22752000</v>
      </c>
      <c r="L587" s="569" t="s">
        <v>253</v>
      </c>
      <c r="M587" s="569" t="s">
        <v>177</v>
      </c>
      <c r="N587" s="52" t="str">
        <f>IF(AND('331-CT'!$E$7=TH!H587,OR(L587="331",M587="331")),"331",IF(AND(OR(L587="131",M587="131"),H587='131-CT'!$E$7),"131",""))</f>
        <v/>
      </c>
      <c r="O587" s="90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21"/>
      <c r="AC587" s="211" t="str">
        <f>IF(F587=VLOOKUP(F587,NXT!$C$12:$C$305,1,0),"","x")</f>
        <v/>
      </c>
      <c r="AD587" s="560"/>
      <c r="AE587" s="560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974</v>
      </c>
      <c r="E588" s="191">
        <v>41986</v>
      </c>
      <c r="F588" s="189" t="s">
        <v>452</v>
      </c>
      <c r="G588" s="468" t="s">
        <v>830</v>
      </c>
      <c r="H588" s="7" t="s">
        <v>589</v>
      </c>
      <c r="I588" s="256">
        <v>301</v>
      </c>
      <c r="J588" s="256">
        <v>8750</v>
      </c>
      <c r="K588" s="568">
        <f>ROUND(I588*J588,0)</f>
        <v>2633750</v>
      </c>
      <c r="L588" s="569" t="s">
        <v>253</v>
      </c>
      <c r="M588" s="569" t="s">
        <v>177</v>
      </c>
      <c r="N588" s="52" t="str">
        <f>IF(AND('331-CT'!$E$7=TH!H588,OR(L588="331",M588="331")),"331",IF(AND(OR(L588="131",M588="131"),H588='131-CT'!$E$7),"131",""))</f>
        <v/>
      </c>
      <c r="O588" s="90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21"/>
      <c r="AC588" s="211" t="str">
        <f>IF(F588=VLOOKUP(F588,NXT!$C$12:$C$305,1,0),"","x")</f>
        <v/>
      </c>
      <c r="AE588" s="560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974</v>
      </c>
      <c r="E589" s="184">
        <v>41986</v>
      </c>
      <c r="F589" s="192" t="s">
        <v>426</v>
      </c>
      <c r="G589" s="570" t="s">
        <v>830</v>
      </c>
      <c r="H589" s="193" t="s">
        <v>589</v>
      </c>
      <c r="I589" s="256"/>
      <c r="J589" s="256"/>
      <c r="K589" s="568">
        <v>2538575</v>
      </c>
      <c r="L589" s="569" t="s">
        <v>253</v>
      </c>
      <c r="M589" s="569" t="s">
        <v>367</v>
      </c>
      <c r="N589" s="52" t="str">
        <f>IF(AND('331-CT'!$E$7=TH!H589,OR(L589="331",M589="331")),"331",IF(AND(OR(L589="131",M589="131"),H589='131-CT'!$E$7),"131",""))</f>
        <v/>
      </c>
      <c r="O589" s="90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21"/>
      <c r="AC589" s="560" t="str">
        <f>IF(VLOOKUP(H589,DS_131,1,0)&lt;&gt;"","","x")</f>
        <v/>
      </c>
      <c r="AD589" s="560"/>
      <c r="AE589" s="560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975</v>
      </c>
      <c r="E590" s="191">
        <v>41986</v>
      </c>
      <c r="F590" s="192" t="s">
        <v>720</v>
      </c>
      <c r="G590" s="468" t="s">
        <v>831</v>
      </c>
      <c r="H590" s="7" t="s">
        <v>609</v>
      </c>
      <c r="I590" s="256">
        <v>20</v>
      </c>
      <c r="J590" s="256">
        <v>13500</v>
      </c>
      <c r="K590" s="568">
        <f>ROUND(I590*J590,0)</f>
        <v>270000</v>
      </c>
      <c r="L590" s="569" t="s">
        <v>253</v>
      </c>
      <c r="M590" s="569" t="s">
        <v>177</v>
      </c>
      <c r="N590" s="52" t="str">
        <f>IF(AND('331-CT'!$E$7=TH!H590,OR(L590="331",M590="331")),"331",IF(AND(OR(L590="131",M590="131"),H590='131-CT'!$E$7),"131",""))</f>
        <v/>
      </c>
      <c r="O590" s="90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21"/>
      <c r="AC590" s="211" t="str">
        <f>IF(F590=VLOOKUP(F590,NXT!$C$12:$C$305,1,0),"","x")</f>
        <v/>
      </c>
      <c r="AE590" s="560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975</v>
      </c>
      <c r="E591" s="191">
        <v>41986</v>
      </c>
      <c r="F591" s="192" t="s">
        <v>832</v>
      </c>
      <c r="G591" s="468" t="s">
        <v>831</v>
      </c>
      <c r="H591" s="7" t="s">
        <v>609</v>
      </c>
      <c r="I591" s="256">
        <v>47</v>
      </c>
      <c r="J591" s="256">
        <v>13500</v>
      </c>
      <c r="K591" s="568">
        <f>ROUND(I591*J591,0)</f>
        <v>634500</v>
      </c>
      <c r="L591" s="569" t="s">
        <v>253</v>
      </c>
      <c r="M591" s="569" t="s">
        <v>177</v>
      </c>
      <c r="N591" s="52" t="str">
        <f>IF(AND('331-CT'!$E$7=TH!H591,OR(L591="331",M591="331")),"331",IF(AND(OR(L591="131",M591="131"),H591='131-CT'!$E$7),"131",""))</f>
        <v/>
      </c>
      <c r="O591" s="90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21"/>
      <c r="AC591" s="211" t="str">
        <f>IF(F591=VLOOKUP(F591,NXT!$C$12:$C$305,1,0),"","x")</f>
        <v/>
      </c>
      <c r="AD591" s="560"/>
      <c r="AE591" s="560"/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975</v>
      </c>
      <c r="E592" s="191">
        <v>41986</v>
      </c>
      <c r="F592" s="192" t="s">
        <v>833</v>
      </c>
      <c r="G592" s="468" t="s">
        <v>831</v>
      </c>
      <c r="H592" s="193" t="s">
        <v>609</v>
      </c>
      <c r="I592" s="256">
        <v>902</v>
      </c>
      <c r="J592" s="256">
        <v>24000</v>
      </c>
      <c r="K592" s="568">
        <f>ROUND(I592*J592,0)</f>
        <v>21648000</v>
      </c>
      <c r="L592" s="569" t="s">
        <v>253</v>
      </c>
      <c r="M592" s="569" t="s">
        <v>177</v>
      </c>
      <c r="N592" s="52" t="str">
        <f>IF(AND('331-CT'!$E$7=TH!H592,OR(L592="331",M592="331")),"331",IF(AND(OR(L592="131",M592="131"),H592='131-CT'!$E$7),"131",""))</f>
        <v/>
      </c>
      <c r="O592" s="90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21"/>
      <c r="AC592" s="211" t="str">
        <f>IF(F592=VLOOKUP(F592,NXT!$C$12:$C$305,1,0),"","x")</f>
        <v/>
      </c>
      <c r="AD592" s="560"/>
      <c r="AE592" s="560"/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975</v>
      </c>
      <c r="E593" s="191">
        <v>41986</v>
      </c>
      <c r="F593" s="192" t="s">
        <v>426</v>
      </c>
      <c r="G593" s="468" t="s">
        <v>831</v>
      </c>
      <c r="H593" s="193" t="s">
        <v>609</v>
      </c>
      <c r="I593" s="256"/>
      <c r="J593" s="256"/>
      <c r="K593" s="38">
        <v>2255250</v>
      </c>
      <c r="L593" s="569" t="s">
        <v>253</v>
      </c>
      <c r="M593" s="569" t="s">
        <v>367</v>
      </c>
      <c r="N593" s="52" t="str">
        <f>IF(AND('331-CT'!$E$7=TH!H593,OR(L593="331",M593="331")),"331",IF(AND(OR(L593="131",M593="131"),H593='131-CT'!$E$7),"131",""))</f>
        <v/>
      </c>
      <c r="O593" s="90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21"/>
      <c r="AC593" s="560" t="str">
        <f>IF(VLOOKUP(H593,DS_131,1,0)&lt;&gt;"","","x")</f>
        <v/>
      </c>
      <c r="AD593" s="560"/>
      <c r="AE593" s="560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976</v>
      </c>
      <c r="E594" s="191">
        <v>41988</v>
      </c>
      <c r="F594" s="189" t="s">
        <v>834</v>
      </c>
      <c r="G594" s="468" t="s">
        <v>835</v>
      </c>
      <c r="H594" s="7" t="s">
        <v>696</v>
      </c>
      <c r="I594" s="256">
        <v>352</v>
      </c>
      <c r="J594" s="256">
        <v>19000</v>
      </c>
      <c r="K594" s="568">
        <f>ROUND(I594*J594,0)</f>
        <v>6688000</v>
      </c>
      <c r="L594" s="569" t="s">
        <v>253</v>
      </c>
      <c r="M594" s="569" t="s">
        <v>177</v>
      </c>
      <c r="N594" s="52" t="str">
        <f>IF(AND('331-CT'!$E$7=TH!H594,OR(L594="331",M594="331")),"331",IF(AND(OR(L594="131",M594="131"),H594='131-CT'!$E$7),"131",""))</f>
        <v/>
      </c>
      <c r="O594" s="90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21"/>
      <c r="AC594" s="211" t="str">
        <f>IF(F594=VLOOKUP(F594,NXT!$C$12:$C$305,1,0),"","x")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976</v>
      </c>
      <c r="E595" s="191">
        <v>41988</v>
      </c>
      <c r="F595" s="189" t="s">
        <v>836</v>
      </c>
      <c r="G595" s="468" t="s">
        <v>835</v>
      </c>
      <c r="H595" s="7" t="s">
        <v>696</v>
      </c>
      <c r="I595" s="256">
        <v>52</v>
      </c>
      <c r="J595" s="256">
        <v>24200</v>
      </c>
      <c r="K595" s="568">
        <f>ROUND(I595*J595,0)</f>
        <v>1258400</v>
      </c>
      <c r="L595" s="569" t="s">
        <v>253</v>
      </c>
      <c r="M595" s="569" t="s">
        <v>177</v>
      </c>
      <c r="N595" s="52" t="str">
        <f>IF(AND('331-CT'!$E$7=TH!H595,OR(L595="331",M595="331")),"331",IF(AND(OR(L595="131",M595="131"),H595='131-CT'!$E$7),"131",""))</f>
        <v/>
      </c>
      <c r="O595" s="90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21"/>
      <c r="AC595" s="211" t="str">
        <f>IF(F595=VLOOKUP(F595,NXT!$C$12:$C$305,1,0),"","x")</f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976</v>
      </c>
      <c r="E596" s="191">
        <v>41988</v>
      </c>
      <c r="F596" s="296" t="s">
        <v>837</v>
      </c>
      <c r="G596" s="468" t="s">
        <v>835</v>
      </c>
      <c r="H596" s="7" t="s">
        <v>696</v>
      </c>
      <c r="I596" s="256">
        <v>52</v>
      </c>
      <c r="J596" s="256">
        <v>27100</v>
      </c>
      <c r="K596" s="568">
        <f>ROUND(I596*J596,0)</f>
        <v>1409200</v>
      </c>
      <c r="L596" s="569" t="s">
        <v>253</v>
      </c>
      <c r="M596" s="569" t="s">
        <v>177</v>
      </c>
      <c r="N596" s="52" t="str">
        <f>IF(AND('331-CT'!$E$7=TH!H596,OR(L596="331",M596="331")),"331",IF(AND(OR(L596="131",M596="131"),H596='131-CT'!$E$7),"131",""))</f>
        <v/>
      </c>
      <c r="O596" s="90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21"/>
      <c r="AC596" s="211" t="str">
        <f>IF(F596=VLOOKUP(F596,NXT!$C$12:$C$305,1,0),"","x")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976</v>
      </c>
      <c r="E597" s="191">
        <v>41988</v>
      </c>
      <c r="F597" s="192" t="s">
        <v>426</v>
      </c>
      <c r="G597" s="468" t="s">
        <v>835</v>
      </c>
      <c r="H597" s="7" t="s">
        <v>696</v>
      </c>
      <c r="I597" s="256"/>
      <c r="J597" s="256"/>
      <c r="K597" s="568">
        <v>935560</v>
      </c>
      <c r="L597" s="569" t="s">
        <v>253</v>
      </c>
      <c r="M597" s="569" t="s">
        <v>367</v>
      </c>
      <c r="N597" s="52" t="str">
        <f>IF(AND('331-CT'!$E$7=TH!H597,OR(L597="331",M597="331")),"331",IF(AND(OR(L597="131",M597="131"),H597='131-CT'!$E$7),"131",""))</f>
        <v/>
      </c>
      <c r="O597" s="90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21"/>
      <c r="AC597" s="560" t="str">
        <f>IF(VLOOKUP(H597,DS_131,1,0)&lt;&gt;"","","x")</f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977</v>
      </c>
      <c r="E598" s="191">
        <v>41991</v>
      </c>
      <c r="F598" s="296" t="s">
        <v>442</v>
      </c>
      <c r="G598" s="468" t="s">
        <v>838</v>
      </c>
      <c r="H598" s="7" t="s">
        <v>444</v>
      </c>
      <c r="I598" s="256">
        <v>522</v>
      </c>
      <c r="J598" s="256">
        <v>10500</v>
      </c>
      <c r="K598" s="568">
        <f>ROUND(I598*J598,0)</f>
        <v>5481000</v>
      </c>
      <c r="L598" s="569" t="s">
        <v>253</v>
      </c>
      <c r="M598" s="569" t="s">
        <v>177</v>
      </c>
      <c r="N598" s="52" t="str">
        <f>IF(AND('331-CT'!$E$7=TH!H598,OR(L598="331",M598="331")),"331",IF(AND(OR(L598="131",M598="131"),H598='131-CT'!$E$7),"131",""))</f>
        <v/>
      </c>
      <c r="O598" s="90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21"/>
      <c r="AC598" s="211" t="str">
        <f>IF(F598=VLOOKUP(F598,NXT!$C$12:$C$305,1,0),"","x")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977</v>
      </c>
      <c r="E599" s="191">
        <v>41991</v>
      </c>
      <c r="F599" s="189" t="s">
        <v>426</v>
      </c>
      <c r="G599" s="468" t="s">
        <v>838</v>
      </c>
      <c r="H599" s="7" t="s">
        <v>444</v>
      </c>
      <c r="I599" s="256"/>
      <c r="J599" s="256"/>
      <c r="K599" s="568">
        <v>548100</v>
      </c>
      <c r="L599" s="569" t="s">
        <v>253</v>
      </c>
      <c r="M599" s="569" t="s">
        <v>367</v>
      </c>
      <c r="N599" s="52" t="str">
        <f>IF(AND('331-CT'!$E$7=TH!H599,OR(L599="331",M599="331")),"331",IF(AND(OR(L599="131",M599="131"),H599='131-CT'!$E$7),"131",""))</f>
        <v/>
      </c>
      <c r="O599" s="90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21"/>
      <c r="AC599" s="560" t="str">
        <f>IF(VLOOKUP(H599,DS_131,1,0)&lt;&gt;"","","x")</f>
        <v/>
      </c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978</v>
      </c>
      <c r="E600" s="191">
        <v>41992</v>
      </c>
      <c r="F600" s="189" t="s">
        <v>839</v>
      </c>
      <c r="G600" s="468" t="s">
        <v>840</v>
      </c>
      <c r="H600" s="7" t="s">
        <v>841</v>
      </c>
      <c r="I600" s="256">
        <v>2500</v>
      </c>
      <c r="J600" s="256">
        <v>1934</v>
      </c>
      <c r="K600" s="568">
        <f>ROUND(I600*J600,0)</f>
        <v>4835000</v>
      </c>
      <c r="L600" s="569" t="s">
        <v>253</v>
      </c>
      <c r="M600" s="569" t="s">
        <v>177</v>
      </c>
      <c r="N600" s="52" t="str">
        <f>IF(AND('331-CT'!$E$7=TH!H600,OR(L600="331",M600="331")),"331",IF(AND(OR(L600="131",M600="131"),H600='131-CT'!$E$7),"131",""))</f>
        <v/>
      </c>
      <c r="O600" s="90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21"/>
      <c r="AC600" s="211" t="str">
        <f>IF(F600=VLOOKUP(F600,NXT!$C$12:$C$305,1,0),"","x")</f>
        <v/>
      </c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978</v>
      </c>
      <c r="E601" s="191">
        <v>41992</v>
      </c>
      <c r="F601" s="189" t="s">
        <v>842</v>
      </c>
      <c r="G601" s="468" t="s">
        <v>840</v>
      </c>
      <c r="H601" s="7" t="s">
        <v>841</v>
      </c>
      <c r="I601" s="256">
        <v>2200</v>
      </c>
      <c r="J601" s="256">
        <v>4499</v>
      </c>
      <c r="K601" s="568">
        <f>ROUND(I601*J601,0)</f>
        <v>9897800</v>
      </c>
      <c r="L601" s="569" t="s">
        <v>253</v>
      </c>
      <c r="M601" s="569" t="s">
        <v>177</v>
      </c>
      <c r="N601" s="52" t="str">
        <f>IF(AND('331-CT'!$E$7=TH!H601,OR(L601="331",M601="331")),"331",IF(AND(OR(L601="131",M601="131"),H601='131-CT'!$E$7),"131",""))</f>
        <v/>
      </c>
      <c r="O601" s="90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21"/>
      <c r="AC601" s="211" t="str">
        <f>IF(F601=VLOOKUP(F601,NXT!$C$12:$C$305,1,0),"","x")</f>
        <v/>
      </c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978</v>
      </c>
      <c r="E602" s="191">
        <v>41992</v>
      </c>
      <c r="F602" s="189" t="s">
        <v>658</v>
      </c>
      <c r="G602" s="468" t="s">
        <v>840</v>
      </c>
      <c r="H602" s="7" t="s">
        <v>841</v>
      </c>
      <c r="I602" s="256"/>
      <c r="J602" s="256"/>
      <c r="K602" s="568">
        <v>1473280</v>
      </c>
      <c r="L602" s="569" t="s">
        <v>253</v>
      </c>
      <c r="M602" s="569" t="s">
        <v>367</v>
      </c>
      <c r="N602" s="52" t="str">
        <f>IF(AND('331-CT'!$E$7=TH!H602,OR(L602="331",M602="331")),"331",IF(AND(OR(L602="131",M602="131"),H602='131-CT'!$E$7),"131",""))</f>
        <v/>
      </c>
      <c r="O602" s="90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21"/>
      <c r="AC602" s="560" t="str">
        <f>IF(VLOOKUP(H602,DS_131,1,0)&lt;&gt;"","","x")</f>
        <v/>
      </c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979</v>
      </c>
      <c r="E603" s="184">
        <v>41993</v>
      </c>
      <c r="F603" s="189" t="s">
        <v>843</v>
      </c>
      <c r="G603" s="570" t="s">
        <v>844</v>
      </c>
      <c r="H603" s="193" t="s">
        <v>807</v>
      </c>
      <c r="I603" s="256">
        <v>500</v>
      </c>
      <c r="J603" s="256">
        <v>11000</v>
      </c>
      <c r="K603" s="568">
        <f>ROUND(I603*J603,0)</f>
        <v>5500000</v>
      </c>
      <c r="L603" s="569" t="s">
        <v>253</v>
      </c>
      <c r="M603" s="569" t="s">
        <v>177</v>
      </c>
      <c r="N603" s="52" t="str">
        <f>IF(AND('331-CT'!$E$7=TH!H603,OR(L603="331",M603="331")),"331",IF(AND(OR(L603="131",M603="131"),H603='131-CT'!$E$7),"131",""))</f>
        <v/>
      </c>
      <c r="O603" s="90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21"/>
      <c r="AC603" s="211" t="str">
        <f>IF(F603=VLOOKUP(F603,NXT!$C$12:$C$305,1,0),"","x")</f>
        <v/>
      </c>
      <c r="AD603" s="560"/>
      <c r="AE603" s="560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979</v>
      </c>
      <c r="E604" s="184">
        <v>41993</v>
      </c>
      <c r="F604" s="189" t="s">
        <v>658</v>
      </c>
      <c r="G604" s="570" t="s">
        <v>844</v>
      </c>
      <c r="H604" s="7" t="s">
        <v>807</v>
      </c>
      <c r="I604" s="256"/>
      <c r="J604" s="256"/>
      <c r="K604" s="568">
        <v>550000</v>
      </c>
      <c r="L604" s="569" t="s">
        <v>253</v>
      </c>
      <c r="M604" s="569" t="s">
        <v>367</v>
      </c>
      <c r="N604" s="52" t="str">
        <f>IF(AND('331-CT'!$E$7=TH!H604,OR(L604="331",M604="331")),"331",IF(AND(OR(L604="131",M604="131"),H604='131-CT'!$E$7),"131",""))</f>
        <v/>
      </c>
      <c r="O604" s="90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21"/>
      <c r="AC604" s="560" t="str">
        <f>IF(VLOOKUP(H604,DS_131,1,0)&lt;&gt;"","","x")</f>
        <v/>
      </c>
      <c r="AE604" s="560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980</v>
      </c>
      <c r="E605" s="184">
        <v>41993</v>
      </c>
      <c r="F605" s="189" t="s">
        <v>845</v>
      </c>
      <c r="G605" s="570" t="s">
        <v>846</v>
      </c>
      <c r="H605" s="7" t="s">
        <v>847</v>
      </c>
      <c r="I605" s="256">
        <v>213</v>
      </c>
      <c r="J605" s="256">
        <v>15500</v>
      </c>
      <c r="K605" s="568">
        <f>ROUND(I605*J605,0)</f>
        <v>3301500</v>
      </c>
      <c r="L605" s="569" t="s">
        <v>253</v>
      </c>
      <c r="M605" s="569" t="s">
        <v>177</v>
      </c>
      <c r="N605" s="52" t="str">
        <f>IF(AND('331-CT'!$E$7=TH!H605,OR(L605="331",M605="331")),"331",IF(AND(OR(L605="131",M605="131"),H605='131-CT'!$E$7),"131",""))</f>
        <v/>
      </c>
      <c r="O605" s="90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21"/>
      <c r="AC605" s="211" t="str">
        <f>IF(F605=VLOOKUP(F605,NXT!$C$12:$C$305,1,0),"","x")</f>
        <v/>
      </c>
      <c r="AE605" s="560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980</v>
      </c>
      <c r="E606" s="184">
        <v>41993</v>
      </c>
      <c r="F606" s="189" t="s">
        <v>426</v>
      </c>
      <c r="G606" s="570" t="s">
        <v>846</v>
      </c>
      <c r="H606" s="7" t="s">
        <v>847</v>
      </c>
      <c r="I606" s="256"/>
      <c r="J606" s="256"/>
      <c r="K606" s="568">
        <v>330150</v>
      </c>
      <c r="L606" s="569" t="s">
        <v>253</v>
      </c>
      <c r="M606" s="569" t="s">
        <v>367</v>
      </c>
      <c r="N606" s="52" t="str">
        <f>IF(AND('331-CT'!$E$7=TH!H606,OR(L606="331",M606="331")),"331",IF(AND(OR(L606="131",M606="131"),H606='131-CT'!$E$7),"131",""))</f>
        <v/>
      </c>
      <c r="O606" s="90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21"/>
      <c r="AC606" s="560" t="str">
        <f>IF(VLOOKUP(H606,DS_131,1,0)&lt;&gt;"","","x")</f>
        <v/>
      </c>
      <c r="AD606" s="560"/>
      <c r="AE606" s="560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981</v>
      </c>
      <c r="E607" s="191">
        <v>41995</v>
      </c>
      <c r="F607" s="189" t="s">
        <v>1220</v>
      </c>
      <c r="G607" s="468" t="s">
        <v>848</v>
      </c>
      <c r="H607" s="7" t="s">
        <v>916</v>
      </c>
      <c r="I607" s="256">
        <v>819</v>
      </c>
      <c r="J607" s="256">
        <v>14300</v>
      </c>
      <c r="K607" s="568">
        <f>ROUND(I607*J607,0)</f>
        <v>11711700</v>
      </c>
      <c r="L607" s="569" t="s">
        <v>253</v>
      </c>
      <c r="M607" s="569" t="s">
        <v>177</v>
      </c>
      <c r="N607" s="52" t="str">
        <f>IF(AND('331-CT'!$E$7=TH!H607,OR(L607="331",M607="331")),"331",IF(AND(OR(L607="131",M607="131"),H607='131-CT'!$E$7),"131",""))</f>
        <v/>
      </c>
      <c r="O607" s="90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21"/>
      <c r="AC607" s="211" t="str">
        <f>IF(F607=VLOOKUP(F607,NXT!$C$12:$C$305,1,0),"","x")</f>
        <v/>
      </c>
      <c r="AE607" s="560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981</v>
      </c>
      <c r="E608" s="191">
        <v>41995</v>
      </c>
      <c r="F608" s="40" t="s">
        <v>451</v>
      </c>
      <c r="G608" s="468" t="s">
        <v>848</v>
      </c>
      <c r="H608" s="7" t="s">
        <v>916</v>
      </c>
      <c r="I608" s="256">
        <v>1638</v>
      </c>
      <c r="J608" s="256">
        <v>1500</v>
      </c>
      <c r="K608" s="568">
        <f>ROUND(I608*J608,0)</f>
        <v>2457000</v>
      </c>
      <c r="L608" s="569" t="s">
        <v>253</v>
      </c>
      <c r="M608" s="569" t="s">
        <v>177</v>
      </c>
      <c r="N608" s="52" t="str">
        <f>IF(AND('331-CT'!$E$7=TH!H608,OR(L608="331",M608="331")),"331",IF(AND(OR(L608="131",M608="131"),H608='131-CT'!$E$7),"131",""))</f>
        <v/>
      </c>
      <c r="O608" s="90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21"/>
      <c r="AC608" s="211" t="str">
        <f>IF(F608=VLOOKUP(F608,NXT!$C$12:$C$305,1,0),"","x")</f>
        <v/>
      </c>
      <c r="AE608" s="560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981</v>
      </c>
      <c r="E609" s="191">
        <v>41995</v>
      </c>
      <c r="F609" s="189" t="s">
        <v>426</v>
      </c>
      <c r="G609" s="468" t="s">
        <v>848</v>
      </c>
      <c r="H609" s="7" t="s">
        <v>916</v>
      </c>
      <c r="I609" s="256"/>
      <c r="J609" s="256"/>
      <c r="K609" s="568">
        <v>1416870</v>
      </c>
      <c r="L609" s="569" t="s">
        <v>253</v>
      </c>
      <c r="M609" s="569" t="s">
        <v>367</v>
      </c>
      <c r="N609" s="52" t="str">
        <f>IF(AND('331-CT'!$E$7=TH!H609,OR(L609="331",M609="331")),"331",IF(AND(OR(L609="131",M609="131"),H609='131-CT'!$E$7),"131",""))</f>
        <v/>
      </c>
      <c r="O609" s="90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21"/>
      <c r="AC609" s="560" t="str">
        <f>IF(VLOOKUP(H609,DS_131,1,0)&lt;&gt;"","","x")</f>
        <v/>
      </c>
      <c r="AD609" s="560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982</v>
      </c>
      <c r="E610" s="191">
        <v>41997</v>
      </c>
      <c r="F610" s="189" t="s">
        <v>750</v>
      </c>
      <c r="G610" s="468" t="s">
        <v>849</v>
      </c>
      <c r="H610" s="7" t="s">
        <v>425</v>
      </c>
      <c r="I610" s="256">
        <v>517</v>
      </c>
      <c r="J610" s="256">
        <v>5400</v>
      </c>
      <c r="K610" s="568">
        <f>ROUND(I610*J610,0)</f>
        <v>2791800</v>
      </c>
      <c r="L610" s="569" t="s">
        <v>253</v>
      </c>
      <c r="M610" s="569" t="s">
        <v>177</v>
      </c>
      <c r="N610" s="52" t="str">
        <f>IF(AND('331-CT'!$E$7=TH!H610,OR(L610="331",M610="331")),"331",IF(AND(OR(L610="131",M610="131"),H610='131-CT'!$E$7),"131",""))</f>
        <v/>
      </c>
      <c r="O610" s="90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21"/>
      <c r="AC610" s="211" t="str">
        <f>IF(F610=VLOOKUP(F610,NXT!$C$12:$C$305,1,0),"","x")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982</v>
      </c>
      <c r="E611" s="191">
        <v>41997</v>
      </c>
      <c r="F611" s="189" t="s">
        <v>426</v>
      </c>
      <c r="G611" s="468" t="s">
        <v>849</v>
      </c>
      <c r="H611" s="7" t="s">
        <v>425</v>
      </c>
      <c r="I611" s="256"/>
      <c r="J611" s="256"/>
      <c r="K611" s="568">
        <v>279180</v>
      </c>
      <c r="L611" s="569" t="s">
        <v>253</v>
      </c>
      <c r="M611" s="569" t="s">
        <v>367</v>
      </c>
      <c r="N611" s="52" t="str">
        <f>IF(AND('331-CT'!$E$7=TH!H611,OR(L611="331",M611="331")),"331",IF(AND(OR(L611="131",M611="131"),H611='131-CT'!$E$7),"131",""))</f>
        <v/>
      </c>
      <c r="O611" s="90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21"/>
      <c r="AC611" s="560" t="str">
        <f>IF(VLOOKUP(H611,DS_131,1,0)&lt;&gt;"","","x")</f>
        <v/>
      </c>
      <c r="AD611" s="560"/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983</v>
      </c>
      <c r="E612" s="191">
        <v>41997</v>
      </c>
      <c r="F612" s="189" t="s">
        <v>850</v>
      </c>
      <c r="G612" s="468" t="s">
        <v>851</v>
      </c>
      <c r="H612" s="7" t="s">
        <v>692</v>
      </c>
      <c r="I612" s="256">
        <v>701</v>
      </c>
      <c r="J612" s="256">
        <v>18000</v>
      </c>
      <c r="K612" s="568">
        <f>ROUND(I612*J612,0)</f>
        <v>12618000</v>
      </c>
      <c r="L612" s="569" t="s">
        <v>253</v>
      </c>
      <c r="M612" s="569" t="s">
        <v>177</v>
      </c>
      <c r="N612" s="52" t="str">
        <f>IF(AND('331-CT'!$E$7=TH!H612,OR(L612="331",M612="331")),"331",IF(AND(OR(L612="131",M612="131"),H612='131-CT'!$E$7),"131",""))</f>
        <v/>
      </c>
      <c r="O612" s="90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21"/>
      <c r="AC612" s="211" t="str">
        <f>IF(F612=VLOOKUP(F612,NXT!$C$12:$C$305,1,0),"","x")</f>
        <v/>
      </c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983</v>
      </c>
      <c r="E613" s="191">
        <v>41997</v>
      </c>
      <c r="F613" s="189" t="s">
        <v>852</v>
      </c>
      <c r="G613" s="468" t="s">
        <v>851</v>
      </c>
      <c r="H613" s="7" t="s">
        <v>692</v>
      </c>
      <c r="I613" s="256">
        <v>59</v>
      </c>
      <c r="J613" s="256">
        <v>32000</v>
      </c>
      <c r="K613" s="568">
        <f>ROUND(I613*J613,0)</f>
        <v>1888000</v>
      </c>
      <c r="L613" s="569" t="s">
        <v>253</v>
      </c>
      <c r="M613" s="569" t="s">
        <v>177</v>
      </c>
      <c r="N613" s="52" t="str">
        <f>IF(AND('331-CT'!$E$7=TH!H613,OR(L613="331",M613="331")),"331",IF(AND(OR(L613="131",M613="131"),H613='131-CT'!$E$7),"131",""))</f>
        <v/>
      </c>
      <c r="O613" s="90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21"/>
      <c r="AC613" s="211" t="str">
        <f>IF(F613=VLOOKUP(F613,NXT!$C$12:$C$305,1,0),"","x")</f>
        <v/>
      </c>
      <c r="AD613" s="560"/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983</v>
      </c>
      <c r="E614" s="191">
        <v>41997</v>
      </c>
      <c r="F614" s="189" t="s">
        <v>1215</v>
      </c>
      <c r="G614" s="468" t="s">
        <v>851</v>
      </c>
      <c r="H614" s="7" t="s">
        <v>692</v>
      </c>
      <c r="I614" s="257">
        <v>1402</v>
      </c>
      <c r="J614" s="256">
        <v>1023</v>
      </c>
      <c r="K614" s="568">
        <f>ROUND(I614*J614,0)</f>
        <v>1434246</v>
      </c>
      <c r="L614" s="569" t="s">
        <v>253</v>
      </c>
      <c r="M614" s="569" t="s">
        <v>177</v>
      </c>
      <c r="N614" s="52" t="str">
        <f>IF(AND('331-CT'!$E$7=TH!H614,OR(L614="331",M614="331")),"331",IF(AND(OR(L614="131",M614="131"),H614='131-CT'!$E$7),"131",""))</f>
        <v/>
      </c>
      <c r="O614" s="90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21"/>
      <c r="AC614" s="211" t="str">
        <f>IF(F614=VLOOKUP(F614,NXT!$C$12:$C$305,1,0),"","x")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983</v>
      </c>
      <c r="E615" s="191">
        <v>41997</v>
      </c>
      <c r="F615" s="189" t="s">
        <v>1216</v>
      </c>
      <c r="G615" s="468" t="s">
        <v>851</v>
      </c>
      <c r="H615" s="7" t="s">
        <v>692</v>
      </c>
      <c r="I615" s="256">
        <v>118</v>
      </c>
      <c r="J615" s="256">
        <v>2322</v>
      </c>
      <c r="K615" s="568">
        <f>ROUND(I615*J615,0)</f>
        <v>273996</v>
      </c>
      <c r="L615" s="569" t="s">
        <v>253</v>
      </c>
      <c r="M615" s="569" t="s">
        <v>177</v>
      </c>
      <c r="N615" s="52" t="str">
        <f>IF(AND('331-CT'!$E$7=TH!H615,OR(L615="331",M615="331")),"331",IF(AND(OR(L615="131",M615="131"),H615='131-CT'!$E$7),"131",""))</f>
        <v/>
      </c>
      <c r="O615" s="90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21"/>
      <c r="AC615" s="211" t="str">
        <f>IF(F615=VLOOKUP(F615,NXT!$C$12:$C$305,1,0),"","x")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983</v>
      </c>
      <c r="E616" s="191">
        <v>41997</v>
      </c>
      <c r="F616" s="40" t="s">
        <v>426</v>
      </c>
      <c r="G616" s="468" t="s">
        <v>851</v>
      </c>
      <c r="H616" s="7" t="s">
        <v>692</v>
      </c>
      <c r="I616" s="256"/>
      <c r="J616" s="256"/>
      <c r="K616" s="568">
        <v>1621424</v>
      </c>
      <c r="L616" s="569" t="s">
        <v>253</v>
      </c>
      <c r="M616" s="569" t="s">
        <v>367</v>
      </c>
      <c r="N616" s="52" t="str">
        <f>IF(AND('331-CT'!$E$7=TH!H616,OR(L616="331",M616="331")),"331",IF(AND(OR(L616="131",M616="131"),H616='131-CT'!$E$7),"131",""))</f>
        <v/>
      </c>
      <c r="O616" s="90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21"/>
      <c r="AC616" s="560" t="str">
        <f>IF(VLOOKUP(H616,DS_131,1,0)&lt;&gt;"","","x")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984</v>
      </c>
      <c r="E617" s="191">
        <v>41997</v>
      </c>
      <c r="F617" s="40" t="s">
        <v>853</v>
      </c>
      <c r="G617" s="468" t="s">
        <v>854</v>
      </c>
      <c r="H617" s="7" t="s">
        <v>855</v>
      </c>
      <c r="I617" s="256">
        <v>42</v>
      </c>
      <c r="J617" s="256">
        <v>7018</v>
      </c>
      <c r="K617" s="568">
        <f t="shared" ref="K617:K626" si="29">ROUND(I617*J617,0)</f>
        <v>294756</v>
      </c>
      <c r="L617" s="569" t="s">
        <v>253</v>
      </c>
      <c r="M617" s="569" t="s">
        <v>177</v>
      </c>
      <c r="N617" s="52" t="str">
        <f>IF(AND('331-CT'!$E$7=TH!H617,OR(L617="331",M617="331")),"331",IF(AND(OR(L617="131",M617="131"),H617='131-CT'!$E$7),"131",""))</f>
        <v/>
      </c>
      <c r="O617" s="90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21"/>
      <c r="AC617" s="211" t="str">
        <f>IF(F617=VLOOKUP(F617,NXT!$C$12:$C$305,1,0),"","x")</f>
        <v/>
      </c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984</v>
      </c>
      <c r="E618" s="191">
        <v>41997</v>
      </c>
      <c r="F618" s="189" t="s">
        <v>856</v>
      </c>
      <c r="G618" s="468" t="s">
        <v>854</v>
      </c>
      <c r="H618" s="7" t="s">
        <v>855</v>
      </c>
      <c r="I618" s="256">
        <v>137</v>
      </c>
      <c r="J618" s="256">
        <v>8946</v>
      </c>
      <c r="K618" s="568">
        <f t="shared" si="29"/>
        <v>1225602</v>
      </c>
      <c r="L618" s="569" t="s">
        <v>253</v>
      </c>
      <c r="M618" s="569" t="s">
        <v>177</v>
      </c>
      <c r="N618" s="52" t="str">
        <f>IF(AND('331-CT'!$E$7=TH!H618,OR(L618="331",M618="331")),"331",IF(AND(OR(L618="131",M618="131"),H618='131-CT'!$E$7),"131",""))</f>
        <v/>
      </c>
      <c r="O618" s="90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21"/>
      <c r="AC618" s="211" t="str">
        <f>IF(F618=VLOOKUP(F618,NXT!$C$12:$C$305,1,0),"","x")</f>
        <v/>
      </c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984</v>
      </c>
      <c r="E619" s="191">
        <v>41997</v>
      </c>
      <c r="F619" s="296" t="s">
        <v>857</v>
      </c>
      <c r="G619" s="468" t="s">
        <v>854</v>
      </c>
      <c r="H619" s="7" t="s">
        <v>855</v>
      </c>
      <c r="I619" s="256">
        <v>44</v>
      </c>
      <c r="J619" s="256">
        <v>9191</v>
      </c>
      <c r="K619" s="568">
        <f t="shared" si="29"/>
        <v>404404</v>
      </c>
      <c r="L619" s="569" t="s">
        <v>253</v>
      </c>
      <c r="M619" s="569" t="s">
        <v>177</v>
      </c>
      <c r="N619" s="52" t="str">
        <f>IF(AND('331-CT'!$E$7=TH!H619,OR(L619="331",M619="331")),"331",IF(AND(OR(L619="131",M619="131"),H619='131-CT'!$E$7),"131",""))</f>
        <v/>
      </c>
      <c r="O619" s="90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21"/>
      <c r="AC619" s="211" t="str">
        <f>IF(F619=VLOOKUP(F619,NXT!$C$12:$C$305,1,0),"","x")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984</v>
      </c>
      <c r="E620" s="191">
        <v>41997</v>
      </c>
      <c r="F620" s="189" t="s">
        <v>858</v>
      </c>
      <c r="G620" s="468" t="s">
        <v>854</v>
      </c>
      <c r="H620" s="7" t="s">
        <v>855</v>
      </c>
      <c r="I620" s="256">
        <v>966</v>
      </c>
      <c r="J620" s="256">
        <v>9572</v>
      </c>
      <c r="K620" s="568">
        <f t="shared" si="29"/>
        <v>9246552</v>
      </c>
      <c r="L620" s="569" t="s">
        <v>253</v>
      </c>
      <c r="M620" s="569" t="s">
        <v>177</v>
      </c>
      <c r="N620" s="52" t="str">
        <f>IF(AND('331-CT'!$E$7=TH!H620,OR(L620="331",M620="331")),"331",IF(AND(OR(L620="131",M620="131"),H620='131-CT'!$E$7),"131",""))</f>
        <v/>
      </c>
      <c r="O620" s="90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21"/>
      <c r="AC620" s="211" t="str">
        <f>IF(F620=VLOOKUP(F620,NXT!$C$12:$C$305,1,0),"","x")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984</v>
      </c>
      <c r="E621" s="191">
        <v>41997</v>
      </c>
      <c r="F621" s="189" t="s">
        <v>859</v>
      </c>
      <c r="G621" s="468" t="s">
        <v>854</v>
      </c>
      <c r="H621" s="7" t="s">
        <v>855</v>
      </c>
      <c r="I621" s="256">
        <v>105</v>
      </c>
      <c r="J621" s="256">
        <v>12019</v>
      </c>
      <c r="K621" s="568">
        <f t="shared" si="29"/>
        <v>1261995</v>
      </c>
      <c r="L621" s="569" t="s">
        <v>253</v>
      </c>
      <c r="M621" s="569" t="s">
        <v>177</v>
      </c>
      <c r="N621" s="52" t="str">
        <f>IF(AND('331-CT'!$E$7=TH!H621,OR(L621="331",M621="331")),"331",IF(AND(OR(L621="131",M621="131"),H621='131-CT'!$E$7),"131",""))</f>
        <v/>
      </c>
      <c r="O621" s="90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21"/>
      <c r="AC621" s="211" t="str">
        <f>IF(F621=VLOOKUP(F621,NXT!$C$12:$C$305,1,0),"","x")</f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984</v>
      </c>
      <c r="E622" s="191">
        <v>41997</v>
      </c>
      <c r="F622" s="189" t="s">
        <v>860</v>
      </c>
      <c r="G622" s="468" t="s">
        <v>854</v>
      </c>
      <c r="H622" s="7" t="s">
        <v>855</v>
      </c>
      <c r="I622" s="256">
        <v>25</v>
      </c>
      <c r="J622" s="256">
        <v>12203</v>
      </c>
      <c r="K622" s="568">
        <f t="shared" si="29"/>
        <v>305075</v>
      </c>
      <c r="L622" s="569" t="s">
        <v>253</v>
      </c>
      <c r="M622" s="569" t="s">
        <v>177</v>
      </c>
      <c r="N622" s="52" t="str">
        <f>IF(AND('331-CT'!$E$7=TH!H622,OR(L622="331",M622="331")),"331",IF(AND(OR(L622="131",M622="131"),H622='131-CT'!$E$7),"131",""))</f>
        <v/>
      </c>
      <c r="O622" s="90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21"/>
      <c r="AC622" s="211" t="str">
        <f>IF(F622=VLOOKUP(F622,NXT!$C$12:$C$305,1,0),"","x")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984</v>
      </c>
      <c r="E623" s="184">
        <v>41997</v>
      </c>
      <c r="F623" s="189" t="s">
        <v>861</v>
      </c>
      <c r="G623" s="570" t="s">
        <v>854</v>
      </c>
      <c r="H623" s="193" t="s">
        <v>855</v>
      </c>
      <c r="I623" s="256">
        <v>104</v>
      </c>
      <c r="J623" s="256">
        <v>13450</v>
      </c>
      <c r="K623" s="568">
        <f t="shared" si="29"/>
        <v>1398800</v>
      </c>
      <c r="L623" s="569" t="s">
        <v>253</v>
      </c>
      <c r="M623" s="569" t="s">
        <v>177</v>
      </c>
      <c r="N623" s="52" t="str">
        <f>IF(AND('331-CT'!$E$7=TH!H623,OR(L623="331",M623="331")),"331",IF(AND(OR(L623="131",M623="131"),H623='131-CT'!$E$7),"131",""))</f>
        <v/>
      </c>
      <c r="O623" s="90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21"/>
      <c r="AC623" s="211" t="str">
        <f>IF(F623=VLOOKUP(F623,NXT!$C$12:$C$305,1,0),"","x")</f>
        <v/>
      </c>
      <c r="AD623" s="560"/>
      <c r="AE623" s="560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984</v>
      </c>
      <c r="E624" s="184">
        <v>41997</v>
      </c>
      <c r="F624" s="189" t="s">
        <v>862</v>
      </c>
      <c r="G624" s="570" t="s">
        <v>854</v>
      </c>
      <c r="H624" s="7" t="s">
        <v>855</v>
      </c>
      <c r="I624" s="256">
        <v>108</v>
      </c>
      <c r="J624" s="256">
        <v>14599</v>
      </c>
      <c r="K624" s="568">
        <f t="shared" si="29"/>
        <v>1576692</v>
      </c>
      <c r="L624" s="569" t="s">
        <v>253</v>
      </c>
      <c r="M624" s="569" t="s">
        <v>177</v>
      </c>
      <c r="N624" s="52" t="str">
        <f>IF(AND('331-CT'!$E$7=TH!H624,OR(L624="331",M624="331")),"331",IF(AND(OR(L624="131",M624="131"),H624='131-CT'!$E$7),"131",""))</f>
        <v/>
      </c>
      <c r="O624" s="90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21"/>
      <c r="AC624" s="211" t="str">
        <f>IF(F624=VLOOKUP(F624,NXT!$C$12:$C$305,1,0),"","x")</f>
        <v/>
      </c>
      <c r="AD624" s="560"/>
      <c r="AE624" s="560"/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984</v>
      </c>
      <c r="E625" s="191">
        <v>41997</v>
      </c>
      <c r="F625" s="189" t="s">
        <v>863</v>
      </c>
      <c r="G625" s="468" t="s">
        <v>854</v>
      </c>
      <c r="H625" s="7" t="s">
        <v>855</v>
      </c>
      <c r="I625" s="256">
        <v>32</v>
      </c>
      <c r="J625" s="256">
        <v>16022</v>
      </c>
      <c r="K625" s="568">
        <f t="shared" si="29"/>
        <v>512704</v>
      </c>
      <c r="L625" s="569" t="s">
        <v>253</v>
      </c>
      <c r="M625" s="569" t="s">
        <v>177</v>
      </c>
      <c r="N625" s="52" t="str">
        <f>IF(AND('331-CT'!$E$7=TH!H625,OR(L625="331",M625="331")),"331",IF(AND(OR(L625="131",M625="131"),H625='131-CT'!$E$7),"131",""))</f>
        <v/>
      </c>
      <c r="O625" s="90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21"/>
      <c r="AC625" s="211" t="str">
        <f>IF(F625=VLOOKUP(F625,NXT!$C$12:$C$305,1,0),"","x")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984</v>
      </c>
      <c r="E626" s="191">
        <v>41997</v>
      </c>
      <c r="F626" s="189" t="s">
        <v>864</v>
      </c>
      <c r="G626" s="468" t="s">
        <v>854</v>
      </c>
      <c r="H626" s="7" t="s">
        <v>855</v>
      </c>
      <c r="I626" s="256">
        <v>63</v>
      </c>
      <c r="J626" s="256">
        <v>17415</v>
      </c>
      <c r="K626" s="568">
        <f t="shared" si="29"/>
        <v>1097145</v>
      </c>
      <c r="L626" s="569" t="s">
        <v>253</v>
      </c>
      <c r="M626" s="569" t="s">
        <v>177</v>
      </c>
      <c r="N626" s="52" t="str">
        <f>IF(AND('331-CT'!$E$7=TH!H626,OR(L626="331",M626="331")),"331",IF(AND(OR(L626="131",M626="131"),H626='131-CT'!$E$7),"131",""))</f>
        <v/>
      </c>
      <c r="O626" s="90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21"/>
      <c r="AC626" s="211" t="str">
        <f>IF(F626=VLOOKUP(F626,NXT!$C$12:$C$305,1,0),"","x")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984</v>
      </c>
      <c r="E627" s="191">
        <v>41997</v>
      </c>
      <c r="F627" s="189" t="s">
        <v>426</v>
      </c>
      <c r="G627" s="468" t="s">
        <v>854</v>
      </c>
      <c r="H627" s="7" t="s">
        <v>855</v>
      </c>
      <c r="I627" s="256"/>
      <c r="J627" s="256"/>
      <c r="K627" s="568">
        <v>1732373</v>
      </c>
      <c r="L627" s="569" t="s">
        <v>253</v>
      </c>
      <c r="M627" s="569" t="s">
        <v>367</v>
      </c>
      <c r="N627" s="52" t="str">
        <f>IF(AND('331-CT'!$E$7=TH!H627,OR(L627="331",M627="331")),"331",IF(AND(OR(L627="131",M627="131"),H627='131-CT'!$E$7),"131",""))</f>
        <v/>
      </c>
      <c r="O627" s="90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21"/>
      <c r="AC627" s="560" t="str">
        <f>IF(VLOOKUP(H627,DS_131,1,0)&lt;&gt;"","","x")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985</v>
      </c>
      <c r="E628" s="191">
        <v>41998</v>
      </c>
      <c r="F628" s="189" t="s">
        <v>442</v>
      </c>
      <c r="G628" s="468" t="s">
        <v>865</v>
      </c>
      <c r="H628" s="7" t="s">
        <v>444</v>
      </c>
      <c r="I628" s="256">
        <v>500</v>
      </c>
      <c r="J628" s="256">
        <v>10500</v>
      </c>
      <c r="K628" s="568">
        <f>ROUND(I628*J628,0)</f>
        <v>5250000</v>
      </c>
      <c r="L628" s="569" t="s">
        <v>253</v>
      </c>
      <c r="M628" s="569" t="s">
        <v>177</v>
      </c>
      <c r="N628" s="52" t="str">
        <f>IF(AND('331-CT'!$E$7=TH!H628,OR(L628="331",M628="331")),"331",IF(AND(OR(L628="131",M628="131"),H628='131-CT'!$E$7),"131",""))</f>
        <v/>
      </c>
      <c r="O628" s="90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21"/>
      <c r="AC628" s="211" t="str">
        <f>IF(F628=VLOOKUP(F628,NXT!$C$12:$C$305,1,0),"","x")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985</v>
      </c>
      <c r="E629" s="191">
        <v>41998</v>
      </c>
      <c r="F629" s="189" t="s">
        <v>426</v>
      </c>
      <c r="G629" s="468" t="s">
        <v>865</v>
      </c>
      <c r="H629" s="7" t="s">
        <v>444</v>
      </c>
      <c r="I629" s="256"/>
      <c r="J629" s="256"/>
      <c r="K629" s="568">
        <v>525000</v>
      </c>
      <c r="L629" s="569" t="s">
        <v>253</v>
      </c>
      <c r="M629" s="569" t="s">
        <v>367</v>
      </c>
      <c r="N629" s="52" t="str">
        <f>IF(AND('331-CT'!$E$7=TH!H629,OR(L629="331",M629="331")),"331",IF(AND(OR(L629="131",M629="131"),H629='131-CT'!$E$7),"131",""))</f>
        <v/>
      </c>
      <c r="O629" s="90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21"/>
      <c r="AC629" s="560" t="str">
        <f>IF(VLOOKUP(H629,DS_131,1,0)&lt;&gt;"","","x")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986</v>
      </c>
      <c r="E630" s="191">
        <v>41998</v>
      </c>
      <c r="F630" s="40" t="s">
        <v>465</v>
      </c>
      <c r="G630" s="468" t="s">
        <v>866</v>
      </c>
      <c r="H630" s="7" t="s">
        <v>467</v>
      </c>
      <c r="I630" s="256">
        <v>1000</v>
      </c>
      <c r="J630" s="256">
        <v>8740</v>
      </c>
      <c r="K630" s="568">
        <f>ROUND(I630*J630,0)</f>
        <v>8740000</v>
      </c>
      <c r="L630" s="569" t="s">
        <v>253</v>
      </c>
      <c r="M630" s="569" t="s">
        <v>177</v>
      </c>
      <c r="N630" s="52" t="str">
        <f>IF(AND('331-CT'!$E$7=TH!H630,OR(L630="331",M630="331")),"331",IF(AND(OR(L630="131",M630="131"),H630='131-CT'!$E$7),"131",""))</f>
        <v/>
      </c>
      <c r="O630" s="90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21"/>
      <c r="AC630" s="211" t="str">
        <f>IF(F630=VLOOKUP(F630,NXT!$C$12:$C$305,1,0),"","x")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986</v>
      </c>
      <c r="E631" s="191">
        <v>41998</v>
      </c>
      <c r="F631" s="40" t="s">
        <v>426</v>
      </c>
      <c r="G631" s="468" t="s">
        <v>866</v>
      </c>
      <c r="H631" s="7" t="s">
        <v>467</v>
      </c>
      <c r="I631" s="256"/>
      <c r="J631" s="256"/>
      <c r="K631" s="568">
        <v>874000</v>
      </c>
      <c r="L631" s="569" t="s">
        <v>253</v>
      </c>
      <c r="M631" s="569" t="s">
        <v>367</v>
      </c>
      <c r="N631" s="52" t="str">
        <f>IF(AND('331-CT'!$E$7=TH!H631,OR(L631="331",M631="331")),"331",IF(AND(OR(L631="131",M631="131"),H631='131-CT'!$E$7),"131",""))</f>
        <v/>
      </c>
      <c r="O631" s="90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21"/>
      <c r="AC631" s="560" t="str">
        <f>IF(VLOOKUP(H631,DS_131,1,0)&lt;&gt;"","","x")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987</v>
      </c>
      <c r="E632" s="191">
        <v>41998</v>
      </c>
      <c r="F632" s="40" t="s">
        <v>867</v>
      </c>
      <c r="G632" s="468" t="s">
        <v>868</v>
      </c>
      <c r="H632" s="7" t="s">
        <v>692</v>
      </c>
      <c r="I632" s="256">
        <v>45</v>
      </c>
      <c r="J632" s="256">
        <v>45400</v>
      </c>
      <c r="K632" s="568">
        <f>ROUND(I632*J632,0)</f>
        <v>2043000</v>
      </c>
      <c r="L632" s="569" t="s">
        <v>253</v>
      </c>
      <c r="M632" s="569" t="s">
        <v>177</v>
      </c>
      <c r="N632" s="52" t="str">
        <f>IF(AND('331-CT'!$E$7=TH!H632,OR(L632="331",M632="331")),"331",IF(AND(OR(L632="131",M632="131"),H632='131-CT'!$E$7),"131",""))</f>
        <v/>
      </c>
      <c r="O632" s="90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21"/>
      <c r="AC632" s="211" t="str">
        <f>IF(F632=VLOOKUP(F632,NXT!$C$12:$C$305,1,0),"","x")</f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987</v>
      </c>
      <c r="E633" s="191">
        <v>41998</v>
      </c>
      <c r="F633" s="192" t="s">
        <v>755</v>
      </c>
      <c r="G633" s="468" t="s">
        <v>868</v>
      </c>
      <c r="H633" s="7" t="s">
        <v>692</v>
      </c>
      <c r="I633" s="256">
        <v>90</v>
      </c>
      <c r="J633" s="256">
        <v>1500</v>
      </c>
      <c r="K633" s="568">
        <f>ROUND(I633*J633,0)</f>
        <v>135000</v>
      </c>
      <c r="L633" s="569" t="s">
        <v>253</v>
      </c>
      <c r="M633" s="569" t="s">
        <v>177</v>
      </c>
      <c r="N633" s="52" t="str">
        <f>IF(AND('331-CT'!$E$7=TH!H633,OR(L633="331",M633="331")),"331",IF(AND(OR(L633="131",M633="131"),H633='131-CT'!$E$7),"131",""))</f>
        <v/>
      </c>
      <c r="O633" s="90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21"/>
      <c r="AC633" s="211" t="str">
        <f>IF(F633=VLOOKUP(F633,NXT!$C$12:$C$305,1,0),"","x")</f>
        <v/>
      </c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987</v>
      </c>
      <c r="E634" s="184">
        <v>41998</v>
      </c>
      <c r="F634" s="189" t="s">
        <v>426</v>
      </c>
      <c r="G634" s="570" t="s">
        <v>868</v>
      </c>
      <c r="H634" s="7" t="s">
        <v>692</v>
      </c>
      <c r="I634" s="256"/>
      <c r="J634" s="256"/>
      <c r="K634" s="568">
        <v>217800</v>
      </c>
      <c r="L634" s="569" t="s">
        <v>253</v>
      </c>
      <c r="M634" s="569" t="s">
        <v>367</v>
      </c>
      <c r="N634" s="52" t="str">
        <f>IF(AND('331-CT'!$E$7=TH!H634,OR(L634="331",M634="331")),"331",IF(AND(OR(L634="131",M634="131"),H634='131-CT'!$E$7),"131",""))</f>
        <v/>
      </c>
      <c r="O634" s="90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21"/>
      <c r="AC634" s="560" t="str">
        <f>IF(VLOOKUP(H634,DS_131,1,0)&lt;&gt;"","","x")</f>
        <v/>
      </c>
      <c r="AD634" s="560"/>
      <c r="AE634" s="560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988</v>
      </c>
      <c r="E635" s="191">
        <v>41999</v>
      </c>
      <c r="F635" s="192" t="s">
        <v>869</v>
      </c>
      <c r="G635" s="468" t="s">
        <v>870</v>
      </c>
      <c r="H635" s="193" t="s">
        <v>871</v>
      </c>
      <c r="I635" s="256">
        <v>305</v>
      </c>
      <c r="J635" s="256">
        <v>10670</v>
      </c>
      <c r="K635" s="568">
        <f>ROUND(I635*J635,0)</f>
        <v>3254350</v>
      </c>
      <c r="L635" s="569" t="s">
        <v>253</v>
      </c>
      <c r="M635" s="569" t="s">
        <v>177</v>
      </c>
      <c r="N635" s="52" t="str">
        <f>IF(AND('331-CT'!$E$7=TH!H635,OR(L635="331",M635="331")),"331",IF(AND(OR(L635="131",M635="131"),H635='131-CT'!$E$7),"131",""))</f>
        <v/>
      </c>
      <c r="O635" s="90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21"/>
      <c r="AC635" s="211" t="str">
        <f>IF(F635=VLOOKUP(F635,NXT!$C$12:$C$305,1,0),"","x")</f>
        <v/>
      </c>
      <c r="AD635" s="560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988</v>
      </c>
      <c r="E636" s="191">
        <v>41999</v>
      </c>
      <c r="F636" s="192" t="s">
        <v>872</v>
      </c>
      <c r="G636" s="468" t="s">
        <v>870</v>
      </c>
      <c r="H636" s="193" t="s">
        <v>871</v>
      </c>
      <c r="I636" s="257">
        <v>615</v>
      </c>
      <c r="J636" s="257">
        <v>5700</v>
      </c>
      <c r="K636" s="568">
        <f>ROUND(I636*J636,0)</f>
        <v>3505500</v>
      </c>
      <c r="L636" s="569" t="s">
        <v>253</v>
      </c>
      <c r="M636" s="569" t="s">
        <v>177</v>
      </c>
      <c r="N636" s="52" t="str">
        <f>IF(AND('331-CT'!$E$7=TH!H636,OR(L636="331",M636="331")),"331",IF(AND(OR(L636="131",M636="131"),H636='131-CT'!$E$7),"131",""))</f>
        <v/>
      </c>
      <c r="O636" s="90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21"/>
      <c r="AC636" s="211" t="str">
        <f>IF(F636=VLOOKUP(F636,NXT!$C$12:$C$305,1,0),"","x")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988</v>
      </c>
      <c r="E637" s="191">
        <v>41999</v>
      </c>
      <c r="F637" s="192" t="s">
        <v>873</v>
      </c>
      <c r="G637" s="468" t="s">
        <v>870</v>
      </c>
      <c r="H637" s="193" t="s">
        <v>871</v>
      </c>
      <c r="I637" s="256">
        <v>953</v>
      </c>
      <c r="J637" s="256">
        <v>5150</v>
      </c>
      <c r="K637" s="568">
        <f>ROUND(I637*J637,0)</f>
        <v>4907950</v>
      </c>
      <c r="L637" s="569" t="s">
        <v>253</v>
      </c>
      <c r="M637" s="569" t="s">
        <v>177</v>
      </c>
      <c r="N637" s="52" t="str">
        <f>IF(AND('331-CT'!$E$7=TH!H637,OR(L637="331",M637="331")),"331",IF(AND(OR(L637="131",M637="131"),H637='131-CT'!$E$7),"131",""))</f>
        <v/>
      </c>
      <c r="O637" s="90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21"/>
      <c r="AC637" s="211" t="str">
        <f>IF(F637=VLOOKUP(F637,NXT!$C$12:$C$305,1,0),"","x")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988</v>
      </c>
      <c r="E638" s="191">
        <v>41999</v>
      </c>
      <c r="F638" s="192" t="s">
        <v>874</v>
      </c>
      <c r="G638" s="468" t="s">
        <v>870</v>
      </c>
      <c r="H638" s="193" t="s">
        <v>871</v>
      </c>
      <c r="I638" s="257">
        <v>300</v>
      </c>
      <c r="J638" s="257">
        <v>5300</v>
      </c>
      <c r="K638" s="568">
        <f>ROUND(I638*J638,0)</f>
        <v>1590000</v>
      </c>
      <c r="L638" s="569" t="s">
        <v>253</v>
      </c>
      <c r="M638" s="569" t="s">
        <v>177</v>
      </c>
      <c r="N638" s="52" t="str">
        <f>IF(AND('331-CT'!$E$7=TH!H638,OR(L638="331",M638="331")),"331",IF(AND(OR(L638="131",M638="131"),H638='131-CT'!$E$7),"131",""))</f>
        <v/>
      </c>
      <c r="O638" s="90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21"/>
      <c r="AC638" s="211" t="str">
        <f>IF(F638=VLOOKUP(F638,NXT!$C$12:$C$305,1,0),"","x")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988</v>
      </c>
      <c r="E639" s="191">
        <v>41999</v>
      </c>
      <c r="F639" s="192" t="s">
        <v>426</v>
      </c>
      <c r="G639" s="468" t="s">
        <v>870</v>
      </c>
      <c r="H639" s="193" t="s">
        <v>871</v>
      </c>
      <c r="I639" s="256"/>
      <c r="J639" s="256"/>
      <c r="K639" s="568">
        <v>1325780</v>
      </c>
      <c r="L639" s="569" t="s">
        <v>253</v>
      </c>
      <c r="M639" s="569" t="s">
        <v>367</v>
      </c>
      <c r="N639" s="52" t="str">
        <f>IF(AND('331-CT'!$E$7=TH!H639,OR(L639="331",M639="331")),"331",IF(AND(OR(L639="131",M639="131"),H639='131-CT'!$E$7),"131",""))</f>
        <v/>
      </c>
      <c r="O639" s="90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21"/>
      <c r="AC639" s="560" t="str">
        <f>IF(VLOOKUP(H639,DS_131,1,0)&lt;&gt;"","","x")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989</v>
      </c>
      <c r="E640" s="191">
        <v>41999</v>
      </c>
      <c r="F640" s="192" t="s">
        <v>875</v>
      </c>
      <c r="G640" s="468" t="s">
        <v>876</v>
      </c>
      <c r="H640" s="193" t="s">
        <v>680</v>
      </c>
      <c r="I640" s="257">
        <v>416</v>
      </c>
      <c r="J640" s="257">
        <v>5500</v>
      </c>
      <c r="K640" s="568">
        <f>ROUND(I640*J640,0)</f>
        <v>2288000</v>
      </c>
      <c r="L640" s="569" t="s">
        <v>253</v>
      </c>
      <c r="M640" s="569" t="s">
        <v>177</v>
      </c>
      <c r="N640" s="52" t="str">
        <f>IF(AND('331-CT'!$E$7=TH!H640,OR(L640="331",M640="331")),"331",IF(AND(OR(L640="131",M640="131"),H640='131-CT'!$E$7),"131",""))</f>
        <v/>
      </c>
      <c r="O640" s="90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21"/>
      <c r="AC640" s="211" t="str">
        <f>IF(F640=VLOOKUP(F640,NXT!$C$12:$C$305,1,0),"","x")</f>
        <v/>
      </c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989</v>
      </c>
      <c r="E641" s="191">
        <v>41999</v>
      </c>
      <c r="F641" s="192" t="s">
        <v>875</v>
      </c>
      <c r="G641" s="468" t="s">
        <v>876</v>
      </c>
      <c r="H641" s="193" t="s">
        <v>680</v>
      </c>
      <c r="I641" s="256">
        <v>602</v>
      </c>
      <c r="J641" s="256">
        <v>5500</v>
      </c>
      <c r="K641" s="568">
        <f>ROUND(I641*J641,0)</f>
        <v>3311000</v>
      </c>
      <c r="L641" s="569" t="s">
        <v>253</v>
      </c>
      <c r="M641" s="569" t="s">
        <v>177</v>
      </c>
      <c r="N641" s="52" t="str">
        <f>IF(AND('331-CT'!$E$7=TH!H641,OR(L641="331",M641="331")),"331",IF(AND(OR(L641="131",M641="131"),H641='131-CT'!$E$7),"131",""))</f>
        <v/>
      </c>
      <c r="O641" s="90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21"/>
      <c r="AC641" s="211" t="str">
        <f>IF(F641=VLOOKUP(F641,NXT!$C$12:$C$305,1,0),"","x")</f>
        <v/>
      </c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989</v>
      </c>
      <c r="E642" s="191">
        <v>41999</v>
      </c>
      <c r="F642" s="192" t="s">
        <v>877</v>
      </c>
      <c r="G642" s="468" t="s">
        <v>876</v>
      </c>
      <c r="H642" s="193" t="s">
        <v>680</v>
      </c>
      <c r="I642" s="257">
        <v>413</v>
      </c>
      <c r="J642" s="257">
        <v>5000</v>
      </c>
      <c r="K642" s="568">
        <f>ROUND(I642*J642,0)</f>
        <v>2065000</v>
      </c>
      <c r="L642" s="569" t="s">
        <v>253</v>
      </c>
      <c r="M642" s="569" t="s">
        <v>177</v>
      </c>
      <c r="N642" s="52" t="str">
        <f>IF(AND('331-CT'!$E$7=TH!H642,OR(L642="331",M642="331")),"331",IF(AND(OR(L642="131",M642="131"),H642='131-CT'!$E$7),"131",""))</f>
        <v/>
      </c>
      <c r="O642" s="90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21"/>
      <c r="AC642" s="211" t="str">
        <f>IF(F642=VLOOKUP(F642,NXT!$C$12:$C$305,1,0),"","x")</f>
        <v/>
      </c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989</v>
      </c>
      <c r="E643" s="191">
        <v>41999</v>
      </c>
      <c r="F643" s="192" t="s">
        <v>426</v>
      </c>
      <c r="G643" s="468" t="s">
        <v>876</v>
      </c>
      <c r="H643" s="193" t="s">
        <v>680</v>
      </c>
      <c r="I643" s="256"/>
      <c r="J643" s="256"/>
      <c r="K643" s="38">
        <v>766400</v>
      </c>
      <c r="L643" s="569" t="s">
        <v>253</v>
      </c>
      <c r="M643" s="569" t="s">
        <v>367</v>
      </c>
      <c r="N643" s="52" t="str">
        <f>IF(AND('331-CT'!$E$7=TH!H643,OR(L643="331",M643="331")),"331",IF(AND(OR(L643="131",M643="131"),H643='131-CT'!$E$7),"131",""))</f>
        <v/>
      </c>
      <c r="O643" s="90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21"/>
      <c r="AC643" s="560" t="str">
        <f>IF(VLOOKUP(H643,DS_131,1,0)&lt;&gt;"","","x")</f>
        <v/>
      </c>
      <c r="AD643" s="560"/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990</v>
      </c>
      <c r="E644" s="191">
        <v>42000</v>
      </c>
      <c r="F644" s="189" t="s">
        <v>678</v>
      </c>
      <c r="G644" s="468" t="s">
        <v>878</v>
      </c>
      <c r="H644" s="7" t="s">
        <v>680</v>
      </c>
      <c r="I644" s="256">
        <v>1528</v>
      </c>
      <c r="J644" s="256">
        <v>9300</v>
      </c>
      <c r="K644" s="568">
        <f>ROUND(I644*J644,0)</f>
        <v>14210400</v>
      </c>
      <c r="L644" s="569" t="s">
        <v>253</v>
      </c>
      <c r="M644" s="569" t="s">
        <v>177</v>
      </c>
      <c r="N644" s="52" t="str">
        <f>IF(AND('331-CT'!$E$7=TH!H644,OR(L644="331",M644="331")),"331",IF(AND(OR(L644="131",M644="131"),H644='131-CT'!$E$7),"131",""))</f>
        <v/>
      </c>
      <c r="O644" s="90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21"/>
      <c r="AC644" s="211" t="str">
        <f>IF(F644=VLOOKUP(F644,NXT!$C$12:$C$305,1,0),"","x")</f>
        <v/>
      </c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990</v>
      </c>
      <c r="E645" s="191">
        <v>42000</v>
      </c>
      <c r="F645" s="189" t="s">
        <v>426</v>
      </c>
      <c r="G645" s="468" t="s">
        <v>878</v>
      </c>
      <c r="H645" s="7" t="s">
        <v>680</v>
      </c>
      <c r="I645" s="256"/>
      <c r="J645" s="256"/>
      <c r="K645" s="568">
        <v>1421040</v>
      </c>
      <c r="L645" s="569" t="s">
        <v>253</v>
      </c>
      <c r="M645" s="569" t="s">
        <v>367</v>
      </c>
      <c r="N645" s="52" t="str">
        <f>IF(AND('331-CT'!$E$7=TH!H645,OR(L645="331",M645="331")),"331",IF(AND(OR(L645="131",M645="131"),H645='131-CT'!$E$7),"131",""))</f>
        <v/>
      </c>
      <c r="O645" s="90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21"/>
      <c r="AC645" s="560" t="str">
        <f>IF(VLOOKUP(H645,DS_131,1,0)&lt;&gt;"","","x")</f>
        <v/>
      </c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991</v>
      </c>
      <c r="E646" s="191">
        <v>42000</v>
      </c>
      <c r="F646" s="189" t="s">
        <v>521</v>
      </c>
      <c r="G646" s="468" t="s">
        <v>879</v>
      </c>
      <c r="H646" s="7" t="s">
        <v>918</v>
      </c>
      <c r="I646" s="256">
        <v>1010</v>
      </c>
      <c r="J646" s="256">
        <v>12000</v>
      </c>
      <c r="K646" s="568">
        <f>ROUND(I646*J646,0)</f>
        <v>12120000</v>
      </c>
      <c r="L646" s="569" t="s">
        <v>253</v>
      </c>
      <c r="M646" s="569" t="s">
        <v>177</v>
      </c>
      <c r="N646" s="52" t="str">
        <f>IF(AND('331-CT'!$E$7=TH!H646,OR(L646="331",M646="331")),"331",IF(AND(OR(L646="131",M646="131"),H646='131-CT'!$E$7),"131",""))</f>
        <v/>
      </c>
      <c r="O646" s="90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21"/>
      <c r="AC646" s="211" t="str">
        <f>IF(F646=VLOOKUP(F646,NXT!$C$12:$C$305,1,0),"","x")</f>
        <v/>
      </c>
    </row>
    <row r="647" spans="1:30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991</v>
      </c>
      <c r="E647" s="191">
        <v>42000</v>
      </c>
      <c r="F647" s="296" t="s">
        <v>426</v>
      </c>
      <c r="G647" s="468" t="s">
        <v>879</v>
      </c>
      <c r="H647" s="7" t="s">
        <v>918</v>
      </c>
      <c r="I647" s="256"/>
      <c r="J647" s="256"/>
      <c r="K647" s="568">
        <v>1212000</v>
      </c>
      <c r="L647" s="569" t="s">
        <v>253</v>
      </c>
      <c r="M647" s="569" t="s">
        <v>367</v>
      </c>
      <c r="N647" s="52" t="str">
        <f>IF(AND('331-CT'!$E$7=TH!H647,OR(L647="331",M647="331")),"331",IF(AND(OR(L647="131",M647="131"),H647='131-CT'!$E$7),"131",""))</f>
        <v/>
      </c>
      <c r="O647" s="90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21"/>
      <c r="AC647" s="560" t="str">
        <f>IF(VLOOKUP(H647,DS_131,1,0)&lt;&gt;"","","x")</f>
        <v/>
      </c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992</v>
      </c>
      <c r="E648" s="191">
        <v>42003</v>
      </c>
      <c r="F648" s="189" t="s">
        <v>880</v>
      </c>
      <c r="G648" s="468" t="s">
        <v>881</v>
      </c>
      <c r="H648" s="7" t="s">
        <v>917</v>
      </c>
      <c r="I648" s="256">
        <v>310</v>
      </c>
      <c r="J648" s="256">
        <v>9400</v>
      </c>
      <c r="K648" s="568">
        <f>ROUND(I648*J648,0)</f>
        <v>2914000</v>
      </c>
      <c r="L648" s="569" t="s">
        <v>253</v>
      </c>
      <c r="M648" s="569" t="s">
        <v>177</v>
      </c>
      <c r="N648" s="52" t="str">
        <f>IF(AND('331-CT'!$E$7=TH!H648,OR(L648="331",M648="331")),"331",IF(AND(OR(L648="131",M648="131"),H648='131-CT'!$E$7),"131",""))</f>
        <v/>
      </c>
      <c r="O648" s="90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21"/>
      <c r="AC648" s="211" t="str">
        <f>IF(F648=VLOOKUP(F648,NXT!$C$12:$C$305,1,0),"","x")</f>
        <v/>
      </c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992</v>
      </c>
      <c r="E649" s="191">
        <v>42003</v>
      </c>
      <c r="F649" s="40" t="s">
        <v>882</v>
      </c>
      <c r="G649" s="468" t="s">
        <v>881</v>
      </c>
      <c r="H649" s="7" t="s">
        <v>917</v>
      </c>
      <c r="I649" s="256">
        <v>219</v>
      </c>
      <c r="J649" s="256">
        <v>9800</v>
      </c>
      <c r="K649" s="568">
        <f>ROUND(I649*J649,0)</f>
        <v>2146200</v>
      </c>
      <c r="L649" s="569" t="s">
        <v>253</v>
      </c>
      <c r="M649" s="569" t="s">
        <v>177</v>
      </c>
      <c r="N649" s="52" t="str">
        <f>IF(AND('331-CT'!$E$7=TH!H649,OR(L649="331",M649="331")),"331",IF(AND(OR(L649="131",M649="131"),H649='131-CT'!$E$7),"131",""))</f>
        <v/>
      </c>
      <c r="O649" s="90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21"/>
      <c r="AC649" s="211" t="str">
        <f>IF(F649=VLOOKUP(F649,NXT!$C$12:$C$305,1,0),"","x")</f>
        <v/>
      </c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992</v>
      </c>
      <c r="E650" s="191">
        <v>42003</v>
      </c>
      <c r="F650" s="189" t="s">
        <v>426</v>
      </c>
      <c r="G650" s="468" t="s">
        <v>881</v>
      </c>
      <c r="H650" s="7" t="s">
        <v>917</v>
      </c>
      <c r="I650" s="256"/>
      <c r="J650" s="256"/>
      <c r="K650" s="568">
        <v>506020</v>
      </c>
      <c r="L650" s="569" t="s">
        <v>253</v>
      </c>
      <c r="M650" s="569" t="s">
        <v>367</v>
      </c>
      <c r="N650" s="52" t="str">
        <f>IF(AND('331-CT'!$E$7=TH!H650,OR(L650="331",M650="331")),"331",IF(AND(OR(L650="131",M650="131"),H650='131-CT'!$E$7),"131",""))</f>
        <v/>
      </c>
      <c r="O650" s="90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21"/>
      <c r="AC650" s="560" t="str">
        <f>IF(VLOOKUP(H650,DS_131,1,0)&lt;&gt;"","","x")</f>
        <v/>
      </c>
    </row>
    <row r="651" spans="1:30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993</v>
      </c>
      <c r="E651" s="191">
        <v>42003</v>
      </c>
      <c r="F651" s="40" t="s">
        <v>883</v>
      </c>
      <c r="G651" s="468" t="s">
        <v>884</v>
      </c>
      <c r="H651" s="7" t="s">
        <v>692</v>
      </c>
      <c r="I651" s="256">
        <v>30</v>
      </c>
      <c r="J651" s="256">
        <v>43000</v>
      </c>
      <c r="K651" s="568">
        <f>ROUND(I651*J651,0)</f>
        <v>1290000</v>
      </c>
      <c r="L651" s="569" t="s">
        <v>253</v>
      </c>
      <c r="M651" s="569" t="s">
        <v>177</v>
      </c>
      <c r="N651" s="52" t="str">
        <f>IF(AND('331-CT'!$E$7=TH!H651,OR(L651="331",M651="331")),"331",IF(AND(OR(L651="131",M651="131"),H651='131-CT'!$E$7),"131",""))</f>
        <v/>
      </c>
      <c r="O651" s="90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21"/>
      <c r="AC651" s="211" t="str">
        <f>IF(F651=VLOOKUP(F651,NXT!$C$12:$C$305,1,0),"","x")</f>
        <v/>
      </c>
    </row>
    <row r="652" spans="1:30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993</v>
      </c>
      <c r="E652" s="191">
        <v>42003</v>
      </c>
      <c r="F652" s="192" t="s">
        <v>755</v>
      </c>
      <c r="G652" s="468" t="s">
        <v>884</v>
      </c>
      <c r="H652" s="7" t="s">
        <v>692</v>
      </c>
      <c r="I652" s="256">
        <v>60</v>
      </c>
      <c r="J652" s="256">
        <v>1500</v>
      </c>
      <c r="K652" s="568">
        <f>ROUND(I652*J652,0)</f>
        <v>90000</v>
      </c>
      <c r="L652" s="569" t="s">
        <v>253</v>
      </c>
      <c r="M652" s="569" t="s">
        <v>177</v>
      </c>
      <c r="N652" s="52" t="str">
        <f>IF(AND('331-CT'!$E$7=TH!H652,OR(L652="331",M652="331")),"331",IF(AND(OR(L652="131",M652="131"),H652='131-CT'!$E$7),"131",""))</f>
        <v/>
      </c>
      <c r="O652" s="90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21"/>
      <c r="AC652" s="211" t="str">
        <f>IF(F652=VLOOKUP(F652,NXT!$C$12:$C$305,1,0),"","x")</f>
        <v/>
      </c>
    </row>
    <row r="653" spans="1:30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993</v>
      </c>
      <c r="E653" s="191">
        <v>42003</v>
      </c>
      <c r="F653" s="189" t="s">
        <v>426</v>
      </c>
      <c r="G653" s="468" t="s">
        <v>884</v>
      </c>
      <c r="H653" s="7" t="s">
        <v>692</v>
      </c>
      <c r="I653" s="256"/>
      <c r="J653" s="256"/>
      <c r="K653" s="38">
        <v>138000</v>
      </c>
      <c r="L653" s="569" t="s">
        <v>253</v>
      </c>
      <c r="M653" s="569" t="s">
        <v>367</v>
      </c>
      <c r="N653" s="52" t="str">
        <f>IF(AND('331-CT'!$E$7=TH!H653,OR(L653="331",M653="331")),"331",IF(AND(OR(L653="131",M653="131"),H653='131-CT'!$E$7),"131",""))</f>
        <v/>
      </c>
      <c r="O653" s="90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21"/>
      <c r="AC653" s="560" t="str">
        <f>IF(VLOOKUP(H653,DS_131,1,0)&lt;&gt;"","","x")</f>
        <v/>
      </c>
      <c r="AD653" s="560"/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994</v>
      </c>
      <c r="E654" s="191">
        <v>42003</v>
      </c>
      <c r="F654" s="189" t="s">
        <v>560</v>
      </c>
      <c r="G654" s="468" t="s">
        <v>885</v>
      </c>
      <c r="H654" s="7" t="s">
        <v>886</v>
      </c>
      <c r="I654" s="256">
        <v>650</v>
      </c>
      <c r="J654" s="256">
        <v>25000</v>
      </c>
      <c r="K654" s="568">
        <f>ROUND(I654*J654,0)</f>
        <v>16250000</v>
      </c>
      <c r="L654" s="569" t="s">
        <v>253</v>
      </c>
      <c r="M654" s="569" t="s">
        <v>177</v>
      </c>
      <c r="N654" s="52" t="str">
        <f>IF(AND('331-CT'!$E$7=TH!H654,OR(L654="331",M654="331")),"331",IF(AND(OR(L654="131",M654="131"),H654='131-CT'!$E$7),"131",""))</f>
        <v/>
      </c>
      <c r="O654" s="90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21"/>
      <c r="AC654" s="211" t="str">
        <f>IF(F654=VLOOKUP(F654,NXT!$C$12:$C$305,1,0),"","x")</f>
        <v/>
      </c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994</v>
      </c>
      <c r="E655" s="191">
        <v>42003</v>
      </c>
      <c r="F655" s="189" t="s">
        <v>426</v>
      </c>
      <c r="G655" s="468" t="s">
        <v>885</v>
      </c>
      <c r="H655" s="7" t="s">
        <v>886</v>
      </c>
      <c r="I655" s="256"/>
      <c r="J655" s="256"/>
      <c r="K655" s="568">
        <v>1625000</v>
      </c>
      <c r="L655" s="569" t="s">
        <v>253</v>
      </c>
      <c r="M655" s="569" t="s">
        <v>367</v>
      </c>
      <c r="N655" s="52" t="str">
        <f>IF(AND('331-CT'!$E$7=TH!H655,OR(L655="331",M655="331")),"331",IF(AND(OR(L655="131",M655="131"),H655='131-CT'!$E$7),"131",""))</f>
        <v/>
      </c>
      <c r="O655" s="90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21"/>
      <c r="AC655" s="560" t="str">
        <f>IF(VLOOKUP(H655,DS_131,1,0)&lt;&gt;"","","x")</f>
        <v/>
      </c>
      <c r="AD655" s="560"/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995</v>
      </c>
      <c r="E656" s="191">
        <v>42004</v>
      </c>
      <c r="F656" s="189" t="s">
        <v>518</v>
      </c>
      <c r="G656" s="468" t="s">
        <v>887</v>
      </c>
      <c r="H656" s="7" t="s">
        <v>917</v>
      </c>
      <c r="I656" s="256">
        <v>307</v>
      </c>
      <c r="J656" s="256">
        <v>7000</v>
      </c>
      <c r="K656" s="568">
        <f>ROUND(I656*J656,0)</f>
        <v>2149000</v>
      </c>
      <c r="L656" s="569" t="s">
        <v>253</v>
      </c>
      <c r="M656" s="569" t="s">
        <v>177</v>
      </c>
      <c r="N656" s="52" t="str">
        <f>IF(AND('331-CT'!$E$7=TH!H656,OR(L656="331",M656="331")),"331",IF(AND(OR(L656="131",M656="131"),H656='131-CT'!$E$7),"131",""))</f>
        <v/>
      </c>
      <c r="O656" s="90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21"/>
      <c r="AC656" s="211" t="str">
        <f>IF(F656=VLOOKUP(F656,NXT!$C$12:$C$305,1,0),"","x")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995</v>
      </c>
      <c r="E657" s="191">
        <v>42004</v>
      </c>
      <c r="F657" s="189" t="s">
        <v>492</v>
      </c>
      <c r="G657" s="468" t="s">
        <v>887</v>
      </c>
      <c r="H657" s="7" t="s">
        <v>917</v>
      </c>
      <c r="I657" s="256">
        <v>200</v>
      </c>
      <c r="J657" s="256">
        <v>9300</v>
      </c>
      <c r="K657" s="568">
        <f>ROUND(I657*J657,0)</f>
        <v>1860000</v>
      </c>
      <c r="L657" s="569" t="s">
        <v>253</v>
      </c>
      <c r="M657" s="569" t="s">
        <v>177</v>
      </c>
      <c r="N657" s="52" t="str">
        <f>IF(AND('331-CT'!$E$7=TH!H657,OR(L657="331",M657="331")),"331",IF(AND(OR(L657="131",M657="131"),H657='131-CT'!$E$7),"131",""))</f>
        <v/>
      </c>
      <c r="O657" s="90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21"/>
      <c r="AC657" s="211" t="str">
        <f>IF(F657=VLOOKUP(F657,NXT!$C$12:$C$305,1,0),"","x")</f>
        <v/>
      </c>
      <c r="AD657" s="560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995</v>
      </c>
      <c r="E658" s="191">
        <v>42004</v>
      </c>
      <c r="F658" s="189" t="s">
        <v>426</v>
      </c>
      <c r="G658" s="468" t="s">
        <v>887</v>
      </c>
      <c r="H658" s="7" t="s">
        <v>917</v>
      </c>
      <c r="I658" s="256"/>
      <c r="J658" s="256"/>
      <c r="K658" s="568">
        <v>400900</v>
      </c>
      <c r="L658" s="569" t="s">
        <v>253</v>
      </c>
      <c r="M658" s="569" t="s">
        <v>367</v>
      </c>
      <c r="N658" s="52" t="str">
        <f>IF(AND('331-CT'!$E$7=TH!H658,OR(L658="331",M658="331")),"331",IF(AND(OR(L658="131",M658="131"),H658='131-CT'!$E$7),"131",""))</f>
        <v/>
      </c>
      <c r="O658" s="90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21"/>
      <c r="AC658" s="560" t="str">
        <f>IF(VLOOKUP(H658,DS_131,1,0)&lt;&gt;"","","x")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996</v>
      </c>
      <c r="E659" s="191">
        <v>42004</v>
      </c>
      <c r="F659" s="189" t="s">
        <v>784</v>
      </c>
      <c r="G659" s="468" t="s">
        <v>888</v>
      </c>
      <c r="H659" s="7" t="s">
        <v>786</v>
      </c>
      <c r="I659" s="257">
        <v>2500</v>
      </c>
      <c r="J659" s="257">
        <v>6500</v>
      </c>
      <c r="K659" s="568">
        <f>ROUND(I659*J659,0)</f>
        <v>16250000</v>
      </c>
      <c r="L659" s="569" t="s">
        <v>253</v>
      </c>
      <c r="M659" s="569" t="s">
        <v>177</v>
      </c>
      <c r="N659" s="52" t="str">
        <f>IF(AND('331-CT'!$E$7=TH!H659,OR(L659="331",M659="331")),"331",IF(AND(OR(L659="131",M659="131"),H659='131-CT'!$E$7),"131",""))</f>
        <v/>
      </c>
      <c r="O659" s="90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21"/>
      <c r="AC659" s="211" t="str">
        <f>IF(F659=VLOOKUP(F659,NXT!$C$12:$C$305,1,0),"","x")</f>
        <v/>
      </c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996</v>
      </c>
      <c r="E660" s="191">
        <v>42004</v>
      </c>
      <c r="F660" s="189" t="s">
        <v>426</v>
      </c>
      <c r="G660" s="468" t="s">
        <v>888</v>
      </c>
      <c r="H660" s="7" t="s">
        <v>786</v>
      </c>
      <c r="I660" s="256"/>
      <c r="J660" s="256"/>
      <c r="K660" s="568">
        <v>1625000</v>
      </c>
      <c r="L660" s="569" t="s">
        <v>253</v>
      </c>
      <c r="M660" s="569" t="s">
        <v>367</v>
      </c>
      <c r="N660" s="52" t="str">
        <f>IF(AND('331-CT'!$E$7=TH!H660,OR(L660="331",M660="331")),"331",IF(AND(OR(L660="131",M660="131"),H660='131-CT'!$E$7),"131",""))</f>
        <v/>
      </c>
      <c r="O660" s="90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21"/>
      <c r="AC660" s="560" t="str">
        <f>IF(VLOOKUP(H660,DS_131,1,0)&lt;&gt;"","","x")</f>
        <v/>
      </c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997</v>
      </c>
      <c r="E661" s="191">
        <v>42004</v>
      </c>
      <c r="F661" s="189" t="s">
        <v>889</v>
      </c>
      <c r="G661" s="468" t="s">
        <v>890</v>
      </c>
      <c r="H661" s="7" t="s">
        <v>475</v>
      </c>
      <c r="I661" s="256">
        <v>2050</v>
      </c>
      <c r="J661" s="256">
        <v>3750</v>
      </c>
      <c r="K661" s="568">
        <f>ROUND(I661*J661,0)</f>
        <v>7687500</v>
      </c>
      <c r="L661" s="569" t="s">
        <v>253</v>
      </c>
      <c r="M661" s="569" t="s">
        <v>177</v>
      </c>
      <c r="N661" s="52" t="str">
        <f>IF(AND('331-CT'!$E$7=TH!H661,OR(L661="331",M661="331")),"331",IF(AND(OR(L661="131",M661="131"),H661='131-CT'!$E$7),"131",""))</f>
        <v/>
      </c>
      <c r="O661" s="90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21"/>
      <c r="AC661" s="211" t="str">
        <f>IF(F661=VLOOKUP(F661,NXT!$C$12:$C$305,1,0),"","x")</f>
        <v/>
      </c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997</v>
      </c>
      <c r="E662" s="191">
        <v>42004</v>
      </c>
      <c r="F662" s="189" t="s">
        <v>891</v>
      </c>
      <c r="G662" s="468" t="s">
        <v>890</v>
      </c>
      <c r="H662" s="7" t="s">
        <v>475</v>
      </c>
      <c r="I662" s="256">
        <v>210</v>
      </c>
      <c r="J662" s="256">
        <v>5000</v>
      </c>
      <c r="K662" s="568">
        <f>ROUND(I662*J662,0)</f>
        <v>1050000</v>
      </c>
      <c r="L662" s="569" t="s">
        <v>253</v>
      </c>
      <c r="M662" s="569" t="s">
        <v>177</v>
      </c>
      <c r="N662" s="52" t="str">
        <f>IF(AND('331-CT'!$E$7=TH!H662,OR(L662="331",M662="331")),"331",IF(AND(OR(L662="131",M662="131"),H662='131-CT'!$E$7),"131",""))</f>
        <v/>
      </c>
      <c r="O662" s="90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21"/>
      <c r="AC662" s="211" t="str">
        <f>IF(F662=VLOOKUP(F662,NXT!$C$12:$C$305,1,0),"","x")</f>
        <v/>
      </c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997</v>
      </c>
      <c r="E663" s="191">
        <v>42004</v>
      </c>
      <c r="F663" s="189" t="s">
        <v>892</v>
      </c>
      <c r="G663" s="468" t="s">
        <v>890</v>
      </c>
      <c r="H663" s="7" t="s">
        <v>475</v>
      </c>
      <c r="I663" s="256">
        <v>130</v>
      </c>
      <c r="J663" s="256">
        <v>5200</v>
      </c>
      <c r="K663" s="568">
        <f>ROUND(I663*J663,0)</f>
        <v>676000</v>
      </c>
      <c r="L663" s="569" t="s">
        <v>253</v>
      </c>
      <c r="M663" s="569" t="s">
        <v>177</v>
      </c>
      <c r="N663" s="52" t="str">
        <f>IF(AND('331-CT'!$E$7=TH!H663,OR(L663="331",M663="331")),"331",IF(AND(OR(L663="131",M663="131"),H663='131-CT'!$E$7),"131",""))</f>
        <v/>
      </c>
      <c r="O663" s="90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21"/>
      <c r="AC663" s="211" t="str">
        <f>IF(F663=VLOOKUP(F663,NXT!$C$12:$C$305,1,0),"","x")</f>
        <v/>
      </c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997</v>
      </c>
      <c r="E664" s="184">
        <v>42004</v>
      </c>
      <c r="F664" s="189" t="s">
        <v>893</v>
      </c>
      <c r="G664" s="570" t="s">
        <v>890</v>
      </c>
      <c r="H664" s="193" t="s">
        <v>475</v>
      </c>
      <c r="I664" s="256">
        <v>170</v>
      </c>
      <c r="J664" s="256">
        <v>4650</v>
      </c>
      <c r="K664" s="568">
        <f>ROUND(I664*J664,0)</f>
        <v>790500</v>
      </c>
      <c r="L664" s="569" t="s">
        <v>253</v>
      </c>
      <c r="M664" s="569" t="s">
        <v>177</v>
      </c>
      <c r="N664" s="52" t="str">
        <f>IF(AND('331-CT'!$E$7=TH!H664,OR(L664="331",M664="331")),"331",IF(AND(OR(L664="131",M664="131"),H664='131-CT'!$E$7),"131",""))</f>
        <v/>
      </c>
      <c r="O664" s="90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21"/>
      <c r="AC664" s="211" t="str">
        <f>IF(F664=VLOOKUP(F664,NXT!$C$12:$C$305,1,0),"","x")</f>
        <v/>
      </c>
      <c r="AD664" s="560"/>
      <c r="AE664" s="560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997</v>
      </c>
      <c r="E665" s="191">
        <v>42004</v>
      </c>
      <c r="F665" s="192" t="s">
        <v>426</v>
      </c>
      <c r="G665" s="468" t="s">
        <v>890</v>
      </c>
      <c r="H665" s="193" t="s">
        <v>475</v>
      </c>
      <c r="I665" s="257"/>
      <c r="J665" s="257"/>
      <c r="K665" s="568">
        <v>1020400</v>
      </c>
      <c r="L665" s="569" t="s">
        <v>253</v>
      </c>
      <c r="M665" s="569" t="s">
        <v>367</v>
      </c>
      <c r="N665" s="52" t="str">
        <f>IF(AND('331-CT'!$E$7=TH!H665,OR(L665="331",M665="331")),"331",IF(AND(OR(L665="131",M665="131"),H665='131-CT'!$E$7),"131",""))</f>
        <v/>
      </c>
      <c r="O665" s="90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21"/>
      <c r="AC665" s="560" t="str">
        <f>IF(VLOOKUP(H665,DS_131,1,0)&lt;&gt;"","","x")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998</v>
      </c>
      <c r="E666" s="191">
        <v>42004</v>
      </c>
      <c r="F666" s="192" t="s">
        <v>894</v>
      </c>
      <c r="G666" s="468" t="s">
        <v>895</v>
      </c>
      <c r="H666" s="193" t="s">
        <v>896</v>
      </c>
      <c r="I666" s="257">
        <v>200</v>
      </c>
      <c r="J666" s="257">
        <v>10600</v>
      </c>
      <c r="K666" s="568">
        <f>ROUND(I666*J666,0)</f>
        <v>2120000</v>
      </c>
      <c r="L666" s="569" t="s">
        <v>253</v>
      </c>
      <c r="M666" s="569" t="s">
        <v>177</v>
      </c>
      <c r="N666" s="52" t="str">
        <f>IF(AND('331-CT'!$E$7=TH!H666,OR(L666="331",M666="331")),"331",IF(AND(OR(L666="131",M666="131"),H666='131-CT'!$E$7),"131",""))</f>
        <v/>
      </c>
      <c r="O666" s="90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21"/>
      <c r="AC666" s="211" t="str">
        <f>IF(F666=VLOOKUP(F666,NXT!$C$12:$C$305,1,0),"","x")</f>
        <v/>
      </c>
      <c r="AD666" s="560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998</v>
      </c>
      <c r="E667" s="191">
        <v>42004</v>
      </c>
      <c r="F667" s="192" t="s">
        <v>897</v>
      </c>
      <c r="G667" s="468" t="s">
        <v>895</v>
      </c>
      <c r="H667" s="193" t="s">
        <v>896</v>
      </c>
      <c r="I667" s="257">
        <v>100</v>
      </c>
      <c r="J667" s="257">
        <v>45000</v>
      </c>
      <c r="K667" s="568">
        <f>ROUND(I667*J667,0)</f>
        <v>4500000</v>
      </c>
      <c r="L667" s="569" t="s">
        <v>253</v>
      </c>
      <c r="M667" s="569" t="s">
        <v>177</v>
      </c>
      <c r="N667" s="52" t="str">
        <f>IF(AND('331-CT'!$E$7=TH!H667,OR(L667="331",M667="331")),"331",IF(AND(OR(L667="131",M667="131"),H667='131-CT'!$E$7),"131",""))</f>
        <v/>
      </c>
      <c r="O667" s="90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21"/>
      <c r="AC667" s="211" t="str">
        <f>IF(F667=VLOOKUP(F667,NXT!$C$12:$C$305,1,0),"","x")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998</v>
      </c>
      <c r="E668" s="191">
        <v>42004</v>
      </c>
      <c r="F668" s="192" t="s">
        <v>898</v>
      </c>
      <c r="G668" s="468" t="s">
        <v>895</v>
      </c>
      <c r="H668" s="193" t="s">
        <v>896</v>
      </c>
      <c r="I668" s="256">
        <v>100</v>
      </c>
      <c r="J668" s="256">
        <v>45300</v>
      </c>
      <c r="K668" s="568">
        <f>ROUND(I668*J668,0)</f>
        <v>4530000</v>
      </c>
      <c r="L668" s="569" t="s">
        <v>253</v>
      </c>
      <c r="M668" s="569" t="s">
        <v>177</v>
      </c>
      <c r="N668" s="52" t="str">
        <f>IF(AND('331-CT'!$E$7=TH!H668,OR(L668="331",M668="331")),"331",IF(AND(OR(L668="131",M668="131"),H668='131-CT'!$E$7),"131",""))</f>
        <v/>
      </c>
      <c r="O668" s="90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21"/>
      <c r="AC668" s="211" t="str">
        <f>IF(F668=VLOOKUP(F668,NXT!$C$12:$C$305,1,0),"","x")</f>
        <v/>
      </c>
      <c r="AD668" s="560"/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998</v>
      </c>
      <c r="E669" s="191">
        <v>42004</v>
      </c>
      <c r="F669" s="192" t="s">
        <v>899</v>
      </c>
      <c r="G669" s="468" t="s">
        <v>895</v>
      </c>
      <c r="H669" s="193" t="s">
        <v>896</v>
      </c>
      <c r="I669" s="256">
        <v>150</v>
      </c>
      <c r="J669" s="256">
        <v>38800</v>
      </c>
      <c r="K669" s="568">
        <f>ROUND(I669*J669,0)</f>
        <v>5820000</v>
      </c>
      <c r="L669" s="569" t="s">
        <v>253</v>
      </c>
      <c r="M669" s="569" t="s">
        <v>177</v>
      </c>
      <c r="N669" s="52" t="str">
        <f>IF(AND('331-CT'!$E$7=TH!H669,OR(L669="331",M669="331")),"331",IF(AND(OR(L669="131",M669="131"),H669='131-CT'!$E$7),"131",""))</f>
        <v/>
      </c>
      <c r="O669" s="90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21"/>
      <c r="AC669" s="211" t="str">
        <f>IF(F669=VLOOKUP(F669,NXT!$C$12:$C$305,1,0),"","x")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998</v>
      </c>
      <c r="E670" s="191">
        <v>42004</v>
      </c>
      <c r="F670" s="192" t="s">
        <v>426</v>
      </c>
      <c r="G670" s="468" t="s">
        <v>895</v>
      </c>
      <c r="H670" s="193" t="s">
        <v>896</v>
      </c>
      <c r="I670" s="256"/>
      <c r="J670" s="256"/>
      <c r="K670" s="568">
        <v>1697000</v>
      </c>
      <c r="L670" s="569" t="s">
        <v>253</v>
      </c>
      <c r="M670" s="569" t="s">
        <v>367</v>
      </c>
      <c r="N670" s="52" t="str">
        <f>IF(AND('331-CT'!$E$7=TH!H670,OR(L670="331",M670="331")),"331",IF(AND(OR(L670="131",M670="131"),H670='131-CT'!$E$7),"131",""))</f>
        <v/>
      </c>
      <c r="O670" s="90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21"/>
      <c r="AC670" s="560" t="str">
        <f>IF(VLOOKUP(H670,DS_131,1,0)&lt;&gt;"","","x")</f>
        <v/>
      </c>
      <c r="AD670" s="560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999</v>
      </c>
      <c r="E671" s="191">
        <v>42004</v>
      </c>
      <c r="F671" s="192" t="s">
        <v>900</v>
      </c>
      <c r="G671" s="468" t="s">
        <v>901</v>
      </c>
      <c r="H671" s="193" t="s">
        <v>460</v>
      </c>
      <c r="I671" s="256">
        <v>1280</v>
      </c>
      <c r="J671" s="256">
        <v>11110</v>
      </c>
      <c r="K671" s="568">
        <f>ROUND(I671*J671,0)</f>
        <v>14220800</v>
      </c>
      <c r="L671" s="569" t="s">
        <v>253</v>
      </c>
      <c r="M671" s="569" t="s">
        <v>177</v>
      </c>
      <c r="N671" s="52" t="str">
        <f>IF(AND('331-CT'!$E$7=TH!H671,OR(L671="331",M671="331")),"331",IF(AND(OR(L671="131",M671="131"),H671='131-CT'!$E$7),"131",""))</f>
        <v/>
      </c>
      <c r="O671" s="90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21"/>
      <c r="AC671" s="211" t="str">
        <f>IF(F671=VLOOKUP(F671,NXT!$C$12:$C$305,1,0),"","x")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999</v>
      </c>
      <c r="E672" s="191">
        <v>42004</v>
      </c>
      <c r="F672" s="192" t="s">
        <v>426</v>
      </c>
      <c r="G672" s="468" t="s">
        <v>901</v>
      </c>
      <c r="H672" s="193" t="s">
        <v>460</v>
      </c>
      <c r="I672" s="257"/>
      <c r="J672" s="257"/>
      <c r="K672" s="568">
        <v>1420800</v>
      </c>
      <c r="L672" s="569" t="s">
        <v>253</v>
      </c>
      <c r="M672" s="569" t="s">
        <v>367</v>
      </c>
      <c r="N672" s="52" t="str">
        <f>IF(AND('331-CT'!$E$7=TH!H672,OR(L672="331",M672="331")),"331",IF(AND(OR(L672="131",M672="131"),H672='131-CT'!$E$7),"131",""))</f>
        <v/>
      </c>
      <c r="O672" s="90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21"/>
      <c r="AC672" s="560" t="str">
        <f>IF(VLOOKUP(H672,DS_131,1,0)&lt;&gt;"","","x")</f>
        <v/>
      </c>
      <c r="AD672" s="560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902</v>
      </c>
      <c r="E673" s="191">
        <v>41645</v>
      </c>
      <c r="F673" s="192" t="s">
        <v>904</v>
      </c>
      <c r="G673" s="468" t="s">
        <v>326</v>
      </c>
      <c r="H673" s="7" t="s">
        <v>917</v>
      </c>
      <c r="I673" s="256"/>
      <c r="J673" s="256"/>
      <c r="K673" s="568">
        <v>8132025</v>
      </c>
      <c r="L673" s="194" t="s">
        <v>24</v>
      </c>
      <c r="M673" s="194" t="s">
        <v>253</v>
      </c>
      <c r="N673" s="52" t="str">
        <f>IF(AND('331-CT'!$E$7=TH!H673,OR(L673="331",M673="331")),"331",IF(AND(OR(L673="131",M673="131"),H673='131-CT'!$E$7),"131",""))</f>
        <v/>
      </c>
      <c r="O673" s="90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2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902</v>
      </c>
      <c r="E674" s="191">
        <v>41647</v>
      </c>
      <c r="F674" s="192" t="s">
        <v>904</v>
      </c>
      <c r="G674" s="468" t="s">
        <v>326</v>
      </c>
      <c r="H674" s="7" t="s">
        <v>916</v>
      </c>
      <c r="I674" s="256"/>
      <c r="J674" s="256"/>
      <c r="K674" s="38">
        <v>11165000</v>
      </c>
      <c r="L674" s="194" t="s">
        <v>24</v>
      </c>
      <c r="M674" s="194" t="s">
        <v>253</v>
      </c>
      <c r="N674" s="52" t="str">
        <f>IF(AND('331-CT'!$E$7=TH!H674,OR(L674="331",M674="331")),"331",IF(AND(OR(L674="131",M674="131"),H674='131-CT'!$E$7),"131",""))</f>
        <v/>
      </c>
      <c r="O674" s="90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21"/>
      <c r="AD674" s="560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902</v>
      </c>
      <c r="E675" s="191">
        <v>41649</v>
      </c>
      <c r="F675" s="192" t="s">
        <v>904</v>
      </c>
      <c r="G675" s="468" t="s">
        <v>326</v>
      </c>
      <c r="H675" s="7"/>
      <c r="I675" s="257"/>
      <c r="J675" s="256"/>
      <c r="K675" s="568">
        <v>8025000</v>
      </c>
      <c r="L675" s="194" t="s">
        <v>24</v>
      </c>
      <c r="M675" s="194" t="s">
        <v>253</v>
      </c>
      <c r="N675" s="52" t="str">
        <f>IF(AND('331-CT'!$E$7=TH!H675,OR(L675="331",M675="331")),"331",IF(AND(OR(L675="131",M675="131"),H675='131-CT'!$E$7),"131",""))</f>
        <v/>
      </c>
      <c r="O675" s="90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2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902</v>
      </c>
      <c r="E676" s="191">
        <v>41656</v>
      </c>
      <c r="F676" s="192" t="s">
        <v>904</v>
      </c>
      <c r="G676" s="468" t="s">
        <v>326</v>
      </c>
      <c r="H676" s="7" t="s">
        <v>919</v>
      </c>
      <c r="I676" s="256"/>
      <c r="J676" s="256"/>
      <c r="K676" s="568">
        <v>13959000</v>
      </c>
      <c r="L676" s="194" t="s">
        <v>24</v>
      </c>
      <c r="M676" s="194" t="s">
        <v>253</v>
      </c>
      <c r="N676" s="52" t="str">
        <f>IF(AND('331-CT'!$E$7=TH!H676,OR(L676="331",M676="331")),"331",IF(AND(OR(L676="131",M676="131"),H676='131-CT'!$E$7),"131",""))</f>
        <v/>
      </c>
      <c r="O676" s="90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2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902</v>
      </c>
      <c r="E677" s="191">
        <v>41659</v>
      </c>
      <c r="F677" s="192" t="s">
        <v>904</v>
      </c>
      <c r="G677" s="468" t="s">
        <v>326</v>
      </c>
      <c r="H677" s="7" t="s">
        <v>919</v>
      </c>
      <c r="I677" s="256"/>
      <c r="J677" s="256"/>
      <c r="K677" s="568">
        <v>13513500</v>
      </c>
      <c r="L677" s="194" t="s">
        <v>24</v>
      </c>
      <c r="M677" s="194" t="s">
        <v>253</v>
      </c>
      <c r="N677" s="52" t="str">
        <f>IF(AND('331-CT'!$E$7=TH!H677,OR(L677="331",M677="331")),"331",IF(AND(OR(L677="131",M677="131"),H677='131-CT'!$E$7),"131",""))</f>
        <v/>
      </c>
      <c r="O677" s="90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2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902</v>
      </c>
      <c r="E678" s="191">
        <v>41659</v>
      </c>
      <c r="F678" s="192" t="s">
        <v>904</v>
      </c>
      <c r="G678" s="468" t="s">
        <v>326</v>
      </c>
      <c r="H678" s="7" t="s">
        <v>917</v>
      </c>
      <c r="I678" s="256"/>
      <c r="J678" s="256"/>
      <c r="K678" s="568">
        <v>17257460</v>
      </c>
      <c r="L678" s="194" t="s">
        <v>24</v>
      </c>
      <c r="M678" s="194" t="s">
        <v>253</v>
      </c>
      <c r="N678" s="52" t="str">
        <f>IF(AND('331-CT'!$E$7=TH!H678,OR(L678="331",M678="331")),"331",IF(AND(OR(L678="131",M678="131"),H678='131-CT'!$E$7),"131",""))</f>
        <v/>
      </c>
      <c r="O678" s="90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2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902</v>
      </c>
      <c r="E679" s="191">
        <v>41664</v>
      </c>
      <c r="F679" s="192" t="s">
        <v>905</v>
      </c>
      <c r="G679" s="468" t="s">
        <v>326</v>
      </c>
      <c r="H679" s="7"/>
      <c r="I679" s="256"/>
      <c r="J679" s="256"/>
      <c r="K679" s="568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90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2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902</v>
      </c>
      <c r="E680" s="191">
        <v>41660</v>
      </c>
      <c r="F680" s="192" t="s">
        <v>904</v>
      </c>
      <c r="G680" s="468" t="s">
        <v>326</v>
      </c>
      <c r="H680" s="7" t="s">
        <v>918</v>
      </c>
      <c r="I680" s="256"/>
      <c r="J680" s="256"/>
      <c r="K680" s="568">
        <v>13690600</v>
      </c>
      <c r="L680" s="194" t="s">
        <v>24</v>
      </c>
      <c r="M680" s="194" t="s">
        <v>253</v>
      </c>
      <c r="N680" s="52" t="str">
        <f>IF(AND('331-CT'!$E$7=TH!H680,OR(L680="331",M680="331")),"331",IF(AND(OR(L680="131",M680="131"),H680='131-CT'!$E$7),"131",""))</f>
        <v/>
      </c>
      <c r="O680" s="90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2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902</v>
      </c>
      <c r="E681" s="191">
        <v>41695</v>
      </c>
      <c r="F681" s="192" t="s">
        <v>905</v>
      </c>
      <c r="G681" s="468" t="s">
        <v>326</v>
      </c>
      <c r="H681" s="193"/>
      <c r="I681" s="256"/>
      <c r="J681" s="256"/>
      <c r="K681" s="568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90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21"/>
      <c r="AC681" s="560"/>
      <c r="AD681" s="560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909</v>
      </c>
      <c r="E682" s="191">
        <v>41649</v>
      </c>
      <c r="F682" s="192" t="s">
        <v>906</v>
      </c>
      <c r="G682" s="468" t="s">
        <v>326</v>
      </c>
      <c r="H682" s="193" t="s">
        <v>907</v>
      </c>
      <c r="I682" s="256"/>
      <c r="J682" s="256"/>
      <c r="K682" s="568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90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>x</v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21"/>
      <c r="AD682" s="629"/>
      <c r="AE682" s="629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909</v>
      </c>
      <c r="E683" s="191">
        <v>41660</v>
      </c>
      <c r="F683" s="192" t="s">
        <v>906</v>
      </c>
      <c r="G683" s="468" t="s">
        <v>326</v>
      </c>
      <c r="H683" s="193" t="s">
        <v>907</v>
      </c>
      <c r="I683" s="256"/>
      <c r="J683" s="256"/>
      <c r="K683" s="568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90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>x</v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21"/>
      <c r="AC683" s="560"/>
      <c r="AD683" s="560"/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902</v>
      </c>
      <c r="E684" s="191">
        <v>41701</v>
      </c>
      <c r="F684" s="192" t="s">
        <v>904</v>
      </c>
      <c r="G684" s="468" t="s">
        <v>326</v>
      </c>
      <c r="H684" s="7" t="s">
        <v>919</v>
      </c>
      <c r="I684" s="256"/>
      <c r="J684" s="256"/>
      <c r="K684" s="568">
        <v>24999975</v>
      </c>
      <c r="L684" s="194" t="s">
        <v>24</v>
      </c>
      <c r="M684" s="194" t="s">
        <v>253</v>
      </c>
      <c r="N684" s="52" t="str">
        <f>IF(AND('331-CT'!$E$7=TH!H684,OR(L684="331",M684="331")),"331",IF(AND(OR(L684="131",M684="131"),H684='131-CT'!$E$7),"131",""))</f>
        <v/>
      </c>
      <c r="O684" s="90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21"/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902</v>
      </c>
      <c r="E685" s="191">
        <v>41701</v>
      </c>
      <c r="F685" s="192" t="s">
        <v>904</v>
      </c>
      <c r="G685" s="468" t="s">
        <v>326</v>
      </c>
      <c r="H685" s="7" t="s">
        <v>916</v>
      </c>
      <c r="I685" s="256"/>
      <c r="J685" s="256"/>
      <c r="K685" s="568">
        <v>10941700</v>
      </c>
      <c r="L685" s="194" t="s">
        <v>24</v>
      </c>
      <c r="M685" s="194" t="s">
        <v>253</v>
      </c>
      <c r="N685" s="52" t="str">
        <f>IF(AND('331-CT'!$E$7=TH!H685,OR(L685="331",M685="331")),"331",IF(AND(OR(L685="131",M685="131"),H685='131-CT'!$E$7),"131",""))</f>
        <v/>
      </c>
      <c r="O685" s="90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21"/>
      <c r="AC685" s="560"/>
      <c r="AD685" s="560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902</v>
      </c>
      <c r="E686" s="191">
        <v>41723</v>
      </c>
      <c r="F686" s="192" t="s">
        <v>904</v>
      </c>
      <c r="G686" s="468" t="s">
        <v>326</v>
      </c>
      <c r="H686" s="7" t="s">
        <v>917</v>
      </c>
      <c r="I686" s="256"/>
      <c r="J686" s="256"/>
      <c r="K686" s="568">
        <v>15065490</v>
      </c>
      <c r="L686" s="194" t="s">
        <v>24</v>
      </c>
      <c r="M686" s="194" t="s">
        <v>253</v>
      </c>
      <c r="N686" s="52" t="str">
        <f>IF(AND('331-CT'!$E$7=TH!H686,OR(L686="331",M686="331")),"331",IF(AND(OR(L686="131",M686="131"),H686='131-CT'!$E$7),"131",""))</f>
        <v/>
      </c>
      <c r="O686" s="90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2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902</v>
      </c>
      <c r="E687" s="191">
        <v>41723</v>
      </c>
      <c r="F687" s="192" t="s">
        <v>905</v>
      </c>
      <c r="G687" s="468" t="s">
        <v>326</v>
      </c>
      <c r="H687" s="193"/>
      <c r="I687" s="256"/>
      <c r="J687" s="256"/>
      <c r="K687" s="568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90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21"/>
      <c r="AC687" s="560"/>
      <c r="AD687" s="560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909</v>
      </c>
      <c r="E688" s="191">
        <v>41702</v>
      </c>
      <c r="F688" s="192" t="s">
        <v>906</v>
      </c>
      <c r="G688" s="468" t="s">
        <v>326</v>
      </c>
      <c r="H688" s="193" t="s">
        <v>907</v>
      </c>
      <c r="I688" s="256"/>
      <c r="J688" s="256"/>
      <c r="K688" s="568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90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>x</v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21"/>
    </row>
    <row r="689" spans="1:30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909</v>
      </c>
      <c r="E689" s="191">
        <v>41729</v>
      </c>
      <c r="F689" s="192" t="s">
        <v>903</v>
      </c>
      <c r="G689" s="468" t="s">
        <v>326</v>
      </c>
      <c r="H689" s="193"/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90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21"/>
      <c r="AD689" s="560"/>
    </row>
    <row r="690" spans="1:30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909</v>
      </c>
      <c r="E690" s="191">
        <v>41729</v>
      </c>
      <c r="F690" s="189" t="s">
        <v>908</v>
      </c>
      <c r="G690" s="468" t="s">
        <v>326</v>
      </c>
      <c r="H690" s="7"/>
      <c r="I690" s="256"/>
      <c r="J690" s="256"/>
      <c r="K690" s="568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90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>x</v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21"/>
    </row>
    <row r="691" spans="1:30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902</v>
      </c>
      <c r="E691" s="191">
        <v>41732</v>
      </c>
      <c r="F691" s="192" t="s">
        <v>904</v>
      </c>
      <c r="G691" s="468" t="s">
        <v>326</v>
      </c>
      <c r="H691" s="7" t="s">
        <v>916</v>
      </c>
      <c r="I691" s="256"/>
      <c r="J691" s="256"/>
      <c r="K691" s="568">
        <v>11165000</v>
      </c>
      <c r="L691" s="39" t="s">
        <v>24</v>
      </c>
      <c r="M691" s="194" t="s">
        <v>253</v>
      </c>
      <c r="N691" s="52" t="str">
        <f>IF(AND('331-CT'!$E$7=TH!H691,OR(L691="331",M691="331")),"331",IF(AND(OR(L691="131",M691="131"),H691='131-CT'!$E$7),"131",""))</f>
        <v/>
      </c>
      <c r="O691" s="90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21"/>
    </row>
    <row r="692" spans="1:30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902</v>
      </c>
      <c r="E692" s="191">
        <v>41734</v>
      </c>
      <c r="F692" s="192" t="s">
        <v>904</v>
      </c>
      <c r="G692" s="468" t="s">
        <v>326</v>
      </c>
      <c r="H692" s="7" t="s">
        <v>460</v>
      </c>
      <c r="I692" s="256"/>
      <c r="J692" s="256"/>
      <c r="K692" s="568">
        <v>9450000</v>
      </c>
      <c r="L692" s="39" t="s">
        <v>24</v>
      </c>
      <c r="M692" s="194" t="s">
        <v>253</v>
      </c>
      <c r="N692" s="52" t="str">
        <f>IF(AND('331-CT'!$E$7=TH!H692,OR(L692="331",M692="331")),"331",IF(AND(OR(L692="131",M692="131"),H692='131-CT'!$E$7),"131",""))</f>
        <v/>
      </c>
      <c r="O692" s="90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21"/>
    </row>
    <row r="693" spans="1:30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902</v>
      </c>
      <c r="E693" s="191">
        <v>41736</v>
      </c>
      <c r="F693" s="192" t="s">
        <v>904</v>
      </c>
      <c r="G693" s="468" t="s">
        <v>326</v>
      </c>
      <c r="H693" s="7" t="s">
        <v>919</v>
      </c>
      <c r="I693" s="256"/>
      <c r="J693" s="256"/>
      <c r="K693" s="568">
        <v>13200000</v>
      </c>
      <c r="L693" s="39" t="s">
        <v>24</v>
      </c>
      <c r="M693" s="194" t="s">
        <v>253</v>
      </c>
      <c r="N693" s="52" t="str">
        <f>IF(AND('331-CT'!$E$7=TH!H693,OR(L693="331",M693="331")),"331",IF(AND(OR(L693="131",M693="131"),H693='131-CT'!$E$7),"131",""))</f>
        <v/>
      </c>
      <c r="O693" s="90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21"/>
    </row>
    <row r="694" spans="1:30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902</v>
      </c>
      <c r="E694" s="191">
        <v>41740</v>
      </c>
      <c r="F694" s="192" t="s">
        <v>904</v>
      </c>
      <c r="G694" s="468" t="s">
        <v>326</v>
      </c>
      <c r="H694" s="7" t="s">
        <v>918</v>
      </c>
      <c r="I694" s="256"/>
      <c r="J694" s="256"/>
      <c r="K694" s="568">
        <v>8367370</v>
      </c>
      <c r="L694" s="39" t="s">
        <v>24</v>
      </c>
      <c r="M694" s="194" t="s">
        <v>253</v>
      </c>
      <c r="N694" s="52" t="str">
        <f>IF(AND('331-CT'!$E$7=TH!H694,OR(L694="331",M694="331")),"331",IF(AND(OR(L694="131",M694="131"),H694='131-CT'!$E$7),"131",""))</f>
        <v/>
      </c>
      <c r="O694" s="90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21"/>
    </row>
    <row r="695" spans="1:30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902</v>
      </c>
      <c r="E695" s="191">
        <v>41746</v>
      </c>
      <c r="F695" s="192" t="s">
        <v>904</v>
      </c>
      <c r="G695" s="468" t="s">
        <v>326</v>
      </c>
      <c r="H695" s="7" t="s">
        <v>496</v>
      </c>
      <c r="I695" s="256"/>
      <c r="J695" s="256"/>
      <c r="K695" s="568">
        <v>9402800</v>
      </c>
      <c r="L695" s="39" t="s">
        <v>24</v>
      </c>
      <c r="M695" s="194" t="s">
        <v>253</v>
      </c>
      <c r="N695" s="52" t="str">
        <f>IF(AND('331-CT'!$E$7=TH!H695,OR(L695="331",M695="331")),"331",IF(AND(OR(L695="131",M695="131"),H695='131-CT'!$E$7),"131",""))</f>
        <v/>
      </c>
      <c r="O695" s="90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21"/>
    </row>
    <row r="696" spans="1:30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902</v>
      </c>
      <c r="E696" s="191">
        <v>41751</v>
      </c>
      <c r="F696" s="192" t="s">
        <v>904</v>
      </c>
      <c r="G696" s="468" t="s">
        <v>326</v>
      </c>
      <c r="H696" s="7" t="s">
        <v>917</v>
      </c>
      <c r="I696" s="257"/>
      <c r="J696" s="257"/>
      <c r="K696" s="568">
        <v>14317160</v>
      </c>
      <c r="L696" s="39" t="s">
        <v>24</v>
      </c>
      <c r="M696" s="194" t="s">
        <v>253</v>
      </c>
      <c r="N696" s="52" t="str">
        <f>IF(AND('331-CT'!$E$7=TH!H696,OR(L696="331",M696="331")),"331",IF(AND(OR(L696="131",M696="131"),H696='131-CT'!$E$7),"131",""))</f>
        <v/>
      </c>
      <c r="O696" s="90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21"/>
    </row>
    <row r="697" spans="1:30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902</v>
      </c>
      <c r="E697" s="191">
        <v>41753</v>
      </c>
      <c r="F697" s="192" t="s">
        <v>904</v>
      </c>
      <c r="G697" s="468" t="s">
        <v>326</v>
      </c>
      <c r="H697" s="7" t="s">
        <v>916</v>
      </c>
      <c r="I697" s="256"/>
      <c r="J697" s="256"/>
      <c r="K697" s="568">
        <v>11165000</v>
      </c>
      <c r="L697" s="39" t="s">
        <v>24</v>
      </c>
      <c r="M697" s="194" t="s">
        <v>253</v>
      </c>
      <c r="N697" s="52" t="str">
        <f>IF(AND('331-CT'!$E$7=TH!H697,OR(L697="331",M697="331")),"331",IF(AND(OR(L697="131",M697="131"),H697='131-CT'!$E$7),"131",""))</f>
        <v/>
      </c>
      <c r="O697" s="90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21"/>
    </row>
    <row r="698" spans="1:30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902</v>
      </c>
      <c r="E698" s="191">
        <v>41754</v>
      </c>
      <c r="F698" s="192" t="s">
        <v>905</v>
      </c>
      <c r="G698" s="468" t="s">
        <v>326</v>
      </c>
      <c r="H698" s="193"/>
      <c r="I698" s="256"/>
      <c r="J698" s="256"/>
      <c r="K698" s="568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90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21"/>
    </row>
    <row r="699" spans="1:30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902</v>
      </c>
      <c r="E699" s="191">
        <v>41757</v>
      </c>
      <c r="F699" s="192" t="s">
        <v>904</v>
      </c>
      <c r="G699" s="468" t="s">
        <v>326</v>
      </c>
      <c r="H699" s="45" t="s">
        <v>475</v>
      </c>
      <c r="I699" s="256"/>
      <c r="J699" s="256"/>
      <c r="K699" s="568">
        <v>6071780</v>
      </c>
      <c r="L699" s="39" t="s">
        <v>24</v>
      </c>
      <c r="M699" s="194" t="s">
        <v>253</v>
      </c>
      <c r="N699" s="52" t="str">
        <f>IF(AND('331-CT'!$E$7=TH!H699,OR(L699="331",M699="331")),"331",IF(AND(OR(L699="131",M699="131"),H699='131-CT'!$E$7),"131",""))</f>
        <v/>
      </c>
      <c r="O699" s="90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21"/>
    </row>
    <row r="700" spans="1:30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909</v>
      </c>
      <c r="E700" s="191">
        <v>41731</v>
      </c>
      <c r="F700" s="192" t="s">
        <v>910</v>
      </c>
      <c r="G700" s="468" t="s">
        <v>326</v>
      </c>
      <c r="H700" s="193"/>
      <c r="I700" s="256"/>
      <c r="J700" s="256"/>
      <c r="K700" s="568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90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W700" s="52" t="str">
        <f>IF(OR(TH!L700=TH!$W$7,M700=TH!$W$7),"x","")</f>
        <v>x</v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21"/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909</v>
      </c>
      <c r="E701" s="191">
        <v>41743</v>
      </c>
      <c r="F701" s="192" t="s">
        <v>906</v>
      </c>
      <c r="G701" s="468" t="s">
        <v>326</v>
      </c>
      <c r="H701" s="193" t="s">
        <v>907</v>
      </c>
      <c r="I701" s="256"/>
      <c r="J701" s="256"/>
      <c r="K701" s="568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90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>x</v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21"/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909</v>
      </c>
      <c r="E702" s="191">
        <v>41751</v>
      </c>
      <c r="F702" s="192" t="s">
        <v>906</v>
      </c>
      <c r="G702" s="468" t="s">
        <v>326</v>
      </c>
      <c r="H702" s="193" t="s">
        <v>907</v>
      </c>
      <c r="I702" s="256"/>
      <c r="J702" s="256"/>
      <c r="K702" s="568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90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>x</v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21"/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902</v>
      </c>
      <c r="E703" s="191">
        <v>41767</v>
      </c>
      <c r="F703" s="192" t="s">
        <v>904</v>
      </c>
      <c r="G703" s="468" t="s">
        <v>326</v>
      </c>
      <c r="H703" s="7" t="s">
        <v>916</v>
      </c>
      <c r="I703" s="256"/>
      <c r="J703" s="256"/>
      <c r="K703" s="568">
        <v>11165000</v>
      </c>
      <c r="L703" s="194" t="s">
        <v>24</v>
      </c>
      <c r="M703" s="194" t="s">
        <v>253</v>
      </c>
      <c r="N703" s="52" t="str">
        <f>IF(AND('331-CT'!$E$7=TH!H703,OR(L703="331",M703="331")),"331",IF(AND(OR(L703="131",M703="131"),H703='131-CT'!$E$7),"131",""))</f>
        <v/>
      </c>
      <c r="O703" s="90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21"/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902</v>
      </c>
      <c r="E704" s="191">
        <v>41771</v>
      </c>
      <c r="F704" s="192" t="s">
        <v>904</v>
      </c>
      <c r="G704" s="468" t="s">
        <v>326</v>
      </c>
      <c r="H704" s="7" t="s">
        <v>918</v>
      </c>
      <c r="I704" s="258"/>
      <c r="J704" s="258"/>
      <c r="K704" s="568">
        <v>13571800</v>
      </c>
      <c r="L704" s="194" t="s">
        <v>24</v>
      </c>
      <c r="M704" s="194" t="s">
        <v>253</v>
      </c>
      <c r="N704" s="52" t="str">
        <f>IF(AND('331-CT'!$E$7=TH!H704,OR(L704="331",M704="331")),"331",IF(AND(OR(L704="131",M704="131"),H704='131-CT'!$E$7),"131",""))</f>
        <v/>
      </c>
      <c r="O704" s="90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21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902</v>
      </c>
      <c r="E705" s="191">
        <v>41774</v>
      </c>
      <c r="F705" s="192" t="s">
        <v>904</v>
      </c>
      <c r="G705" s="468" t="s">
        <v>326</v>
      </c>
      <c r="H705" s="7" t="s">
        <v>917</v>
      </c>
      <c r="I705" s="256"/>
      <c r="J705" s="256"/>
      <c r="K705" s="38">
        <v>14845160</v>
      </c>
      <c r="L705" s="194" t="s">
        <v>24</v>
      </c>
      <c r="M705" s="194" t="s">
        <v>253</v>
      </c>
      <c r="N705" s="52" t="str">
        <f>IF(AND('331-CT'!$E$7=TH!H705,OR(L705="331",M705="331")),"331",IF(AND(OR(L705="131",M705="131"),H705='131-CT'!$E$7),"131",""))</f>
        <v/>
      </c>
      <c r="O705" s="90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21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902</v>
      </c>
      <c r="E706" s="191">
        <v>41783</v>
      </c>
      <c r="F706" s="192" t="s">
        <v>905</v>
      </c>
      <c r="G706" s="468" t="s">
        <v>326</v>
      </c>
      <c r="H706" s="193"/>
      <c r="I706" s="258"/>
      <c r="J706" s="258"/>
      <c r="K706" s="568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90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21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902</v>
      </c>
      <c r="E707" s="191">
        <v>41785</v>
      </c>
      <c r="F707" s="192" t="s">
        <v>904</v>
      </c>
      <c r="G707" s="468" t="s">
        <v>326</v>
      </c>
      <c r="H707" s="7" t="s">
        <v>917</v>
      </c>
      <c r="I707" s="256"/>
      <c r="J707" s="256"/>
      <c r="K707" s="568">
        <v>16593170</v>
      </c>
      <c r="L707" s="194" t="s">
        <v>24</v>
      </c>
      <c r="M707" s="194" t="s">
        <v>253</v>
      </c>
      <c r="N707" s="52" t="str">
        <f>IF(AND('331-CT'!$E$7=TH!H707,OR(L707="331",M707="331")),"331",IF(AND(OR(L707="131",M707="131"),H707='131-CT'!$E$7),"131",""))</f>
        <v/>
      </c>
      <c r="O707" s="90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21"/>
      <c r="AE707" s="560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902</v>
      </c>
      <c r="E708" s="191">
        <v>41801</v>
      </c>
      <c r="F708" s="192" t="s">
        <v>904</v>
      </c>
      <c r="G708" s="468" t="s">
        <v>326</v>
      </c>
      <c r="H708" s="7" t="s">
        <v>916</v>
      </c>
      <c r="I708" s="256"/>
      <c r="J708" s="256"/>
      <c r="K708" s="568">
        <v>22330000</v>
      </c>
      <c r="L708" s="194" t="s">
        <v>24</v>
      </c>
      <c r="M708" s="194" t="s">
        <v>253</v>
      </c>
      <c r="N708" s="52" t="str">
        <f>IF(AND('331-CT'!$E$7=TH!H708,OR(L708="331",M708="331")),"331",IF(AND(OR(L708="131",M708="131"),H708='131-CT'!$E$7),"131",""))</f>
        <v/>
      </c>
      <c r="O708" s="90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21"/>
      <c r="AE708" s="560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902</v>
      </c>
      <c r="E709" s="191">
        <v>41806</v>
      </c>
      <c r="F709" s="192" t="s">
        <v>904</v>
      </c>
      <c r="G709" s="468" t="s">
        <v>326</v>
      </c>
      <c r="H709" s="7" t="s">
        <v>918</v>
      </c>
      <c r="I709" s="256"/>
      <c r="J709" s="256"/>
      <c r="K709" s="568">
        <v>13006400</v>
      </c>
      <c r="L709" s="194" t="s">
        <v>24</v>
      </c>
      <c r="M709" s="194" t="s">
        <v>253</v>
      </c>
      <c r="N709" s="52" t="str">
        <f>IF(AND('331-CT'!$E$7=TH!H709,OR(L709="331",M709="331")),"331",IF(AND(OR(L709="131",M709="131"),H709='131-CT'!$E$7),"131",""))</f>
        <v/>
      </c>
      <c r="O709" s="90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21"/>
      <c r="AE709" s="560"/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902</v>
      </c>
      <c r="E710" s="191">
        <v>41810</v>
      </c>
      <c r="F710" s="192" t="s">
        <v>911</v>
      </c>
      <c r="G710" s="468" t="s">
        <v>326</v>
      </c>
      <c r="H710" s="193" t="s">
        <v>907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90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>x</v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21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902</v>
      </c>
      <c r="E711" s="751">
        <v>41810</v>
      </c>
      <c r="F711" s="192" t="s">
        <v>904</v>
      </c>
      <c r="G711" s="468" t="s">
        <v>326</v>
      </c>
      <c r="H711" s="7" t="s">
        <v>917</v>
      </c>
      <c r="I711" s="259"/>
      <c r="J711" s="259"/>
      <c r="K711" s="568">
        <v>18826500</v>
      </c>
      <c r="L711" s="194" t="s">
        <v>24</v>
      </c>
      <c r="M711" s="194" t="s">
        <v>253</v>
      </c>
      <c r="N711" s="52" t="str">
        <f>IF(AND('331-CT'!$E$7=TH!H711,OR(L711="331",M711="331")),"331",IF(AND(OR(L711="131",M711="131"),H711='131-CT'!$E$7),"131",""))</f>
        <v/>
      </c>
      <c r="O711" s="90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21"/>
      <c r="AE711" s="560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902</v>
      </c>
      <c r="E712" s="751">
        <v>41813</v>
      </c>
      <c r="F712" s="192" t="s">
        <v>912</v>
      </c>
      <c r="G712" s="468" t="s">
        <v>326</v>
      </c>
      <c r="H712" s="7"/>
      <c r="I712" s="256"/>
      <c r="J712" s="256"/>
      <c r="K712" s="568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90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21"/>
      <c r="AE712" s="560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902</v>
      </c>
      <c r="E713" s="751">
        <v>41814</v>
      </c>
      <c r="F713" s="192" t="s">
        <v>904</v>
      </c>
      <c r="G713" s="468" t="s">
        <v>326</v>
      </c>
      <c r="H713" s="45" t="s">
        <v>475</v>
      </c>
      <c r="I713" s="256"/>
      <c r="J713" s="256"/>
      <c r="K713" s="38">
        <v>7656000</v>
      </c>
      <c r="L713" s="194" t="s">
        <v>24</v>
      </c>
      <c r="M713" s="194" t="s">
        <v>253</v>
      </c>
      <c r="N713" s="52" t="str">
        <f>IF(AND('331-CT'!$E$7=TH!H713,OR(L713="331",M713="331")),"331",IF(AND(OR(L713="131",M713="131"),H713='131-CT'!$E$7),"131",""))</f>
        <v/>
      </c>
      <c r="O713" s="90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21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902</v>
      </c>
      <c r="E714" s="751">
        <v>41814</v>
      </c>
      <c r="F714" s="192" t="s">
        <v>911</v>
      </c>
      <c r="G714" s="468" t="s">
        <v>326</v>
      </c>
      <c r="H714" s="193" t="s">
        <v>907</v>
      </c>
      <c r="I714" s="256"/>
      <c r="J714" s="256"/>
      <c r="K714" s="568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90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21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902</v>
      </c>
      <c r="E715" s="751">
        <v>41815</v>
      </c>
      <c r="F715" s="192" t="s">
        <v>905</v>
      </c>
      <c r="G715" s="468" t="s">
        <v>326</v>
      </c>
      <c r="H715" s="7"/>
      <c r="I715" s="256"/>
      <c r="J715" s="256"/>
      <c r="K715" s="568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90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21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902</v>
      </c>
      <c r="E716" s="751">
        <v>41820</v>
      </c>
      <c r="F716" s="192" t="s">
        <v>904</v>
      </c>
      <c r="G716" s="468" t="s">
        <v>326</v>
      </c>
      <c r="H716" s="7" t="s">
        <v>918</v>
      </c>
      <c r="I716" s="256"/>
      <c r="J716" s="256"/>
      <c r="K716" s="568">
        <v>6664075</v>
      </c>
      <c r="L716" s="194" t="s">
        <v>24</v>
      </c>
      <c r="M716" s="194" t="s">
        <v>253</v>
      </c>
      <c r="N716" s="52" t="str">
        <f>IF(AND('331-CT'!$E$7=TH!H716,OR(L716="331",M716="331")),"331",IF(AND(OR(L716="131",M716="131"),H716='131-CT'!$E$7),"131",""))</f>
        <v/>
      </c>
      <c r="O716" s="90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21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909</v>
      </c>
      <c r="E717" s="751">
        <v>41764</v>
      </c>
      <c r="F717" s="192" t="s">
        <v>906</v>
      </c>
      <c r="G717" s="468" t="s">
        <v>326</v>
      </c>
      <c r="H717" s="193" t="s">
        <v>907</v>
      </c>
      <c r="I717" s="256"/>
      <c r="J717" s="256"/>
      <c r="K717" s="568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90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>x</v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21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909</v>
      </c>
      <c r="E718" s="751">
        <v>41773</v>
      </c>
      <c r="F718" s="192" t="s">
        <v>906</v>
      </c>
      <c r="G718" s="468" t="s">
        <v>326</v>
      </c>
      <c r="H718" s="193" t="s">
        <v>907</v>
      </c>
      <c r="I718" s="256"/>
      <c r="J718" s="256"/>
      <c r="K718" s="568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90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>x</v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2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909</v>
      </c>
      <c r="E719" s="751">
        <v>41779</v>
      </c>
      <c r="F719" s="192" t="s">
        <v>906</v>
      </c>
      <c r="G719" s="468" t="s">
        <v>326</v>
      </c>
      <c r="H719" s="193" t="s">
        <v>907</v>
      </c>
      <c r="I719" s="256"/>
      <c r="J719" s="256"/>
      <c r="K719" s="568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90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>x</v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21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909</v>
      </c>
      <c r="E720" s="751">
        <v>41788</v>
      </c>
      <c r="F720" s="192" t="s">
        <v>906</v>
      </c>
      <c r="G720" s="468" t="s">
        <v>326</v>
      </c>
      <c r="H720" s="193" t="s">
        <v>907</v>
      </c>
      <c r="I720" s="256"/>
      <c r="J720" s="256"/>
      <c r="K720" s="568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90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>x</v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21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909</v>
      </c>
      <c r="E721" s="751">
        <v>41810</v>
      </c>
      <c r="F721" s="192" t="s">
        <v>906</v>
      </c>
      <c r="G721" s="468" t="s">
        <v>326</v>
      </c>
      <c r="H721" s="193" t="s">
        <v>907</v>
      </c>
      <c r="I721" s="256"/>
      <c r="J721" s="256"/>
      <c r="K721" s="568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90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>x</v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21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909</v>
      </c>
      <c r="E722" s="751">
        <v>41810</v>
      </c>
      <c r="F722" s="189" t="s">
        <v>913</v>
      </c>
      <c r="G722" s="468" t="s">
        <v>326</v>
      </c>
      <c r="H722" s="7"/>
      <c r="I722" s="256"/>
      <c r="J722" s="256"/>
      <c r="K722" s="568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90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21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909</v>
      </c>
      <c r="E723" s="751">
        <v>41810</v>
      </c>
      <c r="F723" s="189" t="s">
        <v>913</v>
      </c>
      <c r="G723" s="468" t="s">
        <v>326</v>
      </c>
      <c r="H723" s="7"/>
      <c r="I723" s="256"/>
      <c r="J723" s="256"/>
      <c r="K723" s="568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90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21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909</v>
      </c>
      <c r="E724" s="751">
        <v>41810</v>
      </c>
      <c r="F724" s="189" t="s">
        <v>910</v>
      </c>
      <c r="G724" s="468" t="s">
        <v>326</v>
      </c>
      <c r="H724" s="7"/>
      <c r="I724" s="256"/>
      <c r="J724" s="256"/>
      <c r="K724" s="568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90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W724" s="52" t="str">
        <f>IF(OR(TH!L724=TH!$W$7,M724=TH!$W$7),"x","")</f>
        <v>x</v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21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909</v>
      </c>
      <c r="E725" s="751">
        <v>41810</v>
      </c>
      <c r="F725" s="189" t="s">
        <v>910</v>
      </c>
      <c r="G725" s="468" t="s">
        <v>326</v>
      </c>
      <c r="H725" s="7"/>
      <c r="I725" s="256"/>
      <c r="J725" s="256"/>
      <c r="K725" s="568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90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W725" s="52" t="str">
        <f>IF(OR(TH!L725=TH!$W$7,M725=TH!$W$7),"x","")</f>
        <v>x</v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21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909</v>
      </c>
      <c r="E726" s="751">
        <v>41814</v>
      </c>
      <c r="F726" s="192" t="s">
        <v>906</v>
      </c>
      <c r="G726" s="468" t="s">
        <v>326</v>
      </c>
      <c r="H726" s="193" t="s">
        <v>907</v>
      </c>
      <c r="I726" s="256"/>
      <c r="J726" s="256"/>
      <c r="K726" s="568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90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>x</v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21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909</v>
      </c>
      <c r="E727" s="751">
        <v>41814</v>
      </c>
      <c r="F727" s="192" t="s">
        <v>903</v>
      </c>
      <c r="G727" s="468" t="s">
        <v>326</v>
      </c>
      <c r="H727" s="7"/>
      <c r="I727" s="256"/>
      <c r="J727" s="256"/>
      <c r="K727" s="568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90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21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909</v>
      </c>
      <c r="E728" s="751">
        <v>41814</v>
      </c>
      <c r="F728" s="189" t="s">
        <v>910</v>
      </c>
      <c r="G728" s="468" t="s">
        <v>326</v>
      </c>
      <c r="H728" s="7"/>
      <c r="I728" s="256"/>
      <c r="J728" s="256"/>
      <c r="K728" s="568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90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W728" s="52" t="str">
        <f>IF(OR(TH!L728=TH!$W$7,M728=TH!$W$7),"x","")</f>
        <v>x</v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21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909</v>
      </c>
      <c r="E729" s="751">
        <v>41814</v>
      </c>
      <c r="F729" s="189" t="s">
        <v>910</v>
      </c>
      <c r="G729" s="468" t="s">
        <v>326</v>
      </c>
      <c r="H729" s="7"/>
      <c r="I729" s="256"/>
      <c r="J729" s="256"/>
      <c r="K729" s="568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90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W729" s="52" t="str">
        <f>IF(OR(TH!L729=TH!$W$7,M729=TH!$W$7),"x","")</f>
        <v>x</v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21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909</v>
      </c>
      <c r="E730" s="751">
        <v>41814</v>
      </c>
      <c r="F730" s="189" t="s">
        <v>914</v>
      </c>
      <c r="G730" s="468" t="s">
        <v>326</v>
      </c>
      <c r="H730" s="7"/>
      <c r="I730" s="256"/>
      <c r="J730" s="256"/>
      <c r="K730" s="568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90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W730" s="52" t="str">
        <f>IF(OR(TH!L730=TH!$W$7,M730=TH!$W$7),"x","")</f>
        <v>x</v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21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902</v>
      </c>
      <c r="E731" s="184">
        <v>41829</v>
      </c>
      <c r="F731" s="192" t="s">
        <v>911</v>
      </c>
      <c r="G731" s="468" t="s">
        <v>326</v>
      </c>
      <c r="H731" s="193" t="s">
        <v>907</v>
      </c>
      <c r="I731" s="256"/>
      <c r="J731" s="256"/>
      <c r="K731" s="568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902" t="str">
        <f>IF(AND('341-CT'!$E$9=H731,OR(LEFT(L731,3)=$O$7,LEFT(M731,3)=$O$7)),"x","")</f>
        <v/>
      </c>
      <c r="P731" s="52" t="str">
        <f>IF(AND($B731&gt;='111'!$N$11,$B731&lt;='111'!$O$11,OR($L731=$P$7,$M731=$P$7)),"x","")</f>
        <v>x</v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21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902</v>
      </c>
      <c r="E732" s="184">
        <v>41836</v>
      </c>
      <c r="F732" s="192" t="s">
        <v>904</v>
      </c>
      <c r="G732" s="468" t="s">
        <v>326</v>
      </c>
      <c r="H732" s="7" t="s">
        <v>917</v>
      </c>
      <c r="I732" s="256"/>
      <c r="J732" s="256"/>
      <c r="K732" s="568">
        <v>16698220</v>
      </c>
      <c r="L732" s="194" t="s">
        <v>24</v>
      </c>
      <c r="M732" s="194" t="s">
        <v>253</v>
      </c>
      <c r="N732" s="52" t="str">
        <f>IF(AND('331-CT'!$E$7=TH!H732,OR(L732="331",M732="331")),"331",IF(AND(OR(L732="131",M732="131"),H732='131-CT'!$E$7),"131",""))</f>
        <v/>
      </c>
      <c r="O732" s="90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21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902</v>
      </c>
      <c r="E733" s="184">
        <v>41845</v>
      </c>
      <c r="F733" s="192" t="s">
        <v>905</v>
      </c>
      <c r="G733" s="468" t="s">
        <v>326</v>
      </c>
      <c r="H733" s="7"/>
      <c r="I733" s="256"/>
      <c r="J733" s="256"/>
      <c r="K733" s="568">
        <v>4033</v>
      </c>
      <c r="L733" s="194" t="s">
        <v>24</v>
      </c>
      <c r="M733" s="194" t="s">
        <v>253</v>
      </c>
      <c r="N733" s="52" t="str">
        <f>IF(AND('331-CT'!$E$7=TH!H733,OR(L733="331",M733="331")),"331",IF(AND(OR(L733="131",M733="131"),H733='131-CT'!$E$7),"131",""))</f>
        <v/>
      </c>
      <c r="O733" s="90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21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902</v>
      </c>
      <c r="E734" s="184">
        <v>41849</v>
      </c>
      <c r="F734" s="192" t="s">
        <v>904</v>
      </c>
      <c r="G734" s="468" t="s">
        <v>326</v>
      </c>
      <c r="H734" s="7" t="s">
        <v>916</v>
      </c>
      <c r="I734" s="256"/>
      <c r="J734" s="256"/>
      <c r="K734" s="568">
        <v>11455290</v>
      </c>
      <c r="L734" s="194" t="s">
        <v>24</v>
      </c>
      <c r="M734" s="194" t="s">
        <v>253</v>
      </c>
      <c r="N734" s="52" t="str">
        <f>IF(AND('331-CT'!$E$7=TH!H734,OR(L734="331",M734="331")),"331",IF(AND(OR(L734="131",M734="131"),H734='131-CT'!$E$7),"131",""))</f>
        <v/>
      </c>
      <c r="O734" s="90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21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902</v>
      </c>
      <c r="E735" s="184">
        <v>41856</v>
      </c>
      <c r="F735" s="192" t="s">
        <v>904</v>
      </c>
      <c r="G735" s="468" t="s">
        <v>326</v>
      </c>
      <c r="H735" s="7" t="s">
        <v>662</v>
      </c>
      <c r="I735" s="256"/>
      <c r="J735" s="256"/>
      <c r="K735" s="568">
        <v>17000000</v>
      </c>
      <c r="L735" s="194" t="s">
        <v>24</v>
      </c>
      <c r="M735" s="194" t="s">
        <v>253</v>
      </c>
      <c r="N735" s="52" t="str">
        <f>IF(AND('331-CT'!$E$7=TH!H735,OR(L735="331",M735="331")),"331",IF(AND(OR(L735="131",M735="131"),H735='131-CT'!$E$7),"131",""))</f>
        <v/>
      </c>
      <c r="O735" s="90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21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902</v>
      </c>
      <c r="E736" s="184">
        <v>41865</v>
      </c>
      <c r="F736" s="192" t="s">
        <v>904</v>
      </c>
      <c r="G736" s="468" t="s">
        <v>326</v>
      </c>
      <c r="H736" s="44" t="s">
        <v>589</v>
      </c>
      <c r="I736" s="256"/>
      <c r="J736" s="256"/>
      <c r="K736" s="568">
        <v>41052055</v>
      </c>
      <c r="L736" s="194" t="s">
        <v>24</v>
      </c>
      <c r="M736" s="194" t="s">
        <v>253</v>
      </c>
      <c r="N736" s="52" t="str">
        <f>IF(AND('331-CT'!$E$7=TH!H736,OR(L736="331",M736="331")),"331",IF(AND(OR(L736="131",M736="131"),H736='131-CT'!$E$7),"131",""))</f>
        <v/>
      </c>
      <c r="O736" s="90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21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902</v>
      </c>
      <c r="E737" s="184">
        <v>41869</v>
      </c>
      <c r="F737" s="192" t="s">
        <v>904</v>
      </c>
      <c r="G737" s="468" t="s">
        <v>326</v>
      </c>
      <c r="H737" s="7" t="s">
        <v>916</v>
      </c>
      <c r="I737" s="256"/>
      <c r="J737" s="256"/>
      <c r="K737" s="568">
        <v>11165000</v>
      </c>
      <c r="L737" s="194" t="s">
        <v>24</v>
      </c>
      <c r="M737" s="194" t="s">
        <v>253</v>
      </c>
      <c r="N737" s="52" t="str">
        <f>IF(AND('331-CT'!$E$7=TH!H737,OR(L737="331",M737="331")),"331",IF(AND(OR(L737="131",M737="131"),H737='131-CT'!$E$7),"131",""))</f>
        <v/>
      </c>
      <c r="O737" s="90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21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902</v>
      </c>
      <c r="E738" s="184">
        <v>41871</v>
      </c>
      <c r="F738" s="192" t="s">
        <v>911</v>
      </c>
      <c r="G738" s="468" t="s">
        <v>326</v>
      </c>
      <c r="H738" s="193" t="s">
        <v>907</v>
      </c>
      <c r="I738" s="256"/>
      <c r="J738" s="256"/>
      <c r="K738" s="568">
        <v>18000000</v>
      </c>
      <c r="L738" s="194" t="s">
        <v>24</v>
      </c>
      <c r="M738" s="194" t="s">
        <v>253</v>
      </c>
      <c r="N738" s="52" t="str">
        <f>IF(AND('331-CT'!$E$7=TH!H738,OR(L738="331",M738="331")),"331",IF(AND(OR(L738="131",M738="131"),H738='131-CT'!$E$7),"131",""))</f>
        <v/>
      </c>
      <c r="O738" s="90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21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902</v>
      </c>
      <c r="E739" s="184">
        <v>41871</v>
      </c>
      <c r="F739" s="192" t="s">
        <v>904</v>
      </c>
      <c r="G739" s="468" t="s">
        <v>326</v>
      </c>
      <c r="H739" s="7" t="s">
        <v>609</v>
      </c>
      <c r="I739" s="256"/>
      <c r="J739" s="256"/>
      <c r="K739" s="568">
        <v>35000000</v>
      </c>
      <c r="L739" s="194" t="s">
        <v>24</v>
      </c>
      <c r="M739" s="194" t="s">
        <v>253</v>
      </c>
      <c r="N739" s="52" t="str">
        <f>IF(AND('331-CT'!$E$7=TH!H739,OR(L739="331",M739="331")),"331",IF(AND(OR(L739="131",M739="131"),H739='131-CT'!$E$7),"131",""))</f>
        <v/>
      </c>
      <c r="O739" s="90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21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902</v>
      </c>
      <c r="E740" s="184">
        <v>41873</v>
      </c>
      <c r="F740" s="192" t="s">
        <v>904</v>
      </c>
      <c r="G740" s="468" t="s">
        <v>326</v>
      </c>
      <c r="H740" s="7" t="s">
        <v>917</v>
      </c>
      <c r="I740" s="256"/>
      <c r="J740" s="256"/>
      <c r="K740" s="568">
        <v>15433550</v>
      </c>
      <c r="L740" s="194" t="s">
        <v>24</v>
      </c>
      <c r="M740" s="194" t="s">
        <v>253</v>
      </c>
      <c r="N740" s="52" t="str">
        <f>IF(AND('331-CT'!$E$7=TH!H740,OR(L740="331",M740="331")),"331",IF(AND(OR(L740="131",M740="131"),H740='131-CT'!$E$7),"131",""))</f>
        <v/>
      </c>
      <c r="O740" s="90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21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902</v>
      </c>
      <c r="E741" s="184">
        <v>41873</v>
      </c>
      <c r="F741" s="192" t="s">
        <v>905</v>
      </c>
      <c r="G741" s="468" t="s">
        <v>326</v>
      </c>
      <c r="H741" s="7"/>
      <c r="I741" s="256"/>
      <c r="J741" s="256"/>
      <c r="K741" s="568">
        <v>13657</v>
      </c>
      <c r="L741" s="194" t="s">
        <v>24</v>
      </c>
      <c r="M741" s="194" t="s">
        <v>253</v>
      </c>
      <c r="N741" s="52" t="str">
        <f>IF(AND('331-CT'!$E$7=TH!H741,OR(L741="331",M741="331")),"331",IF(AND(OR(L741="131",M741="131"),H741='131-CT'!$E$7),"131",""))</f>
        <v/>
      </c>
      <c r="O741" s="90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21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902</v>
      </c>
      <c r="E742" s="184">
        <v>41878</v>
      </c>
      <c r="F742" s="192" t="s">
        <v>912</v>
      </c>
      <c r="G742" s="468" t="s">
        <v>326</v>
      </c>
      <c r="H742" s="7"/>
      <c r="I742" s="256"/>
      <c r="J742" s="256"/>
      <c r="K742" s="568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90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21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902</v>
      </c>
      <c r="E743" s="184">
        <v>41878</v>
      </c>
      <c r="F743" s="192" t="s">
        <v>904</v>
      </c>
      <c r="G743" s="468" t="s">
        <v>326</v>
      </c>
      <c r="H743" s="7" t="s">
        <v>654</v>
      </c>
      <c r="I743" s="256"/>
      <c r="J743" s="256"/>
      <c r="K743" s="568">
        <v>14779096</v>
      </c>
      <c r="L743" s="194" t="s">
        <v>24</v>
      </c>
      <c r="M743" s="194" t="s">
        <v>253</v>
      </c>
      <c r="N743" s="52" t="str">
        <f>IF(AND('331-CT'!$E$7=TH!H743,OR(L743="331",M743="331")),"331",IF(AND(OR(L743="131",M743="131"),H743='131-CT'!$E$7),"131",""))</f>
        <v/>
      </c>
      <c r="O743" s="90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21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909</v>
      </c>
      <c r="E744" s="184">
        <v>41829</v>
      </c>
      <c r="F744" s="192" t="s">
        <v>903</v>
      </c>
      <c r="G744" s="468" t="s">
        <v>326</v>
      </c>
      <c r="H744" s="7"/>
      <c r="I744" s="256"/>
      <c r="J744" s="256"/>
      <c r="K744" s="568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90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21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909</v>
      </c>
      <c r="E745" s="184">
        <v>41829</v>
      </c>
      <c r="F745" s="189" t="s">
        <v>914</v>
      </c>
      <c r="G745" s="468" t="s">
        <v>326</v>
      </c>
      <c r="H745" s="7"/>
      <c r="I745" s="256"/>
      <c r="J745" s="256"/>
      <c r="K745" s="568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90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>x</v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21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909</v>
      </c>
      <c r="E746" s="184">
        <v>41829</v>
      </c>
      <c r="F746" s="189" t="s">
        <v>910</v>
      </c>
      <c r="G746" s="468" t="s">
        <v>326</v>
      </c>
      <c r="H746" s="7"/>
      <c r="I746" s="256"/>
      <c r="J746" s="256"/>
      <c r="K746" s="568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90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>x</v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21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909</v>
      </c>
      <c r="E747" s="184">
        <v>41841</v>
      </c>
      <c r="F747" s="192" t="s">
        <v>906</v>
      </c>
      <c r="G747" s="468" t="s">
        <v>326</v>
      </c>
      <c r="H747" s="193" t="s">
        <v>907</v>
      </c>
      <c r="I747" s="256"/>
      <c r="J747" s="256"/>
      <c r="K747" s="568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902" t="str">
        <f>IF(AND('341-CT'!$E$9=H747,OR(LEFT(L747,3)=$O$7,LEFT(M747,3)=$O$7)),"x","")</f>
        <v/>
      </c>
      <c r="P747" s="52" t="str">
        <f>IF(AND($B747&gt;='111'!$N$11,$B747&lt;='111'!$O$11,OR($L747=$P$7,$M747=$P$7)),"x","")</f>
        <v>x</v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21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909</v>
      </c>
      <c r="E748" s="184">
        <v>41859</v>
      </c>
      <c r="F748" s="192" t="s">
        <v>903</v>
      </c>
      <c r="G748" s="468" t="s">
        <v>326</v>
      </c>
      <c r="H748" s="7"/>
      <c r="I748" s="256"/>
      <c r="J748" s="256"/>
      <c r="K748" s="568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90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21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909</v>
      </c>
      <c r="E749" s="184">
        <v>41859</v>
      </c>
      <c r="F749" s="192" t="s">
        <v>903</v>
      </c>
      <c r="G749" s="468" t="s">
        <v>326</v>
      </c>
      <c r="H749" s="7"/>
      <c r="I749" s="256"/>
      <c r="J749" s="256"/>
      <c r="K749" s="568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90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21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909</v>
      </c>
      <c r="E750" s="184">
        <v>41859</v>
      </c>
      <c r="F750" s="189" t="s">
        <v>910</v>
      </c>
      <c r="G750" s="468" t="s">
        <v>326</v>
      </c>
      <c r="H750" s="7"/>
      <c r="I750" s="256"/>
      <c r="J750" s="256"/>
      <c r="K750" s="568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90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>x</v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21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909</v>
      </c>
      <c r="E751" s="184">
        <v>41871</v>
      </c>
      <c r="F751" s="192" t="s">
        <v>903</v>
      </c>
      <c r="G751" s="468" t="s">
        <v>326</v>
      </c>
      <c r="H751" s="7"/>
      <c r="I751" s="256"/>
      <c r="J751" s="256"/>
      <c r="K751" s="568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90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21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909</v>
      </c>
      <c r="E752" s="184">
        <v>41871</v>
      </c>
      <c r="F752" s="192" t="s">
        <v>903</v>
      </c>
      <c r="G752" s="468" t="s">
        <v>326</v>
      </c>
      <c r="H752" s="7"/>
      <c r="I752" s="256"/>
      <c r="J752" s="256"/>
      <c r="K752" s="568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90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21"/>
    </row>
    <row r="753" spans="1:28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909</v>
      </c>
      <c r="E753" s="184">
        <v>41871</v>
      </c>
      <c r="F753" s="192" t="s">
        <v>903</v>
      </c>
      <c r="G753" s="468" t="s">
        <v>326</v>
      </c>
      <c r="H753" s="7"/>
      <c r="I753" s="256"/>
      <c r="J753" s="256"/>
      <c r="K753" s="568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90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21"/>
    </row>
    <row r="754" spans="1:28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909</v>
      </c>
      <c r="E754" s="184">
        <v>41871</v>
      </c>
      <c r="F754" s="189" t="s">
        <v>914</v>
      </c>
      <c r="G754" s="468" t="s">
        <v>326</v>
      </c>
      <c r="H754" s="7"/>
      <c r="I754" s="256"/>
      <c r="J754" s="256"/>
      <c r="K754" s="568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90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>x</v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21"/>
    </row>
    <row r="755" spans="1:28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909</v>
      </c>
      <c r="E755" s="184">
        <v>41871</v>
      </c>
      <c r="F755" s="189" t="s">
        <v>910</v>
      </c>
      <c r="G755" s="468" t="s">
        <v>326</v>
      </c>
      <c r="H755" s="7"/>
      <c r="I755" s="256"/>
      <c r="J755" s="256"/>
      <c r="K755" s="568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90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>x</v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21"/>
    </row>
    <row r="756" spans="1:28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909</v>
      </c>
      <c r="E756" s="184">
        <v>41871</v>
      </c>
      <c r="F756" s="189" t="s">
        <v>910</v>
      </c>
      <c r="G756" s="468" t="s">
        <v>326</v>
      </c>
      <c r="H756" s="7"/>
      <c r="I756" s="256"/>
      <c r="J756" s="256"/>
      <c r="K756" s="568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90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>x</v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21"/>
    </row>
    <row r="757" spans="1:28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909</v>
      </c>
      <c r="E757" s="184">
        <v>41871</v>
      </c>
      <c r="F757" s="189" t="s">
        <v>910</v>
      </c>
      <c r="G757" s="468" t="s">
        <v>326</v>
      </c>
      <c r="H757" s="7"/>
      <c r="I757" s="256"/>
      <c r="J757" s="256"/>
      <c r="K757" s="568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90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>x</v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21"/>
    </row>
    <row r="758" spans="1:28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909</v>
      </c>
      <c r="E758" s="184">
        <v>41872</v>
      </c>
      <c r="F758" s="192" t="s">
        <v>906</v>
      </c>
      <c r="G758" s="468" t="s">
        <v>326</v>
      </c>
      <c r="H758" s="193" t="s">
        <v>907</v>
      </c>
      <c r="I758" s="256"/>
      <c r="J758" s="256"/>
      <c r="K758" s="568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902" t="str">
        <f>IF(AND('341-CT'!$E$9=H758,OR(LEFT(L758,3)=$O$7,LEFT(M758,3)=$O$7)),"x","")</f>
        <v/>
      </c>
      <c r="P758" s="52" t="str">
        <f>IF(AND($B758&gt;='111'!$N$11,$B758&lt;='111'!$O$11,OR($L758=$P$7,$M758=$P$7)),"x","")</f>
        <v>x</v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21"/>
    </row>
    <row r="759" spans="1:28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909</v>
      </c>
      <c r="E759" s="184">
        <v>41878</v>
      </c>
      <c r="F759" s="189" t="s">
        <v>903</v>
      </c>
      <c r="G759" s="468" t="s">
        <v>326</v>
      </c>
      <c r="H759" s="7"/>
      <c r="I759" s="256"/>
      <c r="J759" s="256"/>
      <c r="K759" s="568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90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21"/>
    </row>
    <row r="760" spans="1:28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909</v>
      </c>
      <c r="E760" s="184">
        <v>41878</v>
      </c>
      <c r="F760" s="189" t="s">
        <v>903</v>
      </c>
      <c r="G760" s="468" t="s">
        <v>326</v>
      </c>
      <c r="H760" s="7"/>
      <c r="I760" s="256"/>
      <c r="J760" s="256"/>
      <c r="K760" s="568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90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21"/>
    </row>
    <row r="761" spans="1:28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909</v>
      </c>
      <c r="E761" s="184">
        <v>41878</v>
      </c>
      <c r="F761" s="189" t="s">
        <v>903</v>
      </c>
      <c r="G761" s="468" t="s">
        <v>326</v>
      </c>
      <c r="H761" s="7"/>
      <c r="I761" s="256"/>
      <c r="J761" s="256"/>
      <c r="K761" s="568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90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21"/>
    </row>
    <row r="762" spans="1:28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909</v>
      </c>
      <c r="E762" s="184">
        <v>41878</v>
      </c>
      <c r="F762" s="189" t="s">
        <v>910</v>
      </c>
      <c r="G762" s="468" t="s">
        <v>326</v>
      </c>
      <c r="H762" s="7"/>
      <c r="I762" s="256"/>
      <c r="J762" s="256"/>
      <c r="K762" s="568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90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>x</v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21"/>
    </row>
    <row r="763" spans="1:28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909</v>
      </c>
      <c r="E763" s="184">
        <v>41878</v>
      </c>
      <c r="F763" s="189" t="s">
        <v>910</v>
      </c>
      <c r="G763" s="468" t="s">
        <v>326</v>
      </c>
      <c r="H763" s="7"/>
      <c r="I763" s="256"/>
      <c r="J763" s="256"/>
      <c r="K763" s="568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90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>x</v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21"/>
    </row>
    <row r="764" spans="1:28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902</v>
      </c>
      <c r="E764" s="184">
        <v>41886</v>
      </c>
      <c r="F764" s="192" t="s">
        <v>904</v>
      </c>
      <c r="G764" s="468" t="s">
        <v>326</v>
      </c>
      <c r="H764" s="7" t="s">
        <v>916</v>
      </c>
      <c r="I764" s="256"/>
      <c r="J764" s="256"/>
      <c r="K764" s="568">
        <v>11418000</v>
      </c>
      <c r="L764" s="194" t="s">
        <v>24</v>
      </c>
      <c r="M764" s="194" t="s">
        <v>253</v>
      </c>
      <c r="N764" s="52" t="str">
        <f>IF(AND('331-CT'!$E$7=TH!H764,OR(L764="331",M764="331")),"331",IF(AND(OR(L764="131",M764="131"),H764='131-CT'!$E$7),"131",""))</f>
        <v/>
      </c>
      <c r="O764" s="90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21"/>
    </row>
    <row r="765" spans="1:28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902</v>
      </c>
      <c r="E765" s="184">
        <v>41887</v>
      </c>
      <c r="F765" s="192" t="s">
        <v>904</v>
      </c>
      <c r="G765" s="468" t="s">
        <v>326</v>
      </c>
      <c r="H765" s="7" t="s">
        <v>791</v>
      </c>
      <c r="I765" s="256"/>
      <c r="J765" s="256"/>
      <c r="K765" s="568">
        <v>5380000</v>
      </c>
      <c r="L765" s="194" t="s">
        <v>24</v>
      </c>
      <c r="M765" s="194" t="s">
        <v>253</v>
      </c>
      <c r="N765" s="52" t="str">
        <f>IF(AND('331-CT'!$E$7=TH!H765,OR(L765="331",M765="331")),"331",IF(AND(OR(L765="131",M765="131"),H765='131-CT'!$E$7),"131",""))</f>
        <v/>
      </c>
      <c r="O765" s="90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21"/>
    </row>
    <row r="766" spans="1:28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902</v>
      </c>
      <c r="E766" s="184">
        <v>41887</v>
      </c>
      <c r="F766" s="192" t="s">
        <v>904</v>
      </c>
      <c r="G766" s="468" t="s">
        <v>326</v>
      </c>
      <c r="H766" s="7" t="s">
        <v>662</v>
      </c>
      <c r="I766" s="256"/>
      <c r="J766" s="256"/>
      <c r="K766" s="568">
        <v>49422400</v>
      </c>
      <c r="L766" s="194" t="s">
        <v>24</v>
      </c>
      <c r="M766" s="194" t="s">
        <v>253</v>
      </c>
      <c r="N766" s="52" t="str">
        <f>IF(AND('331-CT'!$E$7=TH!H766,OR(L766="331",M766="331")),"331",IF(AND(OR(L766="131",M766="131"),H766='131-CT'!$E$7),"131",""))</f>
        <v/>
      </c>
      <c r="O766" s="90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21"/>
    </row>
    <row r="767" spans="1:28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902</v>
      </c>
      <c r="E767" s="184">
        <v>41894</v>
      </c>
      <c r="F767" s="192" t="s">
        <v>904</v>
      </c>
      <c r="G767" s="468" t="s">
        <v>326</v>
      </c>
      <c r="H767" s="7" t="s">
        <v>654</v>
      </c>
      <c r="I767" s="256"/>
      <c r="J767" s="256"/>
      <c r="K767" s="568">
        <v>62670304</v>
      </c>
      <c r="L767" s="194" t="s">
        <v>24</v>
      </c>
      <c r="M767" s="194" t="s">
        <v>253</v>
      </c>
      <c r="N767" s="52" t="str">
        <f>IF(AND('331-CT'!$E$7=TH!H767,OR(L767="331",M767="331")),"331",IF(AND(OR(L767="131",M767="131"),H767='131-CT'!$E$7),"131",""))</f>
        <v/>
      </c>
      <c r="O767" s="90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21"/>
    </row>
    <row r="768" spans="1:28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902</v>
      </c>
      <c r="E768" s="184">
        <v>41898</v>
      </c>
      <c r="F768" s="192" t="s">
        <v>904</v>
      </c>
      <c r="G768" s="468" t="s">
        <v>326</v>
      </c>
      <c r="H768" s="7" t="s">
        <v>609</v>
      </c>
      <c r="I768" s="256"/>
      <c r="J768" s="256"/>
      <c r="K768" s="568">
        <v>50000000</v>
      </c>
      <c r="L768" s="194" t="s">
        <v>24</v>
      </c>
      <c r="M768" s="194" t="s">
        <v>253</v>
      </c>
      <c r="N768" s="52" t="str">
        <f>IF(AND('331-CT'!$E$7=TH!H768,OR(L768="331",M768="331")),"331",IF(AND(OR(L768="131",M768="131"),H768='131-CT'!$E$7),"131",""))</f>
        <v/>
      </c>
      <c r="O768" s="90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21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902</v>
      </c>
      <c r="E769" s="184">
        <v>41898</v>
      </c>
      <c r="F769" s="192" t="s">
        <v>904</v>
      </c>
      <c r="G769" s="468" t="s">
        <v>326</v>
      </c>
      <c r="H769" s="45" t="s">
        <v>475</v>
      </c>
      <c r="I769" s="256"/>
      <c r="J769" s="256"/>
      <c r="K769" s="568">
        <v>6501550</v>
      </c>
      <c r="L769" s="194" t="s">
        <v>24</v>
      </c>
      <c r="M769" s="194" t="s">
        <v>253</v>
      </c>
      <c r="N769" s="52" t="str">
        <f>IF(AND('331-CT'!$E$7=TH!H769,OR(L769="331",M769="331")),"331",IF(AND(OR(L769="131",M769="131"),H769='131-CT'!$E$7),"131",""))</f>
        <v/>
      </c>
      <c r="O769" s="90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21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902</v>
      </c>
      <c r="E770" s="184">
        <v>41898</v>
      </c>
      <c r="F770" s="192" t="s">
        <v>904</v>
      </c>
      <c r="G770" s="468" t="s">
        <v>326</v>
      </c>
      <c r="H770" s="7" t="s">
        <v>917</v>
      </c>
      <c r="I770" s="256"/>
      <c r="J770" s="256"/>
      <c r="K770" s="568">
        <v>20330090</v>
      </c>
      <c r="L770" s="194" t="s">
        <v>24</v>
      </c>
      <c r="M770" s="194" t="s">
        <v>253</v>
      </c>
      <c r="N770" s="52" t="str">
        <f>IF(AND('331-CT'!$E$7=TH!H770,OR(L770="331",M770="331")),"331",IF(AND(OR(L770="131",M770="131"),H770='131-CT'!$E$7),"131",""))</f>
        <v/>
      </c>
      <c r="O770" s="90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21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902</v>
      </c>
      <c r="E771" s="184">
        <v>41899</v>
      </c>
      <c r="F771" s="192" t="s">
        <v>904</v>
      </c>
      <c r="G771" s="468" t="s">
        <v>326</v>
      </c>
      <c r="H771" s="44" t="s">
        <v>589</v>
      </c>
      <c r="I771" s="256"/>
      <c r="J771" s="256"/>
      <c r="K771" s="568">
        <v>10910900</v>
      </c>
      <c r="L771" s="194" t="s">
        <v>24</v>
      </c>
      <c r="M771" s="194" t="s">
        <v>253</v>
      </c>
      <c r="N771" s="52" t="str">
        <f>IF(AND('331-CT'!$E$7=TH!H771,OR(L771="331",M771="331")),"331",IF(AND(OR(L771="131",M771="131"),H771='131-CT'!$E$7),"131",""))</f>
        <v/>
      </c>
      <c r="O771" s="90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21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902</v>
      </c>
      <c r="E772" s="184">
        <v>41904</v>
      </c>
      <c r="F772" s="192" t="s">
        <v>904</v>
      </c>
      <c r="G772" s="468" t="s">
        <v>326</v>
      </c>
      <c r="H772" s="7" t="s">
        <v>916</v>
      </c>
      <c r="I772" s="256"/>
      <c r="J772" s="256"/>
      <c r="K772" s="568">
        <v>22574970</v>
      </c>
      <c r="L772" s="194" t="s">
        <v>24</v>
      </c>
      <c r="M772" s="194" t="s">
        <v>253</v>
      </c>
      <c r="N772" s="52" t="str">
        <f>IF(AND('331-CT'!$E$7=TH!H772,OR(L772="331",M772="331")),"331",IF(AND(OR(L772="131",M772="131"),H772='131-CT'!$E$7),"131",""))</f>
        <v/>
      </c>
      <c r="O772" s="90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21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902</v>
      </c>
      <c r="E773" s="184">
        <v>41907</v>
      </c>
      <c r="F773" s="192" t="s">
        <v>905</v>
      </c>
      <c r="G773" s="468" t="s">
        <v>326</v>
      </c>
      <c r="H773" s="7"/>
      <c r="I773" s="256"/>
      <c r="J773" s="256"/>
      <c r="K773" s="568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90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21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902</v>
      </c>
      <c r="E774" s="184">
        <v>41908</v>
      </c>
      <c r="F774" s="192" t="s">
        <v>904</v>
      </c>
      <c r="G774" s="468" t="s">
        <v>326</v>
      </c>
      <c r="H774" s="7" t="s">
        <v>918</v>
      </c>
      <c r="I774" s="256"/>
      <c r="J774" s="256"/>
      <c r="K774" s="568">
        <v>7559200</v>
      </c>
      <c r="L774" s="194" t="s">
        <v>24</v>
      </c>
      <c r="M774" s="194" t="s">
        <v>253</v>
      </c>
      <c r="N774" s="52" t="str">
        <f>IF(AND('331-CT'!$E$7=TH!H774,OR(L774="331",M774="331")),"331",IF(AND(OR(L774="131",M774="131"),H774='131-CT'!$E$7),"131",""))</f>
        <v/>
      </c>
      <c r="O774" s="90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21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902</v>
      </c>
      <c r="E775" s="184">
        <v>41912</v>
      </c>
      <c r="F775" s="192" t="s">
        <v>904</v>
      </c>
      <c r="G775" s="468" t="s">
        <v>326</v>
      </c>
      <c r="H775" s="7" t="s">
        <v>609</v>
      </c>
      <c r="I775" s="256"/>
      <c r="J775" s="256"/>
      <c r="K775" s="568">
        <v>39537025</v>
      </c>
      <c r="L775" s="194" t="s">
        <v>24</v>
      </c>
      <c r="M775" s="194" t="s">
        <v>253</v>
      </c>
      <c r="N775" s="52" t="str">
        <f>IF(AND('331-CT'!$E$7=TH!H775,OR(L775="331",M775="331")),"331",IF(AND(OR(L775="131",M775="131"),H775='131-CT'!$E$7),"131",""))</f>
        <v/>
      </c>
      <c r="O775" s="90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21"/>
    </row>
    <row r="776" spans="1:28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902</v>
      </c>
      <c r="E776" s="184">
        <v>41913</v>
      </c>
      <c r="F776" s="192" t="s">
        <v>904</v>
      </c>
      <c r="G776" s="468" t="s">
        <v>326</v>
      </c>
      <c r="H776" s="7" t="s">
        <v>918</v>
      </c>
      <c r="I776" s="256"/>
      <c r="J776" s="256"/>
      <c r="K776" s="568">
        <v>12938200</v>
      </c>
      <c r="L776" s="194" t="s">
        <v>24</v>
      </c>
      <c r="M776" s="194" t="s">
        <v>253</v>
      </c>
      <c r="N776" s="52" t="str">
        <f>IF(AND('331-CT'!$E$7=TH!H776,OR(L776="331",M776="331")),"331",IF(AND(OR(L776="131",M776="131"),H776='131-CT'!$E$7),"131",""))</f>
        <v/>
      </c>
      <c r="O776" s="90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821"/>
    </row>
    <row r="777" spans="1:28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902</v>
      </c>
      <c r="E777" s="184">
        <v>41914</v>
      </c>
      <c r="F777" s="192" t="s">
        <v>915</v>
      </c>
      <c r="G777" s="468" t="s">
        <v>326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90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821"/>
    </row>
    <row r="778" spans="1:28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909</v>
      </c>
      <c r="E778" s="184">
        <v>41891</v>
      </c>
      <c r="F778" s="192" t="s">
        <v>906</v>
      </c>
      <c r="G778" s="468" t="s">
        <v>326</v>
      </c>
      <c r="H778" s="193" t="s">
        <v>907</v>
      </c>
      <c r="I778" s="256"/>
      <c r="J778" s="256"/>
      <c r="K778" s="568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902" t="str">
        <f>IF(AND('341-CT'!$E$9=H778,OR(LEFT(L778,3)=$O$7,LEFT(M778,3)=$O$7)),"x","")</f>
        <v/>
      </c>
      <c r="P778" s="52" t="str">
        <f>IF(AND($B778&gt;='111'!$N$11,$B778&lt;='111'!$O$11,OR($L778=$P$7,$M778=$P$7)),"x","")</f>
        <v>x</v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21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909</v>
      </c>
      <c r="E779" s="184">
        <v>41891</v>
      </c>
      <c r="F779" s="189" t="s">
        <v>903</v>
      </c>
      <c r="G779" s="468" t="s">
        <v>326</v>
      </c>
      <c r="H779" s="7"/>
      <c r="I779" s="256"/>
      <c r="J779" s="256"/>
      <c r="K779" s="568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90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21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909</v>
      </c>
      <c r="E780" s="184">
        <v>41891</v>
      </c>
      <c r="F780" s="189" t="s">
        <v>903</v>
      </c>
      <c r="G780" s="468" t="s">
        <v>326</v>
      </c>
      <c r="H780" s="7"/>
      <c r="I780" s="256"/>
      <c r="J780" s="256"/>
      <c r="K780" s="568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90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21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909</v>
      </c>
      <c r="E781" s="184">
        <v>41891</v>
      </c>
      <c r="F781" s="189" t="s">
        <v>910</v>
      </c>
      <c r="G781" s="468" t="s">
        <v>326</v>
      </c>
      <c r="H781" s="7"/>
      <c r="I781" s="256"/>
      <c r="J781" s="256"/>
      <c r="K781" s="568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90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>x</v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21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909</v>
      </c>
      <c r="E782" s="184">
        <v>41891</v>
      </c>
      <c r="F782" s="189" t="s">
        <v>910</v>
      </c>
      <c r="G782" s="468" t="s">
        <v>326</v>
      </c>
      <c r="H782" s="7"/>
      <c r="I782" s="256"/>
      <c r="J782" s="256"/>
      <c r="K782" s="568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90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>x</v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21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909</v>
      </c>
      <c r="E783" s="184">
        <v>41895</v>
      </c>
      <c r="F783" s="192" t="s">
        <v>906</v>
      </c>
      <c r="G783" s="468" t="s">
        <v>326</v>
      </c>
      <c r="H783" s="193" t="s">
        <v>907</v>
      </c>
      <c r="I783" s="256"/>
      <c r="J783" s="256"/>
      <c r="K783" s="568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902" t="str">
        <f>IF(AND('341-CT'!$E$9=H783,OR(LEFT(L783,3)=$O$7,LEFT(M783,3)=$O$7)),"x","")</f>
        <v/>
      </c>
      <c r="P783" s="52" t="str">
        <f>IF(AND($B783&gt;='111'!$N$11,$B783&lt;='111'!$O$11,OR($L783=$P$7,$M783=$P$7)),"x","")</f>
        <v>x</v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21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909</v>
      </c>
      <c r="E784" s="184">
        <v>41898</v>
      </c>
      <c r="F784" s="189" t="s">
        <v>903</v>
      </c>
      <c r="G784" s="468" t="s">
        <v>326</v>
      </c>
      <c r="H784" s="7"/>
      <c r="I784" s="256"/>
      <c r="J784" s="256"/>
      <c r="K784" s="568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90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21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909</v>
      </c>
      <c r="E785" s="184">
        <v>41898</v>
      </c>
      <c r="F785" s="189" t="s">
        <v>903</v>
      </c>
      <c r="G785" s="468" t="s">
        <v>326</v>
      </c>
      <c r="H785" s="7"/>
      <c r="I785" s="256"/>
      <c r="J785" s="256"/>
      <c r="K785" s="568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90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21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909</v>
      </c>
      <c r="E786" s="184">
        <v>41898</v>
      </c>
      <c r="F786" s="192" t="s">
        <v>906</v>
      </c>
      <c r="G786" s="468" t="s">
        <v>326</v>
      </c>
      <c r="H786" s="193" t="s">
        <v>907</v>
      </c>
      <c r="I786" s="256"/>
      <c r="J786" s="256"/>
      <c r="K786" s="568">
        <v>16800000</v>
      </c>
      <c r="L786" s="194" t="s">
        <v>47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902" t="str">
        <f>IF(AND('341-CT'!$E$9=H786,OR(LEFT(L786,3)=$O$7,LEFT(M786,3)=$O$7)),"x","")</f>
        <v/>
      </c>
      <c r="P786" s="52" t="str">
        <f>IF(AND($B786&gt;='111'!$N$11,$B786&lt;='111'!$O$11,OR($L786=$P$7,$M786=$P$7)),"x","")</f>
        <v>x</v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21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909</v>
      </c>
      <c r="E787" s="184">
        <v>41898</v>
      </c>
      <c r="F787" s="189" t="s">
        <v>910</v>
      </c>
      <c r="G787" s="468" t="s">
        <v>326</v>
      </c>
      <c r="H787" s="7"/>
      <c r="I787" s="256"/>
      <c r="J787" s="256"/>
      <c r="K787" s="568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90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>x</v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21"/>
    </row>
    <row r="788" spans="1:28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909</v>
      </c>
      <c r="E788" s="184">
        <v>41898</v>
      </c>
      <c r="F788" s="189" t="s">
        <v>910</v>
      </c>
      <c r="G788" s="468" t="s">
        <v>326</v>
      </c>
      <c r="H788" s="7"/>
      <c r="I788" s="256"/>
      <c r="J788" s="256"/>
      <c r="K788" s="568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90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>x</v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21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909</v>
      </c>
      <c r="E789" s="184">
        <v>41906</v>
      </c>
      <c r="F789" s="192" t="s">
        <v>906</v>
      </c>
      <c r="G789" s="468" t="s">
        <v>326</v>
      </c>
      <c r="H789" s="193" t="s">
        <v>907</v>
      </c>
      <c r="I789" s="256"/>
      <c r="J789" s="256"/>
      <c r="K789" s="568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902" t="str">
        <f>IF(AND('341-CT'!$E$9=H789,OR(LEFT(L789,3)=$O$7,LEFT(M789,3)=$O$7)),"x","")</f>
        <v/>
      </c>
      <c r="P789" s="52" t="str">
        <f>IF(AND($B789&gt;='111'!$N$11,$B789&lt;='111'!$O$11,OR($L789=$P$7,$M789=$P$7)),"x","")</f>
        <v>x</v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21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909</v>
      </c>
      <c r="E790" s="184">
        <v>41906</v>
      </c>
      <c r="F790" s="189" t="s">
        <v>903</v>
      </c>
      <c r="G790" s="468" t="s">
        <v>326</v>
      </c>
      <c r="H790" s="7"/>
      <c r="I790" s="256"/>
      <c r="J790" s="256"/>
      <c r="K790" s="568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90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21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909</v>
      </c>
      <c r="E791" s="184">
        <v>41906</v>
      </c>
      <c r="F791" s="189" t="s">
        <v>903</v>
      </c>
      <c r="G791" s="468" t="s">
        <v>326</v>
      </c>
      <c r="H791" s="7"/>
      <c r="I791" s="256"/>
      <c r="J791" s="256"/>
      <c r="K791" s="568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90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21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909</v>
      </c>
      <c r="E792" s="184">
        <v>41906</v>
      </c>
      <c r="F792" s="189" t="s">
        <v>910</v>
      </c>
      <c r="G792" s="468" t="s">
        <v>326</v>
      </c>
      <c r="H792" s="7"/>
      <c r="I792" s="256"/>
      <c r="J792" s="256"/>
      <c r="K792" s="568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90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>x</v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21"/>
    </row>
    <row r="793" spans="1:28" s="211" customFormat="1" ht="15.75" hidden="1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909</v>
      </c>
      <c r="E793" s="184">
        <v>41914</v>
      </c>
      <c r="F793" s="192" t="s">
        <v>906</v>
      </c>
      <c r="G793" s="468" t="s">
        <v>326</v>
      </c>
      <c r="H793" s="193" t="s">
        <v>907</v>
      </c>
      <c r="I793" s="256"/>
      <c r="J793" s="256"/>
      <c r="K793" s="568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90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821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909</v>
      </c>
      <c r="E794" s="184">
        <v>41914</v>
      </c>
      <c r="F794" s="189" t="s">
        <v>903</v>
      </c>
      <c r="G794" s="468" t="s">
        <v>326</v>
      </c>
      <c r="H794" s="210"/>
      <c r="I794" s="256"/>
      <c r="J794" s="256"/>
      <c r="K794" s="568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90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821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909</v>
      </c>
      <c r="E795" s="184">
        <v>41914</v>
      </c>
      <c r="F795" s="189" t="s">
        <v>910</v>
      </c>
      <c r="G795" s="468" t="s">
        <v>326</v>
      </c>
      <c r="H795" s="210"/>
      <c r="I795" s="256"/>
      <c r="J795" s="256"/>
      <c r="K795" s="568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90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>x</v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821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902</v>
      </c>
      <c r="E796" s="184">
        <v>41919</v>
      </c>
      <c r="F796" s="192" t="s">
        <v>904</v>
      </c>
      <c r="G796" s="468" t="s">
        <v>326</v>
      </c>
      <c r="H796" s="7" t="s">
        <v>609</v>
      </c>
      <c r="I796" s="256"/>
      <c r="J796" s="256"/>
      <c r="K796" s="568">
        <v>26131581</v>
      </c>
      <c r="L796" s="194" t="s">
        <v>24</v>
      </c>
      <c r="M796" s="194" t="s">
        <v>253</v>
      </c>
      <c r="N796" s="52" t="str">
        <f>IF(AND('331-CT'!$E$7=TH!H796,OR(L796="331",M796="331")),"331",IF(AND(OR(L796="131",M796="131"),H796='131-CT'!$E$7),"131",""))</f>
        <v/>
      </c>
      <c r="O796" s="90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821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902</v>
      </c>
      <c r="E797" s="184">
        <v>41919</v>
      </c>
      <c r="F797" s="192" t="s">
        <v>904</v>
      </c>
      <c r="G797" s="468" t="s">
        <v>326</v>
      </c>
      <c r="H797" s="7" t="s">
        <v>692</v>
      </c>
      <c r="I797" s="256"/>
      <c r="J797" s="256"/>
      <c r="K797" s="568">
        <v>26397008</v>
      </c>
      <c r="L797" s="194" t="s">
        <v>24</v>
      </c>
      <c r="M797" s="194" t="s">
        <v>253</v>
      </c>
      <c r="N797" s="52" t="str">
        <f>IF(AND('331-CT'!$E$7=TH!H797,OR(L797="331",M797="331")),"331",IF(AND(OR(L797="131",M797="131"),H797='131-CT'!$E$7),"131",""))</f>
        <v/>
      </c>
      <c r="O797" s="90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821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902</v>
      </c>
      <c r="E798" s="184">
        <v>41929</v>
      </c>
      <c r="F798" s="192" t="s">
        <v>904</v>
      </c>
      <c r="G798" s="468" t="s">
        <v>326</v>
      </c>
      <c r="H798" s="7" t="s">
        <v>917</v>
      </c>
      <c r="I798" s="256"/>
      <c r="J798" s="256"/>
      <c r="K798" s="568">
        <v>10146840</v>
      </c>
      <c r="L798" s="194" t="s">
        <v>24</v>
      </c>
      <c r="M798" s="194" t="s">
        <v>253</v>
      </c>
      <c r="N798" s="52" t="str">
        <f>IF(AND('331-CT'!$E$7=TH!H798,OR(L798="331",M798="331")),"331",IF(AND(OR(L798="131",M798="131"),H798='131-CT'!$E$7),"131",""))</f>
        <v/>
      </c>
      <c r="O798" s="90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821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902</v>
      </c>
      <c r="E799" s="184">
        <v>41932</v>
      </c>
      <c r="F799" s="192" t="s">
        <v>904</v>
      </c>
      <c r="G799" s="468" t="s">
        <v>326</v>
      </c>
      <c r="H799" s="7" t="s">
        <v>609</v>
      </c>
      <c r="I799" s="256"/>
      <c r="J799" s="256"/>
      <c r="K799" s="568">
        <v>60498900</v>
      </c>
      <c r="L799" s="194" t="s">
        <v>24</v>
      </c>
      <c r="M799" s="194" t="s">
        <v>253</v>
      </c>
      <c r="N799" s="52" t="str">
        <f>IF(AND('331-CT'!$E$7=TH!H799,OR(L799="331",M799="331")),"331",IF(AND(OR(L799="131",M799="131"),H799='131-CT'!$E$7),"131",""))</f>
        <v/>
      </c>
      <c r="O799" s="90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821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902</v>
      </c>
      <c r="E800" s="184">
        <v>41937</v>
      </c>
      <c r="F800" s="192" t="s">
        <v>905</v>
      </c>
      <c r="G800" s="468" t="s">
        <v>326</v>
      </c>
      <c r="H800" s="7"/>
      <c r="I800" s="256"/>
      <c r="J800" s="256"/>
      <c r="K800" s="568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90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821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902</v>
      </c>
      <c r="E801" s="184">
        <v>41940</v>
      </c>
      <c r="F801" s="192" t="s">
        <v>904</v>
      </c>
      <c r="G801" s="468" t="s">
        <v>326</v>
      </c>
      <c r="H801" s="45" t="s">
        <v>475</v>
      </c>
      <c r="I801" s="256"/>
      <c r="J801" s="256"/>
      <c r="K801" s="568">
        <v>6080690</v>
      </c>
      <c r="L801" s="194" t="s">
        <v>24</v>
      </c>
      <c r="M801" s="194" t="s">
        <v>253</v>
      </c>
      <c r="N801" s="52" t="str">
        <f>IF(AND('331-CT'!$E$7=TH!H801,OR(L801="331",M801="331")),"331",IF(AND(OR(L801="131",M801="131"),H801='131-CT'!$E$7),"131",""))</f>
        <v/>
      </c>
      <c r="O801" s="90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821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909</v>
      </c>
      <c r="E802" s="184">
        <v>41916</v>
      </c>
      <c r="F802" s="189" t="s">
        <v>903</v>
      </c>
      <c r="G802" s="468" t="s">
        <v>326</v>
      </c>
      <c r="H802" s="7"/>
      <c r="I802" s="256"/>
      <c r="J802" s="256"/>
      <c r="K802" s="568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90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821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909</v>
      </c>
      <c r="E803" s="184">
        <v>41916</v>
      </c>
      <c r="F803" s="189" t="s">
        <v>910</v>
      </c>
      <c r="G803" s="468" t="s">
        <v>326</v>
      </c>
      <c r="H803" s="7"/>
      <c r="I803" s="256"/>
      <c r="J803" s="256"/>
      <c r="K803" s="568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90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>x</v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821"/>
    </row>
    <row r="804" spans="1:28" s="211" customFormat="1" ht="15.75" hidden="1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909</v>
      </c>
      <c r="E804" s="184">
        <v>41920</v>
      </c>
      <c r="F804" s="192" t="s">
        <v>906</v>
      </c>
      <c r="G804" s="468" t="s">
        <v>326</v>
      </c>
      <c r="H804" s="193" t="s">
        <v>907</v>
      </c>
      <c r="I804" s="256"/>
      <c r="J804" s="256"/>
      <c r="K804" s="568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90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821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909</v>
      </c>
      <c r="E805" s="184">
        <v>41933</v>
      </c>
      <c r="F805" s="189" t="s">
        <v>903</v>
      </c>
      <c r="G805" s="468" t="s">
        <v>326</v>
      </c>
      <c r="H805" s="7"/>
      <c r="I805" s="256"/>
      <c r="J805" s="256"/>
      <c r="K805" s="568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90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821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909</v>
      </c>
      <c r="E806" s="184">
        <v>41933</v>
      </c>
      <c r="F806" s="189" t="s">
        <v>903</v>
      </c>
      <c r="G806" s="468" t="s">
        <v>326</v>
      </c>
      <c r="H806" s="7"/>
      <c r="I806" s="256"/>
      <c r="J806" s="256"/>
      <c r="K806" s="568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90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821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909</v>
      </c>
      <c r="E807" s="184">
        <v>41933</v>
      </c>
      <c r="F807" s="189" t="s">
        <v>910</v>
      </c>
      <c r="G807" s="468" t="s">
        <v>326</v>
      </c>
      <c r="H807" s="7"/>
      <c r="I807" s="256"/>
      <c r="J807" s="256"/>
      <c r="K807" s="568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90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>x</v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821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909</v>
      </c>
      <c r="E808" s="184">
        <v>41933</v>
      </c>
      <c r="F808" s="189" t="s">
        <v>903</v>
      </c>
      <c r="G808" s="468" t="s">
        <v>326</v>
      </c>
      <c r="H808" s="7"/>
      <c r="I808" s="256"/>
      <c r="J808" s="256"/>
      <c r="K808" s="568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90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821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909</v>
      </c>
      <c r="E809" s="184">
        <v>41933</v>
      </c>
      <c r="F809" s="189" t="s">
        <v>910</v>
      </c>
      <c r="G809" s="468" t="s">
        <v>326</v>
      </c>
      <c r="H809" s="7"/>
      <c r="I809" s="256"/>
      <c r="J809" s="256"/>
      <c r="K809" s="568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90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>x</v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821"/>
    </row>
    <row r="810" spans="1:28" s="211" customFormat="1" ht="15.75" hidden="1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909</v>
      </c>
      <c r="E810" s="184">
        <v>41933</v>
      </c>
      <c r="F810" s="192" t="s">
        <v>906</v>
      </c>
      <c r="G810" s="468" t="s">
        <v>326</v>
      </c>
      <c r="H810" s="193" t="s">
        <v>907</v>
      </c>
      <c r="I810" s="256"/>
      <c r="J810" s="256"/>
      <c r="K810" s="568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90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821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902</v>
      </c>
      <c r="E811" s="184">
        <v>41946</v>
      </c>
      <c r="F811" s="192" t="s">
        <v>904</v>
      </c>
      <c r="G811" s="468" t="s">
        <v>326</v>
      </c>
      <c r="H811" s="7" t="s">
        <v>918</v>
      </c>
      <c r="I811" s="256"/>
      <c r="J811" s="256"/>
      <c r="K811" s="568">
        <v>13109800</v>
      </c>
      <c r="L811" s="39" t="s">
        <v>24</v>
      </c>
      <c r="M811" s="194" t="s">
        <v>253</v>
      </c>
      <c r="N811" s="52" t="str">
        <f>IF(AND('331-CT'!$E$7=TH!H811,OR(L811="331",M811="331")),"331",IF(AND(OR(L811="131",M811="131"),H811='131-CT'!$E$7),"131",""))</f>
        <v/>
      </c>
      <c r="O811" s="90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821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902</v>
      </c>
      <c r="E812" s="184">
        <v>41946</v>
      </c>
      <c r="F812" s="192" t="s">
        <v>904</v>
      </c>
      <c r="G812" s="468" t="s">
        <v>326</v>
      </c>
      <c r="H812" s="44" t="s">
        <v>589</v>
      </c>
      <c r="I812" s="256"/>
      <c r="J812" s="256"/>
      <c r="K812" s="568">
        <v>27371135</v>
      </c>
      <c r="L812" s="39" t="s">
        <v>24</v>
      </c>
      <c r="M812" s="194" t="s">
        <v>253</v>
      </c>
      <c r="N812" s="52" t="str">
        <f>IF(AND('331-CT'!$E$7=TH!H812,OR(L812="331",M812="331")),"331",IF(AND(OR(L812="131",M812="131"),H812='131-CT'!$E$7),"131",""))</f>
        <v/>
      </c>
      <c r="O812" s="90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821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902</v>
      </c>
      <c r="E813" s="184">
        <v>41947</v>
      </c>
      <c r="F813" s="192" t="s">
        <v>904</v>
      </c>
      <c r="G813" s="468" t="s">
        <v>326</v>
      </c>
      <c r="H813" s="7" t="s">
        <v>662</v>
      </c>
      <c r="I813" s="256"/>
      <c r="J813" s="256"/>
      <c r="K813" s="568">
        <v>33211200</v>
      </c>
      <c r="L813" s="39" t="s">
        <v>24</v>
      </c>
      <c r="M813" s="194" t="s">
        <v>253</v>
      </c>
      <c r="N813" s="52" t="str">
        <f>IF(AND('331-CT'!$E$7=TH!H813,OR(L813="331",M813="331")),"331",IF(AND(OR(L813="131",M813="131"),H813='131-CT'!$E$7),"131",""))</f>
        <v/>
      </c>
      <c r="O813" s="90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821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902</v>
      </c>
      <c r="E814" s="184">
        <v>41948</v>
      </c>
      <c r="F814" s="192" t="s">
        <v>904</v>
      </c>
      <c r="G814" s="468" t="s">
        <v>326</v>
      </c>
      <c r="H814" s="7" t="s">
        <v>692</v>
      </c>
      <c r="I814" s="256"/>
      <c r="J814" s="256"/>
      <c r="K814" s="568">
        <v>14537776</v>
      </c>
      <c r="L814" s="39" t="s">
        <v>24</v>
      </c>
      <c r="M814" s="194" t="s">
        <v>253</v>
      </c>
      <c r="N814" s="52" t="str">
        <f>IF(AND('331-CT'!$E$7=TH!H814,OR(L814="331",M814="331")),"331",IF(AND(OR(L814="131",M814="131"),H814='131-CT'!$E$7),"131",""))</f>
        <v/>
      </c>
      <c r="O814" s="90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821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902</v>
      </c>
      <c r="E815" s="184">
        <v>41950</v>
      </c>
      <c r="F815" s="192" t="s">
        <v>904</v>
      </c>
      <c r="G815" s="468" t="s">
        <v>326</v>
      </c>
      <c r="H815" s="7" t="s">
        <v>649</v>
      </c>
      <c r="I815" s="256"/>
      <c r="J815" s="256"/>
      <c r="K815" s="568">
        <v>28910530</v>
      </c>
      <c r="L815" s="39" t="s">
        <v>24</v>
      </c>
      <c r="M815" s="194" t="s">
        <v>253</v>
      </c>
      <c r="N815" s="52" t="str">
        <f>IF(AND('331-CT'!$E$7=TH!H815,OR(L815="331",M815="331")),"331",IF(AND(OR(L815="131",M815="131"),H815='131-CT'!$E$7),"131",""))</f>
        <v/>
      </c>
      <c r="O815" s="90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821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902</v>
      </c>
      <c r="E816" s="184">
        <v>41950</v>
      </c>
      <c r="F816" s="192" t="s">
        <v>904</v>
      </c>
      <c r="G816" s="468" t="s">
        <v>326</v>
      </c>
      <c r="H816" s="7" t="s">
        <v>916</v>
      </c>
      <c r="I816" s="256"/>
      <c r="J816" s="256"/>
      <c r="K816" s="568">
        <v>11322850</v>
      </c>
      <c r="L816" s="39" t="s">
        <v>24</v>
      </c>
      <c r="M816" s="194" t="s">
        <v>253</v>
      </c>
      <c r="N816" s="52" t="str">
        <f>IF(AND('331-CT'!$E$7=TH!H816,OR(L816="331",M816="331")),"331",IF(AND(OR(L816="131",M816="131"),H816='131-CT'!$E$7),"131",""))</f>
        <v/>
      </c>
      <c r="O816" s="90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821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902</v>
      </c>
      <c r="E817" s="184">
        <v>41954</v>
      </c>
      <c r="F817" s="192" t="s">
        <v>904</v>
      </c>
      <c r="G817" s="468" t="s">
        <v>326</v>
      </c>
      <c r="H817" s="7" t="s">
        <v>609</v>
      </c>
      <c r="I817" s="256"/>
      <c r="J817" s="256"/>
      <c r="K817" s="568">
        <v>30000000</v>
      </c>
      <c r="L817" s="39" t="s">
        <v>24</v>
      </c>
      <c r="M817" s="194" t="s">
        <v>253</v>
      </c>
      <c r="N817" s="52" t="str">
        <f>IF(AND('331-CT'!$E$7=TH!H817,OR(L817="331",M817="331")),"331",IF(AND(OR(L817="131",M817="131"),H817='131-CT'!$E$7),"131",""))</f>
        <v/>
      </c>
      <c r="O817" s="90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821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902</v>
      </c>
      <c r="E818" s="184">
        <v>41956</v>
      </c>
      <c r="F818" s="192" t="s">
        <v>904</v>
      </c>
      <c r="G818" s="468" t="s">
        <v>326</v>
      </c>
      <c r="H818" s="7" t="s">
        <v>918</v>
      </c>
      <c r="I818" s="256"/>
      <c r="J818" s="256"/>
      <c r="K818" s="568">
        <v>26336200</v>
      </c>
      <c r="L818" s="39" t="s">
        <v>24</v>
      </c>
      <c r="M818" s="194" t="s">
        <v>253</v>
      </c>
      <c r="N818" s="52" t="str">
        <f>IF(AND('331-CT'!$E$7=TH!H818,OR(L818="331",M818="331")),"331",IF(AND(OR(L818="131",M818="131"),H818='131-CT'!$E$7),"131",""))</f>
        <v/>
      </c>
      <c r="O818" s="90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821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902</v>
      </c>
      <c r="E819" s="184">
        <v>41961</v>
      </c>
      <c r="F819" s="192" t="s">
        <v>904</v>
      </c>
      <c r="G819" s="468" t="s">
        <v>326</v>
      </c>
      <c r="H819" s="7" t="s">
        <v>917</v>
      </c>
      <c r="I819" s="256"/>
      <c r="J819" s="256"/>
      <c r="K819" s="568">
        <v>7553810</v>
      </c>
      <c r="L819" s="39" t="s">
        <v>24</v>
      </c>
      <c r="M819" s="194" t="s">
        <v>253</v>
      </c>
      <c r="N819" s="52" t="str">
        <f>IF(AND('331-CT'!$E$7=TH!H819,OR(L819="331",M819="331")),"331",IF(AND(OR(L819="131",M819="131"),H819='131-CT'!$E$7),"131",""))</f>
        <v/>
      </c>
      <c r="O819" s="90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821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43423</v>
      </c>
      <c r="D820" s="191" t="s">
        <v>902</v>
      </c>
      <c r="E820" s="184">
        <v>43423</v>
      </c>
      <c r="F820" s="192" t="s">
        <v>904</v>
      </c>
      <c r="G820" s="468" t="s">
        <v>326</v>
      </c>
      <c r="H820" s="7" t="s">
        <v>696</v>
      </c>
      <c r="I820" s="256"/>
      <c r="J820" s="256"/>
      <c r="K820" s="568">
        <v>17489000</v>
      </c>
      <c r="L820" s="39" t="s">
        <v>24</v>
      </c>
      <c r="M820" s="194" t="s">
        <v>253</v>
      </c>
      <c r="N820" s="52" t="str">
        <f>IF(AND('331-CT'!$E$7=TH!H820,OR(L820="331",M820="331")),"331",IF(AND(OR(L820="131",M820="131"),H820='131-CT'!$E$7),"131",""))</f>
        <v/>
      </c>
      <c r="O820" s="90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821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902</v>
      </c>
      <c r="E821" s="184">
        <v>41963</v>
      </c>
      <c r="F821" s="192" t="s">
        <v>904</v>
      </c>
      <c r="G821" s="468" t="s">
        <v>326</v>
      </c>
      <c r="H821" s="44" t="s">
        <v>589</v>
      </c>
      <c r="I821" s="256"/>
      <c r="J821" s="256"/>
      <c r="K821" s="568">
        <v>32983731</v>
      </c>
      <c r="L821" s="39" t="s">
        <v>24</v>
      </c>
      <c r="M821" s="194" t="s">
        <v>253</v>
      </c>
      <c r="N821" s="52" t="str">
        <f>IF(AND('331-CT'!$E$7=TH!H821,OR(L821="331",M821="331")),"331",IF(AND(OR(L821="131",M821="131"),H821='131-CT'!$E$7),"131",""))</f>
        <v/>
      </c>
      <c r="O821" s="90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821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902</v>
      </c>
      <c r="E822" s="184">
        <v>41963</v>
      </c>
      <c r="F822" s="192" t="s">
        <v>904</v>
      </c>
      <c r="G822" s="468" t="s">
        <v>326</v>
      </c>
      <c r="H822" s="7" t="s">
        <v>791</v>
      </c>
      <c r="I822" s="256"/>
      <c r="J822" s="256"/>
      <c r="K822" s="568">
        <v>9475159</v>
      </c>
      <c r="L822" s="39" t="s">
        <v>24</v>
      </c>
      <c r="M822" s="194" t="s">
        <v>253</v>
      </c>
      <c r="N822" s="52" t="str">
        <f>IF(AND('331-CT'!$E$7=TH!H822,OR(L822="331",M822="331")),"331",IF(AND(OR(L822="131",M822="131"),H822='131-CT'!$E$7),"131",""))</f>
        <v/>
      </c>
      <c r="O822" s="90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821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902</v>
      </c>
      <c r="E823" s="184">
        <v>41967</v>
      </c>
      <c r="F823" s="192" t="s">
        <v>904</v>
      </c>
      <c r="G823" s="468" t="s">
        <v>326</v>
      </c>
      <c r="H823" s="7" t="s">
        <v>692</v>
      </c>
      <c r="I823" s="256"/>
      <c r="J823" s="256"/>
      <c r="K823" s="568">
        <v>61091096</v>
      </c>
      <c r="L823" s="39" t="s">
        <v>24</v>
      </c>
      <c r="M823" s="194" t="s">
        <v>253</v>
      </c>
      <c r="N823" s="52" t="str">
        <f>IF(AND('331-CT'!$E$7=TH!H823,OR(L823="331",M823="331")),"331",IF(AND(OR(L823="131",M823="131"),H823='131-CT'!$E$7),"131",""))</f>
        <v/>
      </c>
      <c r="O823" s="90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821"/>
    </row>
    <row r="824" spans="1:28" s="211" customFormat="1" ht="15.75" hidden="1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909</v>
      </c>
      <c r="E824" s="184">
        <v>41946</v>
      </c>
      <c r="F824" s="192" t="s">
        <v>906</v>
      </c>
      <c r="G824" s="468" t="s">
        <v>326</v>
      </c>
      <c r="H824" s="193" t="s">
        <v>907</v>
      </c>
      <c r="I824" s="256"/>
      <c r="J824" s="256"/>
      <c r="K824" s="568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90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821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909</v>
      </c>
      <c r="E825" s="184">
        <v>41946</v>
      </c>
      <c r="F825" s="189" t="s">
        <v>903</v>
      </c>
      <c r="G825" s="468" t="s">
        <v>326</v>
      </c>
      <c r="H825" s="7"/>
      <c r="I825" s="256"/>
      <c r="J825" s="256"/>
      <c r="K825" s="568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90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821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909</v>
      </c>
      <c r="E826" s="184">
        <v>41946</v>
      </c>
      <c r="F826" s="189" t="s">
        <v>910</v>
      </c>
      <c r="G826" s="468" t="s">
        <v>326</v>
      </c>
      <c r="H826" s="7"/>
      <c r="I826" s="256"/>
      <c r="J826" s="256"/>
      <c r="K826" s="568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90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>x</v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821"/>
    </row>
    <row r="827" spans="1:28" s="211" customFormat="1" ht="15.75" hidden="1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909</v>
      </c>
      <c r="E827" s="184">
        <v>41949</v>
      </c>
      <c r="F827" s="192" t="s">
        <v>906</v>
      </c>
      <c r="G827" s="468" t="s">
        <v>326</v>
      </c>
      <c r="H827" s="193" t="s">
        <v>907</v>
      </c>
      <c r="I827" s="256"/>
      <c r="J827" s="256"/>
      <c r="K827" s="568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90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821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909</v>
      </c>
      <c r="E828" s="184">
        <v>41949</v>
      </c>
      <c r="F828" s="189" t="s">
        <v>910</v>
      </c>
      <c r="G828" s="468" t="s">
        <v>326</v>
      </c>
      <c r="H828" s="7"/>
      <c r="I828" s="256"/>
      <c r="J828" s="256"/>
      <c r="K828" s="568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90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>x</v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821"/>
    </row>
    <row r="829" spans="1:28" s="211" customFormat="1" ht="15.75" hidden="1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909</v>
      </c>
      <c r="E829" s="184">
        <v>41951</v>
      </c>
      <c r="F829" s="192" t="s">
        <v>906</v>
      </c>
      <c r="G829" s="468" t="s">
        <v>326</v>
      </c>
      <c r="H829" s="193" t="s">
        <v>907</v>
      </c>
      <c r="I829" s="256"/>
      <c r="J829" s="256"/>
      <c r="K829" s="568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90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821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909</v>
      </c>
      <c r="E830" s="184">
        <v>41956</v>
      </c>
      <c r="F830" s="189" t="s">
        <v>903</v>
      </c>
      <c r="G830" s="468" t="s">
        <v>326</v>
      </c>
      <c r="H830" s="7"/>
      <c r="I830" s="256"/>
      <c r="J830" s="256"/>
      <c r="K830" s="568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90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821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909</v>
      </c>
      <c r="E831" s="184">
        <v>41956</v>
      </c>
      <c r="F831" s="189" t="s">
        <v>903</v>
      </c>
      <c r="G831" s="468" t="s">
        <v>326</v>
      </c>
      <c r="H831" s="7"/>
      <c r="I831" s="256"/>
      <c r="J831" s="256"/>
      <c r="K831" s="568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90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821"/>
    </row>
    <row r="832" spans="1:28" s="211" customFormat="1" ht="15.75" hidden="1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909</v>
      </c>
      <c r="E832" s="184">
        <v>41956</v>
      </c>
      <c r="F832" s="192" t="s">
        <v>906</v>
      </c>
      <c r="G832" s="468" t="s">
        <v>326</v>
      </c>
      <c r="H832" s="193" t="s">
        <v>907</v>
      </c>
      <c r="I832" s="256"/>
      <c r="J832" s="256"/>
      <c r="K832" s="568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90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821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909</v>
      </c>
      <c r="E833" s="184">
        <v>41956</v>
      </c>
      <c r="F833" s="189" t="s">
        <v>910</v>
      </c>
      <c r="G833" s="468" t="s">
        <v>326</v>
      </c>
      <c r="H833" s="7"/>
      <c r="I833" s="256"/>
      <c r="J833" s="256"/>
      <c r="K833" s="568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90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>x</v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821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909</v>
      </c>
      <c r="E834" s="184">
        <v>41956</v>
      </c>
      <c r="F834" s="189" t="s">
        <v>910</v>
      </c>
      <c r="G834" s="468" t="s">
        <v>326</v>
      </c>
      <c r="H834" s="7"/>
      <c r="I834" s="256"/>
      <c r="J834" s="256"/>
      <c r="K834" s="568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90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>x</v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821"/>
    </row>
    <row r="835" spans="1:28" s="211" customFormat="1" ht="15.75" hidden="1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909</v>
      </c>
      <c r="E835" s="184">
        <v>41965</v>
      </c>
      <c r="F835" s="192" t="s">
        <v>906</v>
      </c>
      <c r="G835" s="468" t="s">
        <v>326</v>
      </c>
      <c r="H835" s="193" t="s">
        <v>907</v>
      </c>
      <c r="I835" s="256"/>
      <c r="J835" s="256"/>
      <c r="K835" s="568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90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821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909</v>
      </c>
      <c r="E836" s="184">
        <v>41965</v>
      </c>
      <c r="F836" s="189" t="s">
        <v>903</v>
      </c>
      <c r="G836" s="468" t="s">
        <v>326</v>
      </c>
      <c r="H836" s="7"/>
      <c r="I836" s="256"/>
      <c r="J836" s="256"/>
      <c r="K836" s="568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90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821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909</v>
      </c>
      <c r="E837" s="184">
        <v>41965</v>
      </c>
      <c r="F837" s="189" t="s">
        <v>903</v>
      </c>
      <c r="G837" s="468" t="s">
        <v>326</v>
      </c>
      <c r="H837" s="7"/>
      <c r="I837" s="256"/>
      <c r="J837" s="256"/>
      <c r="K837" s="568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90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821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909</v>
      </c>
      <c r="E838" s="184">
        <v>41965</v>
      </c>
      <c r="F838" s="189" t="s">
        <v>910</v>
      </c>
      <c r="G838" s="468" t="s">
        <v>326</v>
      </c>
      <c r="H838" s="7"/>
      <c r="I838" s="256"/>
      <c r="J838" s="256"/>
      <c r="K838" s="568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90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>x</v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821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909</v>
      </c>
      <c r="E839" s="184">
        <v>41965</v>
      </c>
      <c r="F839" s="189" t="s">
        <v>910</v>
      </c>
      <c r="G839" s="468" t="s">
        <v>326</v>
      </c>
      <c r="H839" s="7"/>
      <c r="I839" s="256"/>
      <c r="J839" s="256"/>
      <c r="K839" s="568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90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>x</v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821"/>
    </row>
    <row r="840" spans="1:28" s="211" customFormat="1" ht="15.75" hidden="1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909</v>
      </c>
      <c r="E840" s="184">
        <v>41968</v>
      </c>
      <c r="F840" s="192" t="s">
        <v>906</v>
      </c>
      <c r="G840" s="468" t="s">
        <v>326</v>
      </c>
      <c r="H840" s="193" t="s">
        <v>907</v>
      </c>
      <c r="I840" s="256"/>
      <c r="J840" s="256"/>
      <c r="K840" s="568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90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821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909</v>
      </c>
      <c r="E841" s="184">
        <v>41968</v>
      </c>
      <c r="F841" s="189" t="s">
        <v>903</v>
      </c>
      <c r="G841" s="468" t="s">
        <v>326</v>
      </c>
      <c r="H841" s="7"/>
      <c r="I841" s="256"/>
      <c r="J841" s="256"/>
      <c r="K841" s="568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90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821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909</v>
      </c>
      <c r="E842" s="184">
        <v>41968</v>
      </c>
      <c r="F842" s="189" t="s">
        <v>910</v>
      </c>
      <c r="G842" s="468" t="s">
        <v>326</v>
      </c>
      <c r="H842" s="7"/>
      <c r="I842" s="256"/>
      <c r="J842" s="256"/>
      <c r="K842" s="568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90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>x</v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821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902</v>
      </c>
      <c r="E843" s="184">
        <v>41968</v>
      </c>
      <c r="F843" s="192" t="s">
        <v>905</v>
      </c>
      <c r="G843" s="468" t="s">
        <v>326</v>
      </c>
      <c r="H843" s="7"/>
      <c r="I843" s="256"/>
      <c r="J843" s="256"/>
      <c r="K843" s="568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90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821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902</v>
      </c>
      <c r="E844" s="184">
        <v>41971</v>
      </c>
      <c r="F844" s="192" t="s">
        <v>904</v>
      </c>
      <c r="G844" s="468" t="s">
        <v>326</v>
      </c>
      <c r="H844" s="7" t="s">
        <v>916</v>
      </c>
      <c r="I844" s="256"/>
      <c r="J844" s="256"/>
      <c r="K844" s="568">
        <v>14909400</v>
      </c>
      <c r="L844" s="39" t="s">
        <v>24</v>
      </c>
      <c r="M844" s="39" t="s">
        <v>253</v>
      </c>
      <c r="N844" s="52" t="str">
        <f>IF(AND('331-CT'!$E$7=TH!H844,OR(L844="331",M844="331")),"331",IF(AND(OR(L844="131",M844="131"),H844='131-CT'!$E$7),"131",""))</f>
        <v/>
      </c>
      <c r="O844" s="90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821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902</v>
      </c>
      <c r="E845" s="184">
        <v>41978</v>
      </c>
      <c r="F845" s="192" t="s">
        <v>904</v>
      </c>
      <c r="G845" s="468" t="s">
        <v>326</v>
      </c>
      <c r="H845" s="44" t="s">
        <v>589</v>
      </c>
      <c r="I845" s="256"/>
      <c r="J845" s="256"/>
      <c r="K845" s="568">
        <v>52579120</v>
      </c>
      <c r="L845" s="39" t="s">
        <v>24</v>
      </c>
      <c r="M845" s="39" t="s">
        <v>253</v>
      </c>
      <c r="N845" s="52" t="str">
        <f>IF(AND('331-CT'!$E$7=TH!H845,OR(L845="331",M845="331")),"331",IF(AND(OR(L845="131",M845="131"),H845='131-CT'!$E$7),"131",""))</f>
        <v/>
      </c>
      <c r="O845" s="90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821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902</v>
      </c>
      <c r="E846" s="184">
        <v>41983</v>
      </c>
      <c r="F846" s="192" t="s">
        <v>904</v>
      </c>
      <c r="G846" s="468" t="s">
        <v>326</v>
      </c>
      <c r="H846" s="7" t="s">
        <v>918</v>
      </c>
      <c r="I846" s="256"/>
      <c r="J846" s="256"/>
      <c r="K846" s="568">
        <v>7809835</v>
      </c>
      <c r="L846" s="39" t="s">
        <v>24</v>
      </c>
      <c r="M846" s="39" t="s">
        <v>253</v>
      </c>
      <c r="N846" s="52" t="str">
        <f>IF(AND('331-CT'!$E$7=TH!H846,OR(L846="331",M846="331")),"331",IF(AND(OR(L846="131",M846="131"),H846='131-CT'!$E$7),"131",""))</f>
        <v/>
      </c>
      <c r="O846" s="90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821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902</v>
      </c>
      <c r="E847" s="184">
        <v>41985</v>
      </c>
      <c r="F847" s="192" t="s">
        <v>904</v>
      </c>
      <c r="G847" s="468" t="s">
        <v>326</v>
      </c>
      <c r="H847" s="7" t="s">
        <v>609</v>
      </c>
      <c r="I847" s="256"/>
      <c r="J847" s="256"/>
      <c r="K847" s="568">
        <v>30000000</v>
      </c>
      <c r="L847" s="39" t="s">
        <v>24</v>
      </c>
      <c r="M847" s="39" t="s">
        <v>253</v>
      </c>
      <c r="N847" s="52" t="str">
        <f>IF(AND('331-CT'!$E$7=TH!H847,OR(L847="331",M847="331")),"331",IF(AND(OR(L847="131",M847="131"),H847='131-CT'!$E$7),"131",""))</f>
        <v/>
      </c>
      <c r="O847" s="90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821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902</v>
      </c>
      <c r="E848" s="184">
        <v>41985</v>
      </c>
      <c r="F848" s="192" t="s">
        <v>904</v>
      </c>
      <c r="G848" s="468" t="s">
        <v>326</v>
      </c>
      <c r="H848" s="44" t="s">
        <v>589</v>
      </c>
      <c r="I848" s="256"/>
      <c r="J848" s="256"/>
      <c r="K848" s="568">
        <v>25896200</v>
      </c>
      <c r="L848" s="39" t="s">
        <v>24</v>
      </c>
      <c r="M848" s="39" t="s">
        <v>253</v>
      </c>
      <c r="N848" s="52" t="str">
        <f>IF(AND('331-CT'!$E$7=TH!H848,OR(L848="331",M848="331")),"331",IF(AND(OR(L848="131",M848="131"),H848='131-CT'!$E$7),"131",""))</f>
        <v/>
      </c>
      <c r="O848" s="90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821"/>
    </row>
    <row r="849" spans="1:29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902</v>
      </c>
      <c r="E849" s="184">
        <v>41992</v>
      </c>
      <c r="F849" s="192" t="s">
        <v>904</v>
      </c>
      <c r="G849" s="468" t="s">
        <v>326</v>
      </c>
      <c r="H849" s="7" t="s">
        <v>692</v>
      </c>
      <c r="I849" s="256"/>
      <c r="J849" s="256"/>
      <c r="K849" s="568">
        <v>3311352</v>
      </c>
      <c r="L849" s="39" t="s">
        <v>24</v>
      </c>
      <c r="M849" s="39" t="s">
        <v>253</v>
      </c>
      <c r="N849" s="52" t="str">
        <f>IF(AND('331-CT'!$E$7=TH!H849,OR(L849="331",M849="331")),"331",IF(AND(OR(L849="131",M849="131"),H849='131-CT'!$E$7),"131",""))</f>
        <v/>
      </c>
      <c r="O849" s="90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821"/>
    </row>
    <row r="850" spans="1:29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902</v>
      </c>
      <c r="E850" s="184">
        <v>41996</v>
      </c>
      <c r="F850" s="192" t="s">
        <v>904</v>
      </c>
      <c r="G850" s="468" t="s">
        <v>326</v>
      </c>
      <c r="H850" s="7" t="s">
        <v>918</v>
      </c>
      <c r="I850" s="256"/>
      <c r="J850" s="256"/>
      <c r="K850" s="568">
        <v>13347400</v>
      </c>
      <c r="L850" s="39" t="s">
        <v>24</v>
      </c>
      <c r="M850" s="39" t="s">
        <v>253</v>
      </c>
      <c r="N850" s="52" t="str">
        <f>IF(AND('331-CT'!$E$7=TH!H850,OR(L850="331",M850="331")),"331",IF(AND(OR(L850="131",M850="131"),H850='131-CT'!$E$7),"131",""))</f>
        <v/>
      </c>
      <c r="O850" s="90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821"/>
    </row>
    <row r="851" spans="1:29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902</v>
      </c>
      <c r="E851" s="184">
        <v>41998</v>
      </c>
      <c r="F851" s="192" t="s">
        <v>905</v>
      </c>
      <c r="G851" s="468" t="s">
        <v>326</v>
      </c>
      <c r="H851" s="7"/>
      <c r="I851" s="256"/>
      <c r="J851" s="256"/>
      <c r="K851" s="568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90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821"/>
    </row>
    <row r="852" spans="1:29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902</v>
      </c>
      <c r="E852" s="184">
        <v>42002</v>
      </c>
      <c r="F852" s="192" t="s">
        <v>904</v>
      </c>
      <c r="G852" s="468" t="s">
        <v>326</v>
      </c>
      <c r="H852" s="45" t="s">
        <v>475</v>
      </c>
      <c r="I852" s="256"/>
      <c r="J852" s="256"/>
      <c r="K852" s="568">
        <v>3932500</v>
      </c>
      <c r="L852" s="39" t="s">
        <v>24</v>
      </c>
      <c r="M852" s="39" t="s">
        <v>253</v>
      </c>
      <c r="N852" s="52" t="str">
        <f>IF(AND('331-CT'!$E$7=TH!H852,OR(L852="331",M852="331")),"331",IF(AND(OR(L852="131",M852="131"),H852='131-CT'!$E$7),"131",""))</f>
        <v/>
      </c>
      <c r="O852" s="90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821"/>
    </row>
    <row r="853" spans="1:29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902</v>
      </c>
      <c r="E853" s="184">
        <v>42004</v>
      </c>
      <c r="F853" s="192" t="s">
        <v>904</v>
      </c>
      <c r="G853" s="468" t="s">
        <v>326</v>
      </c>
      <c r="H853" s="7" t="s">
        <v>916</v>
      </c>
      <c r="I853" s="256"/>
      <c r="J853" s="256"/>
      <c r="K853" s="568">
        <v>15585570</v>
      </c>
      <c r="L853" s="39" t="s">
        <v>24</v>
      </c>
      <c r="M853" s="39" t="s">
        <v>253</v>
      </c>
      <c r="N853" s="52" t="str">
        <f>IF(AND('331-CT'!$E$7=TH!H853,OR(L853="331",M853="331")),"331",IF(AND(OR(L853="131",M853="131"),H853='131-CT'!$E$7),"131",""))</f>
        <v/>
      </c>
      <c r="O853" s="90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821"/>
    </row>
    <row r="854" spans="1:29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909</v>
      </c>
      <c r="E854" s="184">
        <v>41972</v>
      </c>
      <c r="F854" s="189" t="s">
        <v>903</v>
      </c>
      <c r="G854" s="468" t="s">
        <v>326</v>
      </c>
      <c r="H854" s="7"/>
      <c r="I854" s="256"/>
      <c r="J854" s="256"/>
      <c r="K854" s="568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90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821"/>
    </row>
    <row r="855" spans="1:29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909</v>
      </c>
      <c r="E855" s="184">
        <v>41972</v>
      </c>
      <c r="F855" s="189" t="s">
        <v>910</v>
      </c>
      <c r="G855" s="468" t="s">
        <v>326</v>
      </c>
      <c r="H855" s="7"/>
      <c r="I855" s="256"/>
      <c r="J855" s="256"/>
      <c r="K855" s="568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90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>x</v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821"/>
    </row>
    <row r="856" spans="1:29" s="211" customFormat="1" ht="15.75" hidden="1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909</v>
      </c>
      <c r="E856" s="184">
        <v>41981</v>
      </c>
      <c r="F856" s="192" t="s">
        <v>906</v>
      </c>
      <c r="G856" s="468" t="s">
        <v>326</v>
      </c>
      <c r="H856" s="193" t="s">
        <v>907</v>
      </c>
      <c r="I856" s="256"/>
      <c r="J856" s="256"/>
      <c r="K856" s="568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90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821"/>
    </row>
    <row r="857" spans="1:29" s="211" customFormat="1" ht="15.75" hidden="1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909</v>
      </c>
      <c r="E857" s="184">
        <v>41985</v>
      </c>
      <c r="F857" s="192" t="s">
        <v>906</v>
      </c>
      <c r="G857" s="468" t="s">
        <v>326</v>
      </c>
      <c r="H857" s="193" t="s">
        <v>907</v>
      </c>
      <c r="I857" s="256"/>
      <c r="J857" s="256"/>
      <c r="K857" s="568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90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821"/>
    </row>
    <row r="858" spans="1:29" s="211" customFormat="1" ht="15.75" hidden="1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909</v>
      </c>
      <c r="E858" s="184">
        <v>41996</v>
      </c>
      <c r="F858" s="192" t="s">
        <v>906</v>
      </c>
      <c r="G858" s="468" t="s">
        <v>326</v>
      </c>
      <c r="H858" s="193" t="s">
        <v>907</v>
      </c>
      <c r="I858" s="256"/>
      <c r="J858" s="256"/>
      <c r="K858" s="568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90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821"/>
    </row>
    <row r="859" spans="1:29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24" si="51">IF(C859&lt;&gt;"",MONTH(C859),"")</f>
        <v>1</v>
      </c>
      <c r="C859" s="191">
        <f t="shared" ref="C859:C924" si="52">E859</f>
        <v>41647</v>
      </c>
      <c r="D859" s="191"/>
      <c r="E859" s="184">
        <v>41647</v>
      </c>
      <c r="F859" s="189" t="s">
        <v>1001</v>
      </c>
      <c r="G859" s="468" t="s">
        <v>1012</v>
      </c>
      <c r="H859" s="7" t="s">
        <v>1000</v>
      </c>
      <c r="I859" s="256"/>
      <c r="J859" s="256"/>
      <c r="K859" s="568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90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>x</v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>x</v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821">
        <v>1</v>
      </c>
    </row>
    <row r="860" spans="1:29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1002</v>
      </c>
      <c r="G860" s="468" t="s">
        <v>1012</v>
      </c>
      <c r="H860" s="7" t="s">
        <v>1000</v>
      </c>
      <c r="I860" s="256"/>
      <c r="J860" s="256"/>
      <c r="K860" s="568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90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>x</v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821">
        <v>1</v>
      </c>
    </row>
    <row r="861" spans="1:29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1223</v>
      </c>
      <c r="E861" s="184">
        <v>41655</v>
      </c>
      <c r="F861" s="192" t="s">
        <v>1007</v>
      </c>
      <c r="G861" s="468" t="s">
        <v>1013</v>
      </c>
      <c r="H861" s="7" t="s">
        <v>1006</v>
      </c>
      <c r="I861" s="256">
        <v>1154</v>
      </c>
      <c r="J861" s="256">
        <v>15220</v>
      </c>
      <c r="K861" s="568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90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821">
        <v>1</v>
      </c>
      <c r="AC861" s="211" t="str">
        <f>IF(H861=VLOOKUP(H861,DSKH,1,0),"","x")</f>
        <v/>
      </c>
    </row>
    <row r="862" spans="1:29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1223</v>
      </c>
      <c r="E862" s="184">
        <v>41655</v>
      </c>
      <c r="F862" s="189" t="s">
        <v>1008</v>
      </c>
      <c r="G862" s="468" t="s">
        <v>1013</v>
      </c>
      <c r="H862" s="7" t="s">
        <v>1006</v>
      </c>
      <c r="I862" s="256"/>
      <c r="J862" s="256"/>
      <c r="K862" s="568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90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821">
        <v>1</v>
      </c>
      <c r="AC862" s="211" t="str">
        <f>IF(H862=VLOOKUP(H862,DSKH,1,0),"","x")</f>
        <v/>
      </c>
    </row>
    <row r="863" spans="1:29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51"/>
        <v>1</v>
      </c>
      <c r="C863" s="191">
        <f t="shared" si="52"/>
        <v>41659</v>
      </c>
      <c r="D863" s="191" t="s">
        <v>1224</v>
      </c>
      <c r="E863" s="184">
        <v>41659</v>
      </c>
      <c r="F863" s="192" t="s">
        <v>1009</v>
      </c>
      <c r="G863" s="468" t="s">
        <v>1014</v>
      </c>
      <c r="H863" s="7" t="s">
        <v>1006</v>
      </c>
      <c r="I863" s="256">
        <v>1012</v>
      </c>
      <c r="J863" s="256">
        <v>13400</v>
      </c>
      <c r="K863" s="568">
        <f>ROUND(I863*J863,0)</f>
        <v>13560800</v>
      </c>
      <c r="L863" s="39" t="s">
        <v>159</v>
      </c>
      <c r="M863" s="39" t="s">
        <v>8</v>
      </c>
      <c r="N863" s="52" t="str">
        <f>IF(AND('331-CT'!$E$7=TH!H863,OR(L863="331",M863="331")),"331",IF(AND(OR(L863="131",M863="131"),H863='131-CT'!$E$7),"131",""))</f>
        <v/>
      </c>
      <c r="O863" s="90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821">
        <v>1</v>
      </c>
      <c r="AC863" s="211" t="str">
        <f>IF(H863=VLOOKUP(H863,DSKH,1,0),"","x")</f>
        <v/>
      </c>
    </row>
    <row r="864" spans="1:29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1224</v>
      </c>
      <c r="E864" s="184">
        <v>41659</v>
      </c>
      <c r="F864" s="189" t="s">
        <v>1008</v>
      </c>
      <c r="G864" s="468" t="s">
        <v>1014</v>
      </c>
      <c r="H864" s="7" t="s">
        <v>1006</v>
      </c>
      <c r="I864" s="256"/>
      <c r="J864" s="256"/>
      <c r="K864" s="568">
        <v>1356080</v>
      </c>
      <c r="L864" s="39" t="s">
        <v>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90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821">
        <v>1</v>
      </c>
      <c r="AC864" s="211" t="str">
        <f>IF(H864=VLOOKUP(H864,DSKH,1,0),"","x")</f>
        <v/>
      </c>
    </row>
    <row r="865" spans="1:31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51"/>
        <v>1</v>
      </c>
      <c r="C865" s="191">
        <f t="shared" si="52"/>
        <v>41660</v>
      </c>
      <c r="D865" s="191"/>
      <c r="E865" s="184">
        <v>41660</v>
      </c>
      <c r="F865" s="192" t="s">
        <v>377</v>
      </c>
      <c r="G865" s="468" t="s">
        <v>1015</v>
      </c>
      <c r="H865" s="7" t="s">
        <v>1010</v>
      </c>
      <c r="I865" s="256"/>
      <c r="J865" s="256"/>
      <c r="K865" s="568">
        <v>950000</v>
      </c>
      <c r="L865" s="39" t="s">
        <v>167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90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821">
        <v>1</v>
      </c>
    </row>
    <row r="866" spans="1:31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41660</v>
      </c>
      <c r="D866" s="191"/>
      <c r="E866" s="184">
        <v>41660</v>
      </c>
      <c r="F866" s="192" t="s">
        <v>1011</v>
      </c>
      <c r="G866" s="468" t="s">
        <v>1015</v>
      </c>
      <c r="H866" s="7" t="s">
        <v>1010</v>
      </c>
      <c r="I866" s="256"/>
      <c r="J866" s="256"/>
      <c r="K866" s="568">
        <v>95000</v>
      </c>
      <c r="L866" s="39" t="s">
        <v>9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90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>x</v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821">
        <v>1</v>
      </c>
    </row>
    <row r="867" spans="1:31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41661</v>
      </c>
      <c r="D867" s="191" t="s">
        <v>1225</v>
      </c>
      <c r="E867" s="184">
        <v>41661</v>
      </c>
      <c r="F867" s="192" t="s">
        <v>1016</v>
      </c>
      <c r="G867" s="468" t="s">
        <v>1017</v>
      </c>
      <c r="H867" s="7" t="s">
        <v>1006</v>
      </c>
      <c r="I867" s="256">
        <v>870</v>
      </c>
      <c r="J867" s="256">
        <v>20620</v>
      </c>
      <c r="K867" s="568">
        <f>ROUND(I867*J867,0)</f>
        <v>17939400</v>
      </c>
      <c r="L867" s="39" t="s">
        <v>159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90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821">
        <v>1</v>
      </c>
      <c r="AC867" s="211" t="str">
        <f>IF(H867=VLOOKUP(H867,DSKH,1,0),"","x")</f>
        <v/>
      </c>
    </row>
    <row r="868" spans="1:31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41661</v>
      </c>
      <c r="D868" s="191" t="s">
        <v>1225</v>
      </c>
      <c r="E868" s="184">
        <v>41661</v>
      </c>
      <c r="F868" s="189" t="s">
        <v>1008</v>
      </c>
      <c r="G868" s="468" t="s">
        <v>1017</v>
      </c>
      <c r="H868" s="7" t="s">
        <v>1006</v>
      </c>
      <c r="I868" s="256"/>
      <c r="J868" s="256"/>
      <c r="K868" s="568">
        <v>1793940</v>
      </c>
      <c r="L868" s="39" t="s">
        <v>9</v>
      </c>
      <c r="M868" s="39" t="s">
        <v>8</v>
      </c>
      <c r="N868" s="52" t="str">
        <f>IF(AND('331-CT'!$E$7=TH!H868,OR(L868="331",M868="331")),"331",IF(AND(OR(L868="131",M868="131"),H868='131-CT'!$E$7),"131",""))</f>
        <v/>
      </c>
      <c r="O868" s="90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821">
        <v>1</v>
      </c>
      <c r="AC868" s="211" t="str">
        <f>IF(H868=VLOOKUP(H868,DSKH,1,0),"","x")</f>
        <v/>
      </c>
    </row>
    <row r="869" spans="1:31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37">
        <f t="shared" si="52"/>
        <v>41663</v>
      </c>
      <c r="D869" s="37"/>
      <c r="E869" s="37">
        <v>41663</v>
      </c>
      <c r="F869" s="189" t="s">
        <v>1003</v>
      </c>
      <c r="G869" s="468" t="s">
        <v>1210</v>
      </c>
      <c r="H869" s="7" t="s">
        <v>1005</v>
      </c>
      <c r="I869" s="256"/>
      <c r="J869" s="256"/>
      <c r="K869" s="568">
        <v>915306</v>
      </c>
      <c r="L869" s="39" t="s">
        <v>83</v>
      </c>
      <c r="M869" s="39" t="s">
        <v>47</v>
      </c>
      <c r="N869" s="52" t="str">
        <f>IF(AND('331-CT'!$E$7=TH!H869,OR(L869="331",M869="331")),"331",IF(AND(OR(L869="131",M869="131"),H869='131-CT'!$E$7),"131",""))</f>
        <v/>
      </c>
      <c r="O869" s="90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>x</v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>x</v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821">
        <v>2</v>
      </c>
    </row>
    <row r="870" spans="1:31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37">
        <f t="shared" si="52"/>
        <v>41663</v>
      </c>
      <c r="D870" s="37"/>
      <c r="E870" s="37">
        <v>41663</v>
      </c>
      <c r="F870" s="189" t="s">
        <v>1004</v>
      </c>
      <c r="G870" s="468" t="s">
        <v>1210</v>
      </c>
      <c r="H870" s="7" t="s">
        <v>1005</v>
      </c>
      <c r="I870" s="256"/>
      <c r="J870" s="256"/>
      <c r="K870" s="568">
        <v>91531</v>
      </c>
      <c r="L870" s="849" t="s">
        <v>9</v>
      </c>
      <c r="M870" s="39" t="s">
        <v>47</v>
      </c>
      <c r="N870" s="52" t="str">
        <f>IF(AND('331-CT'!$E$7=TH!H870,OR(L870="331",M870="331")),"331",IF(AND(OR(L870="131",M870="131"),H870='131-CT'!$E$7),"131",""))</f>
        <v/>
      </c>
      <c r="O870" s="90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>x</v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821">
        <v>2</v>
      </c>
    </row>
    <row r="871" spans="1:31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51"/>
        <v>2</v>
      </c>
      <c r="C871" s="191">
        <f t="shared" si="52"/>
        <v>41688</v>
      </c>
      <c r="D871" s="191"/>
      <c r="E871" s="184">
        <v>41688</v>
      </c>
      <c r="F871" s="189" t="s">
        <v>1001</v>
      </c>
      <c r="G871" s="468" t="s">
        <v>1018</v>
      </c>
      <c r="H871" s="7" t="s">
        <v>1000</v>
      </c>
      <c r="I871" s="256"/>
      <c r="J871" s="256"/>
      <c r="K871" s="568">
        <f>238466+289462+315615</f>
        <v>843543</v>
      </c>
      <c r="L871" s="39" t="s">
        <v>83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90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>x</v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>x</v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821">
        <v>1</v>
      </c>
    </row>
    <row r="872" spans="1:31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1"/>
        <v>2</v>
      </c>
      <c r="C872" s="191">
        <f t="shared" si="52"/>
        <v>41688</v>
      </c>
      <c r="D872" s="191"/>
      <c r="E872" s="184">
        <v>41688</v>
      </c>
      <c r="F872" s="189" t="s">
        <v>1002</v>
      </c>
      <c r="G872" s="468" t="s">
        <v>1018</v>
      </c>
      <c r="H872" s="7" t="s">
        <v>1000</v>
      </c>
      <c r="I872" s="256"/>
      <c r="J872" s="256"/>
      <c r="K872" s="568">
        <f>23846+28946+31560</f>
        <v>84352</v>
      </c>
      <c r="L872" s="39" t="s">
        <v>9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90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>x</v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821">
        <v>1</v>
      </c>
    </row>
    <row r="873" spans="1:31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1"/>
        <v>2</v>
      </c>
      <c r="C873" s="191">
        <f t="shared" si="52"/>
        <v>41690</v>
      </c>
      <c r="D873" s="191"/>
      <c r="E873" s="184">
        <v>41690</v>
      </c>
      <c r="F873" s="192" t="s">
        <v>377</v>
      </c>
      <c r="G873" s="468" t="s">
        <v>524</v>
      </c>
      <c r="H873" s="7" t="s">
        <v>1010</v>
      </c>
      <c r="I873" s="256"/>
      <c r="J873" s="256"/>
      <c r="K873" s="568">
        <v>11530000</v>
      </c>
      <c r="L873" s="39" t="s">
        <v>167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90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>x</v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821">
        <v>1</v>
      </c>
    </row>
    <row r="874" spans="1:31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41690</v>
      </c>
      <c r="D874" s="191"/>
      <c r="E874" s="184">
        <v>41690</v>
      </c>
      <c r="F874" s="192" t="s">
        <v>1011</v>
      </c>
      <c r="G874" s="468" t="s">
        <v>524</v>
      </c>
      <c r="H874" s="7" t="s">
        <v>1010</v>
      </c>
      <c r="I874" s="256"/>
      <c r="J874" s="256"/>
      <c r="K874" s="568">
        <v>1153000</v>
      </c>
      <c r="L874" s="39" t="s">
        <v>9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90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>x</v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821">
        <v>1</v>
      </c>
    </row>
    <row r="875" spans="1:31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ref="B875:B876" si="53">IF(C875&lt;&gt;"",MONTH(C875),"")</f>
        <v>2</v>
      </c>
      <c r="C875" s="37">
        <f t="shared" ref="C875:C876" si="54">E875</f>
        <v>41694</v>
      </c>
      <c r="D875" s="37"/>
      <c r="E875" s="191">
        <v>41694</v>
      </c>
      <c r="F875" s="189" t="s">
        <v>1003</v>
      </c>
      <c r="G875" s="467" t="s">
        <v>1211</v>
      </c>
      <c r="H875" s="7" t="s">
        <v>1005</v>
      </c>
      <c r="I875" s="256"/>
      <c r="J875" s="256"/>
      <c r="K875" s="568">
        <v>643948</v>
      </c>
      <c r="L875" s="39" t="s">
        <v>83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90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>x</v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>x</v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821">
        <v>2</v>
      </c>
    </row>
    <row r="876" spans="1:31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53"/>
        <v>2</v>
      </c>
      <c r="C876" s="37">
        <f t="shared" si="54"/>
        <v>41694</v>
      </c>
      <c r="D876" s="37"/>
      <c r="E876" s="191">
        <v>41694</v>
      </c>
      <c r="F876" s="189" t="s">
        <v>1004</v>
      </c>
      <c r="G876" s="467" t="s">
        <v>1211</v>
      </c>
      <c r="H876" s="7" t="s">
        <v>1005</v>
      </c>
      <c r="I876" s="256"/>
      <c r="J876" s="256"/>
      <c r="K876" s="568">
        <v>64395</v>
      </c>
      <c r="L876" s="39" t="s">
        <v>9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90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821">
        <v>2</v>
      </c>
    </row>
    <row r="877" spans="1:31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1"/>
        <v>3</v>
      </c>
      <c r="C877" s="37">
        <f t="shared" si="52"/>
        <v>41708</v>
      </c>
      <c r="D877" s="37"/>
      <c r="E877" s="191">
        <v>41708</v>
      </c>
      <c r="F877" s="189" t="s">
        <v>1003</v>
      </c>
      <c r="G877" s="467" t="s">
        <v>1211</v>
      </c>
      <c r="H877" s="7" t="s">
        <v>1005</v>
      </c>
      <c r="I877" s="256"/>
      <c r="J877" s="256"/>
      <c r="K877" s="568">
        <v>643948</v>
      </c>
      <c r="L877" s="39" t="s">
        <v>83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90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821">
        <v>1</v>
      </c>
    </row>
    <row r="878" spans="1:31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51"/>
        <v>3</v>
      </c>
      <c r="C878" s="37">
        <f t="shared" si="52"/>
        <v>41708</v>
      </c>
      <c r="D878" s="37"/>
      <c r="E878" s="191">
        <v>41708</v>
      </c>
      <c r="F878" s="189" t="s">
        <v>1004</v>
      </c>
      <c r="G878" s="467" t="s">
        <v>1211</v>
      </c>
      <c r="H878" s="7" t="s">
        <v>1005</v>
      </c>
      <c r="I878" s="256"/>
      <c r="J878" s="256"/>
      <c r="K878" s="568">
        <v>64395</v>
      </c>
      <c r="L878" s="39" t="s">
        <v>9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90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821">
        <v>1</v>
      </c>
    </row>
    <row r="879" spans="1:31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51"/>
        <v>3</v>
      </c>
      <c r="C879" s="191">
        <f t="shared" si="52"/>
        <v>41708</v>
      </c>
      <c r="D879" s="184"/>
      <c r="E879" s="191">
        <v>41708</v>
      </c>
      <c r="F879" s="192" t="s">
        <v>1072</v>
      </c>
      <c r="G879" s="465" t="s">
        <v>1075</v>
      </c>
      <c r="H879" s="45" t="s">
        <v>1074</v>
      </c>
      <c r="I879" s="257"/>
      <c r="J879" s="256"/>
      <c r="K879" s="38">
        <v>1000000</v>
      </c>
      <c r="L879" s="194" t="s">
        <v>63</v>
      </c>
      <c r="M879" s="569" t="s">
        <v>47</v>
      </c>
      <c r="N879" s="52" t="str">
        <f>IF(AND('331-CT'!$E$7=TH!H879,OR(L879="331",M879="331")),"331",IF(AND(OR(L879="131",M879="131"),H879='131-CT'!$E$7),"131",""))</f>
        <v/>
      </c>
      <c r="O879" s="90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821"/>
      <c r="AC879" s="560"/>
      <c r="AD879" s="560"/>
      <c r="AE879" s="560"/>
    </row>
    <row r="880" spans="1:31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191">
        <f t="shared" si="52"/>
        <v>41708</v>
      </c>
      <c r="D880" s="184"/>
      <c r="E880" s="191">
        <v>41708</v>
      </c>
      <c r="F880" s="192" t="s">
        <v>1073</v>
      </c>
      <c r="G880" s="465" t="s">
        <v>1075</v>
      </c>
      <c r="H880" s="45" t="s">
        <v>1074</v>
      </c>
      <c r="I880" s="257"/>
      <c r="J880" s="256"/>
      <c r="K880" s="38">
        <v>1000000</v>
      </c>
      <c r="L880" s="194" t="s">
        <v>83</v>
      </c>
      <c r="M880" s="569" t="s">
        <v>63</v>
      </c>
      <c r="N880" s="52" t="str">
        <f>IF(AND('331-CT'!$E$7=TH!H880,OR(L880="331",M880="331")),"331",IF(AND(OR(L880="131",M880="131"),H880='131-CT'!$E$7),"131",""))</f>
        <v/>
      </c>
      <c r="O880" s="90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>x</v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821"/>
      <c r="AC880" s="560"/>
      <c r="AD880" s="560"/>
      <c r="AE880" s="560"/>
    </row>
    <row r="881" spans="1:28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191">
        <f t="shared" si="52"/>
        <v>41711</v>
      </c>
      <c r="D881" s="191"/>
      <c r="E881" s="191">
        <v>41711</v>
      </c>
      <c r="F881" s="189" t="s">
        <v>1001</v>
      </c>
      <c r="G881" s="468" t="s">
        <v>1019</v>
      </c>
      <c r="H881" s="7" t="s">
        <v>1000</v>
      </c>
      <c r="I881" s="256"/>
      <c r="J881" s="256"/>
      <c r="K881" s="568">
        <f>213905</f>
        <v>213905</v>
      </c>
      <c r="L881" s="39" t="s">
        <v>83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90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>x</v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>x</v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821">
        <v>1</v>
      </c>
    </row>
    <row r="882" spans="1:28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41711</v>
      </c>
      <c r="D882" s="191"/>
      <c r="E882" s="191">
        <v>41711</v>
      </c>
      <c r="F882" s="189" t="s">
        <v>1002</v>
      </c>
      <c r="G882" s="468" t="s">
        <v>1019</v>
      </c>
      <c r="H882" s="7" t="s">
        <v>1000</v>
      </c>
      <c r="I882" s="256"/>
      <c r="J882" s="256"/>
      <c r="K882" s="568">
        <f>21390</f>
        <v>21390</v>
      </c>
      <c r="L882" s="39" t="s">
        <v>9</v>
      </c>
      <c r="M882" s="39" t="s">
        <v>47</v>
      </c>
      <c r="N882" s="52" t="str">
        <f>IF(AND('331-CT'!$E$7=TH!H882,OR(L882="331",M882="331")),"331",IF(AND(OR(L882="131",M882="131"),H882='131-CT'!$E$7),"131",""))</f>
        <v/>
      </c>
      <c r="O882" s="90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821">
        <v>1</v>
      </c>
    </row>
    <row r="883" spans="1:28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41722</v>
      </c>
      <c r="D883" s="191"/>
      <c r="E883" s="191">
        <v>41722</v>
      </c>
      <c r="F883" s="192" t="s">
        <v>377</v>
      </c>
      <c r="G883" s="468" t="s">
        <v>555</v>
      </c>
      <c r="H883" s="7" t="s">
        <v>1010</v>
      </c>
      <c r="I883" s="256"/>
      <c r="J883" s="256"/>
      <c r="K883" s="568">
        <v>3640000</v>
      </c>
      <c r="L883" s="39" t="s">
        <v>167</v>
      </c>
      <c r="M883" s="39" t="s">
        <v>47</v>
      </c>
      <c r="N883" s="52" t="str">
        <f>IF(AND('331-CT'!$E$7=TH!H883,OR(L883="331",M883="331")),"331",IF(AND(OR(L883="131",M883="131"),H883='131-CT'!$E$7),"131",""))</f>
        <v/>
      </c>
      <c r="O883" s="90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>x</v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821">
        <v>1</v>
      </c>
    </row>
    <row r="884" spans="1:28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41722</v>
      </c>
      <c r="D884" s="191"/>
      <c r="E884" s="191">
        <v>41722</v>
      </c>
      <c r="F884" s="192" t="s">
        <v>1011</v>
      </c>
      <c r="G884" s="468" t="s">
        <v>555</v>
      </c>
      <c r="H884" s="7" t="s">
        <v>1010</v>
      </c>
      <c r="I884" s="256"/>
      <c r="J884" s="256"/>
      <c r="K884" s="568">
        <v>364000</v>
      </c>
      <c r="L884" s="39" t="s">
        <v>9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90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821">
        <v>1</v>
      </c>
    </row>
    <row r="885" spans="1:28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37">
        <f t="shared" si="52"/>
        <v>41722</v>
      </c>
      <c r="D885" s="37"/>
      <c r="E885" s="37">
        <v>41722</v>
      </c>
      <c r="F885" s="189" t="s">
        <v>1003</v>
      </c>
      <c r="G885" s="467" t="s">
        <v>1212</v>
      </c>
      <c r="H885" s="7" t="s">
        <v>1005</v>
      </c>
      <c r="I885" s="256"/>
      <c r="J885" s="256"/>
      <c r="K885" s="568">
        <v>833758</v>
      </c>
      <c r="L885" s="39" t="s">
        <v>83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90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>x</v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821">
        <v>2</v>
      </c>
    </row>
    <row r="886" spans="1:28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37">
        <f t="shared" si="52"/>
        <v>41722</v>
      </c>
      <c r="D886" s="37"/>
      <c r="E886" s="37">
        <v>41722</v>
      </c>
      <c r="F886" s="189" t="s">
        <v>1004</v>
      </c>
      <c r="G886" s="467" t="s">
        <v>1212</v>
      </c>
      <c r="H886" s="7" t="s">
        <v>1005</v>
      </c>
      <c r="I886" s="256"/>
      <c r="J886" s="256"/>
      <c r="K886" s="568">
        <v>83376</v>
      </c>
      <c r="L886" s="849" t="s">
        <v>9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90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821">
        <v>2</v>
      </c>
    </row>
    <row r="887" spans="1:28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1"/>
        <v>4</v>
      </c>
      <c r="C887" s="37">
        <f t="shared" si="52"/>
        <v>41737</v>
      </c>
      <c r="D887" s="37"/>
      <c r="E887" s="37">
        <v>41737</v>
      </c>
      <c r="F887" s="192" t="s">
        <v>377</v>
      </c>
      <c r="G887" s="468" t="s">
        <v>1147</v>
      </c>
      <c r="H887" s="7" t="s">
        <v>1010</v>
      </c>
      <c r="I887" s="256"/>
      <c r="J887" s="256"/>
      <c r="K887" s="568">
        <v>4290000</v>
      </c>
      <c r="L887" s="39" t="s">
        <v>167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90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154</v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821">
        <v>2</v>
      </c>
    </row>
    <row r="888" spans="1:28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1"/>
        <v>4</v>
      </c>
      <c r="C888" s="37">
        <f t="shared" si="52"/>
        <v>41737</v>
      </c>
      <c r="D888" s="37"/>
      <c r="E888" s="37">
        <v>41737</v>
      </c>
      <c r="F888" s="192" t="s">
        <v>1011</v>
      </c>
      <c r="G888" s="468" t="s">
        <v>1147</v>
      </c>
      <c r="H888" s="7" t="s">
        <v>1010</v>
      </c>
      <c r="I888" s="256"/>
      <c r="J888" s="256"/>
      <c r="K888" s="568">
        <v>429000</v>
      </c>
      <c r="L888" s="39" t="s">
        <v>9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90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821">
        <v>2</v>
      </c>
    </row>
    <row r="889" spans="1:28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1"/>
        <v>4</v>
      </c>
      <c r="C889" s="37">
        <f t="shared" si="52"/>
        <v>41743</v>
      </c>
      <c r="D889" s="37"/>
      <c r="E889" s="37">
        <v>41743</v>
      </c>
      <c r="F889" s="192" t="s">
        <v>377</v>
      </c>
      <c r="G889" s="468" t="s">
        <v>1148</v>
      </c>
      <c r="H889" s="7" t="s">
        <v>1010</v>
      </c>
      <c r="I889" s="256"/>
      <c r="J889" s="256"/>
      <c r="K889" s="568">
        <v>3710000</v>
      </c>
      <c r="L889" s="39" t="s">
        <v>167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90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154</v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821">
        <v>2</v>
      </c>
    </row>
    <row r="890" spans="1:28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41743</v>
      </c>
      <c r="D890" s="37"/>
      <c r="E890" s="37">
        <v>41743</v>
      </c>
      <c r="F890" s="192" t="s">
        <v>1011</v>
      </c>
      <c r="G890" s="468" t="s">
        <v>1148</v>
      </c>
      <c r="H890" s="7" t="s">
        <v>1010</v>
      </c>
      <c r="I890" s="256"/>
      <c r="J890" s="256"/>
      <c r="K890" s="568">
        <v>371000</v>
      </c>
      <c r="L890" s="39" t="s">
        <v>9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90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>x</v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821">
        <v>2</v>
      </c>
    </row>
    <row r="891" spans="1:28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41747</v>
      </c>
      <c r="D891" s="37"/>
      <c r="E891" s="37">
        <v>41747</v>
      </c>
      <c r="F891" s="189" t="s">
        <v>1001</v>
      </c>
      <c r="G891" s="468" t="s">
        <v>1149</v>
      </c>
      <c r="H891" s="7" t="s">
        <v>1000</v>
      </c>
      <c r="I891" s="256"/>
      <c r="J891" s="256"/>
      <c r="K891" s="568">
        <f>514209+816799+626098</f>
        <v>1957106</v>
      </c>
      <c r="L891" s="39" t="s">
        <v>83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90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642</v>
      </c>
      <c r="W891" s="52" t="str">
        <f>IF(OR(TH!L891=TH!$W$7,M891=TH!$W$7),"x","")</f>
        <v>x</v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821">
        <v>2</v>
      </c>
    </row>
    <row r="892" spans="1:28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41747</v>
      </c>
      <c r="D892" s="184"/>
      <c r="E892" s="37">
        <v>41747</v>
      </c>
      <c r="F892" s="189" t="s">
        <v>1002</v>
      </c>
      <c r="G892" s="468" t="s">
        <v>1149</v>
      </c>
      <c r="H892" s="7" t="s">
        <v>1000</v>
      </c>
      <c r="I892" s="256"/>
      <c r="J892" s="256"/>
      <c r="K892" s="568">
        <f>51420+81681+62609</f>
        <v>195710</v>
      </c>
      <c r="L892" s="39" t="s">
        <v>9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90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>x</v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821">
        <v>2</v>
      </c>
    </row>
    <row r="893" spans="1:28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41748</v>
      </c>
      <c r="D893" s="184"/>
      <c r="E893" s="37">
        <v>41748</v>
      </c>
      <c r="F893" s="192" t="s">
        <v>1041</v>
      </c>
      <c r="G893" s="468" t="s">
        <v>1150</v>
      </c>
      <c r="H893" s="45" t="s">
        <v>1151</v>
      </c>
      <c r="I893" s="256"/>
      <c r="J893" s="256"/>
      <c r="K893" s="38">
        <v>845909</v>
      </c>
      <c r="L893" s="39" t="s">
        <v>83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90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>x</v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642</v>
      </c>
      <c r="W893" s="52" t="str">
        <f>IF(OR(TH!L893=TH!$W$7,M893=TH!$W$7),"x","")</f>
        <v>x</v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821">
        <v>2</v>
      </c>
    </row>
    <row r="894" spans="1:28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41748</v>
      </c>
      <c r="D894" s="37"/>
      <c r="E894" s="37">
        <v>41748</v>
      </c>
      <c r="F894" s="296" t="s">
        <v>1042</v>
      </c>
      <c r="G894" s="468" t="s">
        <v>1150</v>
      </c>
      <c r="H894" s="45" t="s">
        <v>1151</v>
      </c>
      <c r="I894" s="256"/>
      <c r="J894" s="256"/>
      <c r="K894" s="568">
        <v>84591</v>
      </c>
      <c r="L894" s="39" t="s">
        <v>9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90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>x</v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821">
        <v>2</v>
      </c>
    </row>
    <row r="895" spans="1:28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41753</v>
      </c>
      <c r="D895" s="37"/>
      <c r="E895" s="731">
        <v>41753</v>
      </c>
      <c r="F895" s="189" t="s">
        <v>1003</v>
      </c>
      <c r="G895" s="468" t="s">
        <v>1152</v>
      </c>
      <c r="H895" s="7" t="s">
        <v>1005</v>
      </c>
      <c r="I895" s="256"/>
      <c r="J895" s="256"/>
      <c r="K895" s="568">
        <v>1301956</v>
      </c>
      <c r="L895" s="39" t="s">
        <v>83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90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>x</v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642</v>
      </c>
      <c r="W895" s="52" t="str">
        <f>IF(OR(TH!L895=TH!$W$7,M895=TH!$W$7),"x","")</f>
        <v>x</v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821">
        <v>2</v>
      </c>
    </row>
    <row r="896" spans="1:28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41753</v>
      </c>
      <c r="D896" s="37"/>
      <c r="E896" s="731">
        <v>41753</v>
      </c>
      <c r="F896" s="189" t="s">
        <v>1004</v>
      </c>
      <c r="G896" s="468" t="s">
        <v>1152</v>
      </c>
      <c r="H896" s="7" t="s">
        <v>1005</v>
      </c>
      <c r="I896" s="256"/>
      <c r="J896" s="256"/>
      <c r="K896" s="568">
        <v>130196</v>
      </c>
      <c r="L896" s="39" t="s">
        <v>9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90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821">
        <v>2</v>
      </c>
    </row>
    <row r="897" spans="1:29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41755</v>
      </c>
      <c r="D897" s="191" t="s">
        <v>1223</v>
      </c>
      <c r="E897" s="731">
        <v>41755</v>
      </c>
      <c r="F897" s="189" t="s">
        <v>1155</v>
      </c>
      <c r="G897" s="467" t="s">
        <v>1154</v>
      </c>
      <c r="H897" s="7" t="s">
        <v>1153</v>
      </c>
      <c r="I897" s="256">
        <v>1665</v>
      </c>
      <c r="J897" s="256">
        <v>10701</v>
      </c>
      <c r="K897" s="568">
        <f>ROUND(I897*J897,0)</f>
        <v>17817165</v>
      </c>
      <c r="L897" s="39" t="s">
        <v>159</v>
      </c>
      <c r="M897" s="39" t="s">
        <v>8</v>
      </c>
      <c r="N897" s="52" t="str">
        <f>IF(AND('331-CT'!$E$7=TH!H897,OR(L897="331",M897="331")),"331",IF(AND(OR(L897="131",M897="131"),H897='131-CT'!$E$7),"131",""))</f>
        <v/>
      </c>
      <c r="O897" s="90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821">
        <v>2</v>
      </c>
      <c r="AC897" s="211" t="str">
        <f>IF(H897=VLOOKUP(H897,DSKH,1,0),"","x")</f>
        <v/>
      </c>
    </row>
    <row r="898" spans="1:29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41755</v>
      </c>
      <c r="D898" s="191" t="s">
        <v>1223</v>
      </c>
      <c r="E898" s="731">
        <v>41755</v>
      </c>
      <c r="F898" s="40" t="s">
        <v>1008</v>
      </c>
      <c r="G898" s="467" t="s">
        <v>1154</v>
      </c>
      <c r="H898" s="7" t="s">
        <v>1153</v>
      </c>
      <c r="I898" s="256"/>
      <c r="J898" s="256"/>
      <c r="K898" s="568">
        <v>1781717</v>
      </c>
      <c r="L898" s="39" t="s">
        <v>9</v>
      </c>
      <c r="M898" s="39" t="s">
        <v>8</v>
      </c>
      <c r="N898" s="52" t="str">
        <f>IF(AND('331-CT'!$E$7=TH!H898,OR(L898="331",M898="331")),"331",IF(AND(OR(L898="131",M898="131"),H898='131-CT'!$E$7),"131",""))</f>
        <v/>
      </c>
      <c r="O898" s="90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821">
        <v>2</v>
      </c>
      <c r="AC898" s="211" t="str">
        <f>IF(H898=VLOOKUP(H898,DSKH,1,0),"","x")</f>
        <v/>
      </c>
    </row>
    <row r="899" spans="1:29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41755</v>
      </c>
      <c r="D899" s="37"/>
      <c r="E899" s="37">
        <v>41755</v>
      </c>
      <c r="F899" s="40" t="s">
        <v>1204</v>
      </c>
      <c r="G899" s="467" t="s">
        <v>1206</v>
      </c>
      <c r="H899" s="7" t="s">
        <v>1203</v>
      </c>
      <c r="I899" s="256"/>
      <c r="J899" s="256"/>
      <c r="K899" s="568">
        <v>3300000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90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642</v>
      </c>
      <c r="W899" s="52" t="str">
        <f>IF(OR(TH!L899=TH!$W$7,M899=TH!$W$7),"x","")</f>
        <v>x</v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821">
        <v>2</v>
      </c>
    </row>
    <row r="900" spans="1:29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37"/>
      <c r="E900" s="37">
        <v>41755</v>
      </c>
      <c r="F900" s="40" t="s">
        <v>1205</v>
      </c>
      <c r="G900" s="467" t="s">
        <v>1206</v>
      </c>
      <c r="H900" s="7" t="s">
        <v>1203</v>
      </c>
      <c r="I900" s="256"/>
      <c r="J900" s="256"/>
      <c r="K900" s="568">
        <v>330000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90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821">
        <v>2</v>
      </c>
    </row>
    <row r="901" spans="1:29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ref="B901" si="55">IF(C901&lt;&gt;"",MONTH(C901),"")</f>
        <v>4</v>
      </c>
      <c r="C901" s="37">
        <f t="shared" ref="C901" si="56">E901</f>
        <v>41756</v>
      </c>
      <c r="D901" s="184" t="s">
        <v>327</v>
      </c>
      <c r="E901" s="191">
        <v>41756</v>
      </c>
      <c r="F901" s="189" t="s">
        <v>1253</v>
      </c>
      <c r="G901" s="468" t="s">
        <v>1251</v>
      </c>
      <c r="H901" s="7" t="s">
        <v>1252</v>
      </c>
      <c r="I901" s="256"/>
      <c r="J901" s="256"/>
      <c r="K901" s="568">
        <v>500000000</v>
      </c>
      <c r="L901" s="569" t="s">
        <v>171</v>
      </c>
      <c r="M901" s="569" t="s">
        <v>8</v>
      </c>
      <c r="N901" s="52" t="str">
        <f>IF(AND('331-CT'!$E$7=TH!H901,OR(L901="331",M901="331")),"331",IF(AND(OR(L901="131",M901="131"),H901='131-CT'!$E$7),"131",""))</f>
        <v/>
      </c>
      <c r="O901" s="90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821">
        <v>2</v>
      </c>
      <c r="AC901" s="211" t="str">
        <f t="shared" ref="AC901:AC921" si="57">IF(H901=VLOOKUP(H901,DSKH,1,0),"","x")</f>
        <v/>
      </c>
    </row>
    <row r="902" spans="1:29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41758</v>
      </c>
      <c r="D902" s="191" t="s">
        <v>1224</v>
      </c>
      <c r="E902" s="731">
        <v>41758</v>
      </c>
      <c r="F902" s="189" t="s">
        <v>1156</v>
      </c>
      <c r="G902" s="467" t="s">
        <v>1157</v>
      </c>
      <c r="H902" s="7" t="s">
        <v>1153</v>
      </c>
      <c r="I902" s="256">
        <v>1150</v>
      </c>
      <c r="J902" s="256">
        <v>15616</v>
      </c>
      <c r="K902" s="568">
        <f>ROUND(I902*J902,0)</f>
        <v>17958400</v>
      </c>
      <c r="L902" s="39" t="s">
        <v>159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90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821">
        <v>2</v>
      </c>
      <c r="AC902" s="211" t="str">
        <f t="shared" si="57"/>
        <v/>
      </c>
    </row>
    <row r="903" spans="1:29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41758</v>
      </c>
      <c r="D903" s="191" t="s">
        <v>1224</v>
      </c>
      <c r="E903" s="731">
        <v>41758</v>
      </c>
      <c r="F903" s="40" t="s">
        <v>1008</v>
      </c>
      <c r="G903" s="467" t="s">
        <v>1157</v>
      </c>
      <c r="H903" s="7" t="s">
        <v>1153</v>
      </c>
      <c r="I903" s="256"/>
      <c r="J903" s="256"/>
      <c r="K903" s="568">
        <v>1795840</v>
      </c>
      <c r="L903" s="39" t="s">
        <v>9</v>
      </c>
      <c r="M903" s="39" t="s">
        <v>8</v>
      </c>
      <c r="N903" s="52" t="str">
        <f>IF(AND('331-CT'!$E$7=TH!H903,OR(L903="331",M903="331")),"331",IF(AND(OR(L903="131",M903="131"),H903='131-CT'!$E$7),"131",""))</f>
        <v/>
      </c>
      <c r="O903" s="90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821">
        <v>2</v>
      </c>
      <c r="AC903" s="211" t="str">
        <f t="shared" si="57"/>
        <v/>
      </c>
    </row>
    <row r="904" spans="1:29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41758</v>
      </c>
      <c r="D904" s="191" t="s">
        <v>1225</v>
      </c>
      <c r="E904" s="731">
        <v>41758</v>
      </c>
      <c r="F904" s="189" t="s">
        <v>1159</v>
      </c>
      <c r="G904" s="467" t="s">
        <v>1160</v>
      </c>
      <c r="H904" s="7" t="s">
        <v>1158</v>
      </c>
      <c r="I904" s="256">
        <v>4801</v>
      </c>
      <c r="J904" s="256">
        <v>9500</v>
      </c>
      <c r="K904" s="568">
        <f>ROUND(I904*J904,0)</f>
        <v>45609500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90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821">
        <v>2</v>
      </c>
      <c r="AC904" s="211" t="str">
        <f t="shared" si="57"/>
        <v/>
      </c>
    </row>
    <row r="905" spans="1:29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51"/>
        <v>4</v>
      </c>
      <c r="C905" s="37">
        <f t="shared" si="52"/>
        <v>41758</v>
      </c>
      <c r="D905" s="191" t="s">
        <v>1225</v>
      </c>
      <c r="E905" s="731">
        <v>41758</v>
      </c>
      <c r="F905" s="40" t="s">
        <v>1008</v>
      </c>
      <c r="G905" s="467" t="s">
        <v>1160</v>
      </c>
      <c r="H905" s="7" t="s">
        <v>1158</v>
      </c>
      <c r="I905" s="256"/>
      <c r="J905" s="256"/>
      <c r="K905" s="568">
        <v>4560950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90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821">
        <v>2</v>
      </c>
      <c r="AC905" s="211" t="str">
        <f t="shared" si="57"/>
        <v/>
      </c>
    </row>
    <row r="906" spans="1:29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1"/>
        <v>5</v>
      </c>
      <c r="C906" s="37">
        <f t="shared" si="52"/>
        <v>41761</v>
      </c>
      <c r="D906" s="184" t="s">
        <v>327</v>
      </c>
      <c r="E906" s="191">
        <v>41761</v>
      </c>
      <c r="F906" s="189" t="s">
        <v>1254</v>
      </c>
      <c r="G906" s="468" t="s">
        <v>1255</v>
      </c>
      <c r="H906" s="7" t="s">
        <v>1252</v>
      </c>
      <c r="I906" s="256"/>
      <c r="J906" s="256"/>
      <c r="K906" s="568">
        <v>500000000</v>
      </c>
      <c r="L906" s="569" t="s">
        <v>171</v>
      </c>
      <c r="M906" s="569" t="s">
        <v>8</v>
      </c>
      <c r="N906" s="52" t="str">
        <f>IF(AND('331-CT'!$E$7=TH!H906,OR(L906="331",M906="331")),"331",IF(AND(OR(L906="131",M906="131"),H906='131-CT'!$E$7),"131",""))</f>
        <v/>
      </c>
      <c r="O906" s="90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821">
        <v>2</v>
      </c>
      <c r="AC906" s="211" t="str">
        <f t="shared" si="57"/>
        <v/>
      </c>
    </row>
    <row r="907" spans="1:29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51"/>
        <v>5</v>
      </c>
      <c r="C907" s="191">
        <f t="shared" si="52"/>
        <v>41761</v>
      </c>
      <c r="D907" s="191" t="s">
        <v>1226</v>
      </c>
      <c r="E907" s="184">
        <v>41761</v>
      </c>
      <c r="F907" s="192" t="s">
        <v>1081</v>
      </c>
      <c r="G907" s="468" t="s">
        <v>1079</v>
      </c>
      <c r="H907" s="7" t="s">
        <v>1153</v>
      </c>
      <c r="I907" s="708">
        <v>100</v>
      </c>
      <c r="J907" s="708">
        <v>11792</v>
      </c>
      <c r="K907" s="568">
        <f>ROUND(I907*J907,0)</f>
        <v>1179200</v>
      </c>
      <c r="L907" s="39" t="s">
        <v>159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90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821">
        <v>2</v>
      </c>
      <c r="AC907" s="211" t="str">
        <f t="shared" si="57"/>
        <v/>
      </c>
    </row>
    <row r="908" spans="1:29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1"/>
        <v>5</v>
      </c>
      <c r="C908" s="191">
        <f t="shared" si="52"/>
        <v>41761</v>
      </c>
      <c r="D908" s="191" t="s">
        <v>1226</v>
      </c>
      <c r="E908" s="184">
        <v>41761</v>
      </c>
      <c r="F908" s="192" t="s">
        <v>1082</v>
      </c>
      <c r="G908" s="468" t="s">
        <v>1079</v>
      </c>
      <c r="H908" s="7" t="s">
        <v>1153</v>
      </c>
      <c r="I908" s="758">
        <v>150</v>
      </c>
      <c r="J908" s="758">
        <v>16447</v>
      </c>
      <c r="K908" s="568">
        <f>ROUND(I908*J908,0)</f>
        <v>2467050</v>
      </c>
      <c r="L908" s="39" t="s">
        <v>159</v>
      </c>
      <c r="M908" s="39" t="s">
        <v>8</v>
      </c>
      <c r="N908" s="52" t="str">
        <f>IF(AND('331-CT'!$E$7=TH!H908,OR(L908="331",M908="331")),"331",IF(AND(OR(L908="131",M908="131"),H908='131-CT'!$E$7),"131",""))</f>
        <v/>
      </c>
      <c r="O908" s="90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821">
        <v>2</v>
      </c>
      <c r="AC908" s="211" t="str">
        <f t="shared" si="57"/>
        <v/>
      </c>
    </row>
    <row r="909" spans="1:29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1"/>
        <v>5</v>
      </c>
      <c r="C909" s="191">
        <f t="shared" si="52"/>
        <v>41761</v>
      </c>
      <c r="D909" s="191" t="s">
        <v>1226</v>
      </c>
      <c r="E909" s="184">
        <v>41761</v>
      </c>
      <c r="F909" s="192" t="s">
        <v>1083</v>
      </c>
      <c r="G909" s="468" t="s">
        <v>1079</v>
      </c>
      <c r="H909" s="7" t="s">
        <v>1153</v>
      </c>
      <c r="I909" s="256">
        <v>200</v>
      </c>
      <c r="J909" s="256">
        <v>14978</v>
      </c>
      <c r="K909" s="568">
        <f>ROUND(I909*J909,0)</f>
        <v>2995600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90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821">
        <v>2</v>
      </c>
      <c r="AC909" s="211" t="str">
        <f t="shared" si="57"/>
        <v/>
      </c>
    </row>
    <row r="910" spans="1:29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51"/>
        <v>5</v>
      </c>
      <c r="C910" s="191">
        <f t="shared" si="52"/>
        <v>41761</v>
      </c>
      <c r="D910" s="191" t="s">
        <v>1226</v>
      </c>
      <c r="E910" s="184">
        <v>41761</v>
      </c>
      <c r="F910" s="192" t="s">
        <v>1084</v>
      </c>
      <c r="G910" s="468" t="s">
        <v>1079</v>
      </c>
      <c r="H910" s="7" t="s">
        <v>1153</v>
      </c>
      <c r="I910" s="256">
        <v>250</v>
      </c>
      <c r="J910" s="256">
        <v>20038</v>
      </c>
      <c r="K910" s="568">
        <f>ROUND(I910*J910,0)</f>
        <v>5009500</v>
      </c>
      <c r="L910" s="39" t="s">
        <v>159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90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821">
        <v>2</v>
      </c>
      <c r="AC910" s="211" t="str">
        <f t="shared" si="57"/>
        <v/>
      </c>
    </row>
    <row r="911" spans="1:29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51"/>
        <v>5</v>
      </c>
      <c r="C911" s="191">
        <f t="shared" si="52"/>
        <v>41761</v>
      </c>
      <c r="D911" s="191" t="s">
        <v>1226</v>
      </c>
      <c r="E911" s="184">
        <v>41761</v>
      </c>
      <c r="F911" s="192" t="s">
        <v>1085</v>
      </c>
      <c r="G911" s="468" t="s">
        <v>1079</v>
      </c>
      <c r="H911" s="7" t="s">
        <v>1153</v>
      </c>
      <c r="I911" s="256">
        <v>250</v>
      </c>
      <c r="J911" s="256">
        <v>17318</v>
      </c>
      <c r="K911" s="568">
        <f>ROUND(I911*J911,0)</f>
        <v>4329500</v>
      </c>
      <c r="L911" s="39" t="s">
        <v>159</v>
      </c>
      <c r="M911" s="39" t="s">
        <v>8</v>
      </c>
      <c r="N911" s="52" t="str">
        <f>IF(AND('331-CT'!$E$7=TH!H911,OR(L911="331",M911="331")),"331",IF(AND(OR(L911="131",M911="131"),H911='131-CT'!$E$7),"131",""))</f>
        <v/>
      </c>
      <c r="O911" s="90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821">
        <v>2</v>
      </c>
      <c r="AC911" s="211" t="str">
        <f t="shared" si="57"/>
        <v/>
      </c>
    </row>
    <row r="912" spans="1:29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191">
        <f t="shared" si="52"/>
        <v>41761</v>
      </c>
      <c r="D912" s="191" t="s">
        <v>1226</v>
      </c>
      <c r="E912" s="184">
        <v>41761</v>
      </c>
      <c r="F912" s="192" t="s">
        <v>1080</v>
      </c>
      <c r="G912" s="468" t="s">
        <v>1079</v>
      </c>
      <c r="H912" s="7" t="s">
        <v>1153</v>
      </c>
      <c r="I912" s="256"/>
      <c r="J912" s="256"/>
      <c r="K912" s="568">
        <v>1598085</v>
      </c>
      <c r="L912" s="569" t="s">
        <v>9</v>
      </c>
      <c r="M912" s="39" t="s">
        <v>8</v>
      </c>
      <c r="N912" s="52" t="str">
        <f>IF(AND('331-CT'!$E$7=TH!H912,OR(L912="331",M912="331")),"331",IF(AND(OR(L912="131",M912="131"),H912='131-CT'!$E$7),"131",""))</f>
        <v/>
      </c>
      <c r="O912" s="90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821">
        <v>2</v>
      </c>
      <c r="AC912" s="211" t="str">
        <f t="shared" si="57"/>
        <v/>
      </c>
    </row>
    <row r="913" spans="1:31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37">
        <f t="shared" si="52"/>
        <v>41773</v>
      </c>
      <c r="D913" s="191" t="s">
        <v>1227</v>
      </c>
      <c r="E913" s="731">
        <v>41773</v>
      </c>
      <c r="F913" s="189" t="s">
        <v>1107</v>
      </c>
      <c r="G913" s="467" t="s">
        <v>1105</v>
      </c>
      <c r="H913" s="7" t="s">
        <v>1104</v>
      </c>
      <c r="I913" s="256">
        <v>95</v>
      </c>
      <c r="J913" s="256">
        <v>21683</v>
      </c>
      <c r="K913" s="568">
        <f t="shared" ref="K913:K920" si="58">ROUND(I913*J913,0)</f>
        <v>2059885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90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821">
        <v>2</v>
      </c>
      <c r="AC913" s="211" t="str">
        <f t="shared" si="57"/>
        <v/>
      </c>
    </row>
    <row r="914" spans="1:31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37">
        <f t="shared" si="52"/>
        <v>41773</v>
      </c>
      <c r="D914" s="191" t="s">
        <v>1227</v>
      </c>
      <c r="E914" s="731">
        <v>41773</v>
      </c>
      <c r="F914" s="189" t="s">
        <v>1108</v>
      </c>
      <c r="G914" s="467" t="s">
        <v>1105</v>
      </c>
      <c r="H914" s="7" t="s">
        <v>1104</v>
      </c>
      <c r="I914" s="256">
        <v>135</v>
      </c>
      <c r="J914" s="256">
        <v>23957</v>
      </c>
      <c r="K914" s="568">
        <f t="shared" si="58"/>
        <v>3234195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90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821">
        <v>2</v>
      </c>
      <c r="AC914" s="211" t="str">
        <f t="shared" si="57"/>
        <v/>
      </c>
    </row>
    <row r="915" spans="1:31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37">
        <f t="shared" si="52"/>
        <v>41773</v>
      </c>
      <c r="D915" s="191" t="s">
        <v>1227</v>
      </c>
      <c r="E915" s="731">
        <v>41773</v>
      </c>
      <c r="F915" s="189" t="s">
        <v>1109</v>
      </c>
      <c r="G915" s="467" t="s">
        <v>1105</v>
      </c>
      <c r="H915" s="7" t="s">
        <v>1104</v>
      </c>
      <c r="I915" s="256">
        <v>370</v>
      </c>
      <c r="J915" s="256">
        <v>23232</v>
      </c>
      <c r="K915" s="568">
        <f t="shared" si="58"/>
        <v>8595840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90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821">
        <v>2</v>
      </c>
      <c r="AC915" s="211" t="str">
        <f t="shared" si="57"/>
        <v/>
      </c>
    </row>
    <row r="916" spans="1:31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37">
        <f t="shared" si="52"/>
        <v>41773</v>
      </c>
      <c r="D916" s="191" t="s">
        <v>1227</v>
      </c>
      <c r="E916" s="731">
        <v>41773</v>
      </c>
      <c r="F916" s="189" t="s">
        <v>1110</v>
      </c>
      <c r="G916" s="467" t="s">
        <v>1105</v>
      </c>
      <c r="H916" s="7" t="s">
        <v>1104</v>
      </c>
      <c r="I916" s="256">
        <v>80</v>
      </c>
      <c r="J916" s="256">
        <v>22176</v>
      </c>
      <c r="K916" s="568">
        <f t="shared" si="58"/>
        <v>1774080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90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821">
        <v>2</v>
      </c>
      <c r="AC916" s="211" t="str">
        <f t="shared" si="57"/>
        <v/>
      </c>
    </row>
    <row r="917" spans="1:31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37">
        <f t="shared" si="52"/>
        <v>41773</v>
      </c>
      <c r="D917" s="191" t="s">
        <v>1227</v>
      </c>
      <c r="E917" s="731">
        <v>41773</v>
      </c>
      <c r="F917" s="189" t="s">
        <v>1111</v>
      </c>
      <c r="G917" s="467" t="s">
        <v>1105</v>
      </c>
      <c r="H917" s="7" t="s">
        <v>1104</v>
      </c>
      <c r="I917" s="256">
        <v>415</v>
      </c>
      <c r="J917" s="256">
        <v>14784</v>
      </c>
      <c r="K917" s="568">
        <f t="shared" si="58"/>
        <v>6135360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90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821">
        <v>2</v>
      </c>
      <c r="AC917" s="211" t="str">
        <f t="shared" si="57"/>
        <v/>
      </c>
    </row>
    <row r="918" spans="1:31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51"/>
        <v>5</v>
      </c>
      <c r="C918" s="37">
        <f t="shared" si="52"/>
        <v>41773</v>
      </c>
      <c r="D918" s="191" t="s">
        <v>1227</v>
      </c>
      <c r="E918" s="731">
        <v>41773</v>
      </c>
      <c r="F918" s="189" t="s">
        <v>1112</v>
      </c>
      <c r="G918" s="467" t="s">
        <v>1105</v>
      </c>
      <c r="H918" s="7" t="s">
        <v>1104</v>
      </c>
      <c r="I918" s="256">
        <v>100</v>
      </c>
      <c r="J918" s="256">
        <v>17279</v>
      </c>
      <c r="K918" s="568">
        <f t="shared" si="58"/>
        <v>1727900</v>
      </c>
      <c r="L918" s="39" t="s">
        <v>159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90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821">
        <v>2</v>
      </c>
      <c r="AC918" s="211" t="str">
        <f t="shared" si="57"/>
        <v/>
      </c>
    </row>
    <row r="919" spans="1:31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37">
        <f t="shared" si="52"/>
        <v>41773</v>
      </c>
      <c r="D919" s="191" t="s">
        <v>1227</v>
      </c>
      <c r="E919" s="731">
        <v>41773</v>
      </c>
      <c r="F919" s="189" t="s">
        <v>1113</v>
      </c>
      <c r="G919" s="467" t="s">
        <v>1105</v>
      </c>
      <c r="H919" s="7" t="s">
        <v>1104</v>
      </c>
      <c r="I919" s="256">
        <v>190</v>
      </c>
      <c r="J919" s="256">
        <v>20821</v>
      </c>
      <c r="K919" s="568">
        <f t="shared" si="58"/>
        <v>3955990</v>
      </c>
      <c r="L919" s="39" t="s">
        <v>159</v>
      </c>
      <c r="M919" s="39" t="s">
        <v>8</v>
      </c>
      <c r="N919" s="52" t="str">
        <f>IF(AND('331-CT'!$E$7=TH!H919,OR(L919="331",M919="331")),"331",IF(AND(OR(L919="131",M919="131"),H919='131-CT'!$E$7),"131",""))</f>
        <v/>
      </c>
      <c r="O919" s="90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821">
        <v>2</v>
      </c>
      <c r="AC919" s="211" t="str">
        <f t="shared" si="57"/>
        <v/>
      </c>
    </row>
    <row r="920" spans="1:31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1227</v>
      </c>
      <c r="E920" s="731">
        <v>41773</v>
      </c>
      <c r="F920" s="189" t="s">
        <v>1114</v>
      </c>
      <c r="G920" s="467" t="s">
        <v>1105</v>
      </c>
      <c r="H920" s="7" t="s">
        <v>1104</v>
      </c>
      <c r="I920" s="258">
        <v>100</v>
      </c>
      <c r="J920" s="258">
        <v>20328</v>
      </c>
      <c r="K920" s="568">
        <f t="shared" si="58"/>
        <v>2032800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90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821">
        <v>2</v>
      </c>
      <c r="AC920" s="211" t="str">
        <f t="shared" si="57"/>
        <v/>
      </c>
    </row>
    <row r="921" spans="1:31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1227</v>
      </c>
      <c r="E921" s="731">
        <v>41773</v>
      </c>
      <c r="F921" s="189" t="s">
        <v>1106</v>
      </c>
      <c r="G921" s="467" t="s">
        <v>1105</v>
      </c>
      <c r="H921" s="7" t="s">
        <v>1104</v>
      </c>
      <c r="I921" s="258"/>
      <c r="J921" s="258"/>
      <c r="K921" s="38">
        <v>2951605</v>
      </c>
      <c r="L921" s="39" t="s">
        <v>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90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821">
        <v>2</v>
      </c>
      <c r="AC921" s="211" t="str">
        <f t="shared" si="57"/>
        <v/>
      </c>
    </row>
    <row r="922" spans="1:31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191">
        <f t="shared" si="52"/>
        <v>41774</v>
      </c>
      <c r="D922" s="184"/>
      <c r="E922" s="37">
        <v>41774</v>
      </c>
      <c r="F922" s="189" t="s">
        <v>1076</v>
      </c>
      <c r="G922" s="570"/>
      <c r="H922" s="45" t="s">
        <v>1074</v>
      </c>
      <c r="I922" s="256"/>
      <c r="J922" s="256"/>
      <c r="K922" s="568">
        <v>5000000</v>
      </c>
      <c r="L922" s="569" t="s">
        <v>17</v>
      </c>
      <c r="M922" s="569" t="s">
        <v>47</v>
      </c>
      <c r="N922" s="52" t="str">
        <f>IF(AND('331-CT'!$E$7=TH!H922,OR(L922="331",M922="331")),"331",IF(AND(OR(L922="131",M922="131"),H922='131-CT'!$E$7),"131",""))</f>
        <v/>
      </c>
      <c r="O922" s="90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821"/>
      <c r="AC922" s="560"/>
      <c r="AD922" s="560"/>
      <c r="AE922" s="560"/>
    </row>
    <row r="923" spans="1:31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41774</v>
      </c>
      <c r="D923" s="191" t="s">
        <v>1228</v>
      </c>
      <c r="E923" s="191">
        <v>41774</v>
      </c>
      <c r="F923" s="189" t="s">
        <v>1162</v>
      </c>
      <c r="G923" s="468" t="s">
        <v>1161</v>
      </c>
      <c r="H923" s="193" t="s">
        <v>1104</v>
      </c>
      <c r="I923" s="256">
        <v>200</v>
      </c>
      <c r="J923" s="256">
        <v>18203</v>
      </c>
      <c r="K923" s="568">
        <f t="shared" ref="K923:K928" si="59">ROUND(I923*J923,0)</f>
        <v>3640600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90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821">
        <v>2</v>
      </c>
      <c r="AC923" s="211" t="str">
        <f t="shared" ref="AC923:AC940" si="60">IF(H923=VLOOKUP(H923,DSKH,1,0),"","x")</f>
        <v/>
      </c>
    </row>
    <row r="924" spans="1:31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41774</v>
      </c>
      <c r="D924" s="191" t="s">
        <v>1228</v>
      </c>
      <c r="E924" s="191">
        <v>41774</v>
      </c>
      <c r="F924" s="189" t="s">
        <v>1163</v>
      </c>
      <c r="G924" s="468" t="s">
        <v>1161</v>
      </c>
      <c r="H924" s="193" t="s">
        <v>1104</v>
      </c>
      <c r="I924" s="708">
        <v>250</v>
      </c>
      <c r="J924" s="708">
        <v>16447</v>
      </c>
      <c r="K924" s="568">
        <f t="shared" si="59"/>
        <v>4111750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90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821">
        <v>2</v>
      </c>
      <c r="AC924" s="211" t="str">
        <f t="shared" si="60"/>
        <v/>
      </c>
    </row>
    <row r="925" spans="1:31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ref="B925:B988" si="61">IF(C925&lt;&gt;"",MONTH(C925),"")</f>
        <v>5</v>
      </c>
      <c r="C925" s="37">
        <f t="shared" ref="C925:C988" si="62">E925</f>
        <v>41774</v>
      </c>
      <c r="D925" s="191" t="s">
        <v>1228</v>
      </c>
      <c r="E925" s="191">
        <v>41774</v>
      </c>
      <c r="F925" s="189" t="s">
        <v>1164</v>
      </c>
      <c r="G925" s="468" t="s">
        <v>1161</v>
      </c>
      <c r="H925" s="193" t="s">
        <v>1104</v>
      </c>
      <c r="I925" s="708">
        <v>300</v>
      </c>
      <c r="J925" s="708">
        <v>15893</v>
      </c>
      <c r="K925" s="568">
        <f t="shared" si="59"/>
        <v>4767900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90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821">
        <v>2</v>
      </c>
      <c r="AC925" s="211" t="str">
        <f t="shared" si="60"/>
        <v/>
      </c>
    </row>
    <row r="926" spans="1:31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61"/>
        <v>5</v>
      </c>
      <c r="C926" s="37">
        <f t="shared" si="62"/>
        <v>41774</v>
      </c>
      <c r="D926" s="191" t="s">
        <v>1228</v>
      </c>
      <c r="E926" s="191">
        <v>41774</v>
      </c>
      <c r="F926" s="189" t="s">
        <v>1165</v>
      </c>
      <c r="G926" s="468" t="s">
        <v>1161</v>
      </c>
      <c r="H926" s="193" t="s">
        <v>1104</v>
      </c>
      <c r="I926" s="708">
        <v>100</v>
      </c>
      <c r="J926" s="708">
        <v>12241</v>
      </c>
      <c r="K926" s="568">
        <f t="shared" si="59"/>
        <v>1224100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90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821">
        <v>2</v>
      </c>
      <c r="AC926" s="211" t="str">
        <f t="shared" si="60"/>
        <v/>
      </c>
    </row>
    <row r="927" spans="1:31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61"/>
        <v>5</v>
      </c>
      <c r="C927" s="37">
        <f t="shared" si="62"/>
        <v>41774</v>
      </c>
      <c r="D927" s="191" t="s">
        <v>1228</v>
      </c>
      <c r="E927" s="191">
        <v>41774</v>
      </c>
      <c r="F927" s="189" t="s">
        <v>1166</v>
      </c>
      <c r="G927" s="468" t="s">
        <v>1161</v>
      </c>
      <c r="H927" s="193" t="s">
        <v>1104</v>
      </c>
      <c r="I927" s="708">
        <v>500</v>
      </c>
      <c r="J927" s="789">
        <v>7888</v>
      </c>
      <c r="K927" s="568">
        <f t="shared" si="59"/>
        <v>3944000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90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821">
        <v>2</v>
      </c>
      <c r="AC927" s="211" t="str">
        <f t="shared" si="60"/>
        <v/>
      </c>
    </row>
    <row r="928" spans="1:31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61"/>
        <v>5</v>
      </c>
      <c r="C928" s="37">
        <f t="shared" si="62"/>
        <v>41774</v>
      </c>
      <c r="D928" s="191" t="s">
        <v>1228</v>
      </c>
      <c r="E928" s="191">
        <v>41774</v>
      </c>
      <c r="F928" s="189" t="s">
        <v>1167</v>
      </c>
      <c r="G928" s="468" t="s">
        <v>1161</v>
      </c>
      <c r="H928" s="193" t="s">
        <v>1104</v>
      </c>
      <c r="I928" s="708">
        <v>100</v>
      </c>
      <c r="J928" s="789">
        <v>9147</v>
      </c>
      <c r="K928" s="568">
        <f t="shared" si="59"/>
        <v>914700</v>
      </c>
      <c r="L928" s="39" t="s">
        <v>159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90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821">
        <v>2</v>
      </c>
      <c r="AC928" s="211" t="str">
        <f t="shared" si="60"/>
        <v/>
      </c>
    </row>
    <row r="929" spans="1:29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61"/>
        <v>5</v>
      </c>
      <c r="C929" s="37">
        <f t="shared" si="62"/>
        <v>41774</v>
      </c>
      <c r="D929" s="191" t="s">
        <v>1228</v>
      </c>
      <c r="E929" s="191">
        <v>41774</v>
      </c>
      <c r="F929" s="40" t="s">
        <v>1008</v>
      </c>
      <c r="G929" s="468" t="s">
        <v>1161</v>
      </c>
      <c r="H929" s="193" t="s">
        <v>1104</v>
      </c>
      <c r="I929" s="708"/>
      <c r="J929" s="256"/>
      <c r="K929" s="568">
        <v>1860305</v>
      </c>
      <c r="L929" s="39" t="s">
        <v>9</v>
      </c>
      <c r="M929" s="39" t="s">
        <v>8</v>
      </c>
      <c r="N929" s="52" t="str">
        <f>IF(AND('331-CT'!$E$7=TH!H929,OR(L929="331",M929="331")),"331",IF(AND(OR(L929="131",M929="131"),H929='131-CT'!$E$7),"131",""))</f>
        <v/>
      </c>
      <c r="O929" s="90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821">
        <v>2</v>
      </c>
      <c r="AC929" s="211" t="str">
        <f t="shared" si="60"/>
        <v/>
      </c>
    </row>
    <row r="930" spans="1:29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61"/>
        <v>5</v>
      </c>
      <c r="C930" s="37">
        <f t="shared" si="62"/>
        <v>41776</v>
      </c>
      <c r="D930" s="191" t="s">
        <v>1229</v>
      </c>
      <c r="E930" s="37">
        <v>41776</v>
      </c>
      <c r="F930" s="40" t="s">
        <v>1208</v>
      </c>
      <c r="G930" s="467" t="s">
        <v>1207</v>
      </c>
      <c r="H930" s="7" t="s">
        <v>1104</v>
      </c>
      <c r="I930" s="708">
        <v>500</v>
      </c>
      <c r="J930" s="708">
        <v>25186</v>
      </c>
      <c r="K930" s="568">
        <f>ROUND(I930*J930,0)</f>
        <v>12593000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90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821">
        <v>2</v>
      </c>
      <c r="AC930" s="211" t="str">
        <f t="shared" si="60"/>
        <v/>
      </c>
    </row>
    <row r="931" spans="1:29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61"/>
        <v>5</v>
      </c>
      <c r="C931" s="37">
        <f t="shared" si="62"/>
        <v>41776</v>
      </c>
      <c r="D931" s="191" t="s">
        <v>1229</v>
      </c>
      <c r="E931" s="37">
        <v>41776</v>
      </c>
      <c r="F931" s="40" t="s">
        <v>1209</v>
      </c>
      <c r="G931" s="467" t="s">
        <v>1207</v>
      </c>
      <c r="H931" s="7" t="s">
        <v>1104</v>
      </c>
      <c r="I931" s="256">
        <v>170</v>
      </c>
      <c r="J931" s="256">
        <v>10495</v>
      </c>
      <c r="K931" s="568">
        <f>ROUND(I931*J931,0)</f>
        <v>1784150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90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821">
        <v>2</v>
      </c>
      <c r="AC931" s="211" t="str">
        <f t="shared" si="60"/>
        <v/>
      </c>
    </row>
    <row r="932" spans="1:29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61"/>
        <v>5</v>
      </c>
      <c r="C932" s="37">
        <f t="shared" si="62"/>
        <v>41776</v>
      </c>
      <c r="D932" s="191" t="s">
        <v>1229</v>
      </c>
      <c r="E932" s="37">
        <v>41776</v>
      </c>
      <c r="F932" s="40" t="s">
        <v>1106</v>
      </c>
      <c r="G932" s="467" t="s">
        <v>1207</v>
      </c>
      <c r="H932" s="7" t="s">
        <v>1104</v>
      </c>
      <c r="I932" s="256"/>
      <c r="J932" s="256"/>
      <c r="K932" s="858">
        <v>1437715</v>
      </c>
      <c r="L932" s="849" t="s">
        <v>9</v>
      </c>
      <c r="M932" s="849" t="s">
        <v>8</v>
      </c>
      <c r="N932" s="52" t="str">
        <f>IF(AND('331-CT'!$E$7=TH!H932,OR(L932="331",M932="331")),"331",IF(AND(OR(L932="131",M932="131"),H932='131-CT'!$E$7),"131",""))</f>
        <v/>
      </c>
      <c r="O932" s="90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821">
        <v>2</v>
      </c>
      <c r="AC932" s="211" t="str">
        <f t="shared" si="60"/>
        <v/>
      </c>
    </row>
    <row r="933" spans="1:29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61"/>
        <v>5</v>
      </c>
      <c r="C933" s="37">
        <f t="shared" si="62"/>
        <v>41781</v>
      </c>
      <c r="D933" s="191" t="s">
        <v>1229</v>
      </c>
      <c r="E933" s="191">
        <v>41781</v>
      </c>
      <c r="F933" s="192" t="s">
        <v>1169</v>
      </c>
      <c r="G933" s="468" t="s">
        <v>1168</v>
      </c>
      <c r="H933" s="7" t="s">
        <v>1153</v>
      </c>
      <c r="I933" s="708">
        <v>400</v>
      </c>
      <c r="J933" s="708">
        <v>14784</v>
      </c>
      <c r="K933" s="568">
        <f>ROUND(I933*J933,0)</f>
        <v>5913600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90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821">
        <v>2</v>
      </c>
      <c r="AC933" s="211" t="str">
        <f t="shared" si="60"/>
        <v/>
      </c>
    </row>
    <row r="934" spans="1:29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61"/>
        <v>5</v>
      </c>
      <c r="C934" s="37">
        <f t="shared" si="62"/>
        <v>41781</v>
      </c>
      <c r="D934" s="191" t="s">
        <v>1229</v>
      </c>
      <c r="E934" s="191">
        <v>41781</v>
      </c>
      <c r="F934" s="192" t="s">
        <v>1170</v>
      </c>
      <c r="G934" s="468" t="s">
        <v>1168</v>
      </c>
      <c r="H934" s="7" t="s">
        <v>1153</v>
      </c>
      <c r="I934" s="708">
        <v>500</v>
      </c>
      <c r="J934" s="256">
        <v>19008</v>
      </c>
      <c r="K934" s="568">
        <f>ROUND(I934*J934,0)</f>
        <v>9504000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90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821">
        <v>2</v>
      </c>
      <c r="AC934" s="211" t="str">
        <f t="shared" si="60"/>
        <v/>
      </c>
    </row>
    <row r="935" spans="1:29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61"/>
        <v>5</v>
      </c>
      <c r="C935" s="37">
        <f t="shared" si="62"/>
        <v>41781</v>
      </c>
      <c r="D935" s="191" t="s">
        <v>1229</v>
      </c>
      <c r="E935" s="191">
        <v>41781</v>
      </c>
      <c r="F935" s="40" t="s">
        <v>1008</v>
      </c>
      <c r="G935" s="468" t="s">
        <v>1168</v>
      </c>
      <c r="H935" s="7" t="s">
        <v>1153</v>
      </c>
      <c r="I935" s="256"/>
      <c r="J935" s="256"/>
      <c r="K935" s="568">
        <v>1541760</v>
      </c>
      <c r="L935" s="39" t="s">
        <v>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90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821">
        <v>2</v>
      </c>
      <c r="AC935" s="211" t="str">
        <f t="shared" si="60"/>
        <v/>
      </c>
    </row>
    <row r="936" spans="1:29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61"/>
        <v>5</v>
      </c>
      <c r="C936" s="37">
        <f t="shared" si="62"/>
        <v>41783</v>
      </c>
      <c r="D936" s="191" t="s">
        <v>1230</v>
      </c>
      <c r="E936" s="731">
        <v>41783</v>
      </c>
      <c r="F936" s="192" t="s">
        <v>1173</v>
      </c>
      <c r="G936" s="467" t="s">
        <v>1172</v>
      </c>
      <c r="H936" s="7" t="s">
        <v>1153</v>
      </c>
      <c r="I936" s="256">
        <v>150</v>
      </c>
      <c r="J936" s="256">
        <v>10513</v>
      </c>
      <c r="K936" s="568">
        <f>ROUND(I936*J936,0)</f>
        <v>1576950</v>
      </c>
      <c r="L936" s="39" t="s">
        <v>159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90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821">
        <v>2</v>
      </c>
      <c r="AC936" s="211" t="str">
        <f t="shared" si="60"/>
        <v/>
      </c>
    </row>
    <row r="937" spans="1:29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61"/>
        <v>5</v>
      </c>
      <c r="C937" s="37">
        <f t="shared" si="62"/>
        <v>41783</v>
      </c>
      <c r="D937" s="191" t="s">
        <v>1230</v>
      </c>
      <c r="E937" s="731">
        <v>41783</v>
      </c>
      <c r="F937" s="192" t="s">
        <v>1174</v>
      </c>
      <c r="G937" s="467" t="s">
        <v>1172</v>
      </c>
      <c r="H937" s="7" t="s">
        <v>1153</v>
      </c>
      <c r="I937" s="256">
        <v>200</v>
      </c>
      <c r="J937" s="256">
        <v>17618</v>
      </c>
      <c r="K937" s="568">
        <f>ROUND(I937*J937,0)</f>
        <v>3523600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90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821">
        <v>2</v>
      </c>
      <c r="AC937" s="211" t="str">
        <f t="shared" si="60"/>
        <v/>
      </c>
    </row>
    <row r="938" spans="1:29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61"/>
        <v>5</v>
      </c>
      <c r="C938" s="37">
        <f t="shared" si="62"/>
        <v>41783</v>
      </c>
      <c r="D938" s="191" t="s">
        <v>1230</v>
      </c>
      <c r="E938" s="731">
        <v>41783</v>
      </c>
      <c r="F938" s="192" t="s">
        <v>1175</v>
      </c>
      <c r="G938" s="467" t="s">
        <v>1172</v>
      </c>
      <c r="H938" s="7" t="s">
        <v>1153</v>
      </c>
      <c r="I938" s="708">
        <v>250</v>
      </c>
      <c r="J938" s="256">
        <v>25186</v>
      </c>
      <c r="K938" s="568">
        <f>ROUND(I938*J938,0)</f>
        <v>6296500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90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821">
        <v>2</v>
      </c>
      <c r="AC938" s="211" t="str">
        <f t="shared" si="60"/>
        <v/>
      </c>
    </row>
    <row r="939" spans="1:29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61"/>
        <v>5</v>
      </c>
      <c r="C939" s="37">
        <f t="shared" si="62"/>
        <v>41783</v>
      </c>
      <c r="D939" s="191" t="s">
        <v>1230</v>
      </c>
      <c r="E939" s="731">
        <v>41783</v>
      </c>
      <c r="F939" s="783" t="s">
        <v>1176</v>
      </c>
      <c r="G939" s="467" t="s">
        <v>1172</v>
      </c>
      <c r="H939" s="7" t="s">
        <v>1153</v>
      </c>
      <c r="I939" s="708">
        <v>100</v>
      </c>
      <c r="J939" s="708">
        <v>22968</v>
      </c>
      <c r="K939" s="568">
        <f>ROUND(I939*J939,0)</f>
        <v>2296800</v>
      </c>
      <c r="L939" s="39" t="s">
        <v>159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90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821">
        <v>2</v>
      </c>
      <c r="AC939" s="211" t="str">
        <f t="shared" si="60"/>
        <v/>
      </c>
    </row>
    <row r="940" spans="1:29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61"/>
        <v>5</v>
      </c>
      <c r="C940" s="37">
        <f t="shared" si="62"/>
        <v>41783</v>
      </c>
      <c r="D940" s="191" t="s">
        <v>1230</v>
      </c>
      <c r="E940" s="731">
        <v>41783</v>
      </c>
      <c r="F940" s="40" t="s">
        <v>1008</v>
      </c>
      <c r="G940" s="467" t="s">
        <v>1172</v>
      </c>
      <c r="H940" s="7" t="s">
        <v>1153</v>
      </c>
      <c r="I940" s="708"/>
      <c r="J940" s="708"/>
      <c r="K940" s="568">
        <v>1369385</v>
      </c>
      <c r="L940" s="39" t="s">
        <v>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90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821">
        <v>2</v>
      </c>
      <c r="AC940" s="211" t="str">
        <f t="shared" si="60"/>
        <v/>
      </c>
    </row>
    <row r="941" spans="1:29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61"/>
        <v>5</v>
      </c>
      <c r="C941" s="37">
        <f t="shared" si="62"/>
        <v>41783</v>
      </c>
      <c r="D941" s="37"/>
      <c r="E941" s="731">
        <v>41783</v>
      </c>
      <c r="F941" s="189" t="s">
        <v>1003</v>
      </c>
      <c r="G941" s="468" t="s">
        <v>1177</v>
      </c>
      <c r="H941" s="7" t="s">
        <v>1005</v>
      </c>
      <c r="I941" s="708"/>
      <c r="J941" s="708"/>
      <c r="K941" s="568">
        <v>756428</v>
      </c>
      <c r="L941" s="39" t="s">
        <v>83</v>
      </c>
      <c r="M941" s="39" t="s">
        <v>47</v>
      </c>
      <c r="N941" s="52" t="str">
        <f>IF(AND('331-CT'!$E$7=TH!H941,OR(L941="331",M941="331")),"331",IF(AND(OR(L941="131",M941="131"),H941='131-CT'!$E$7),"131",""))</f>
        <v/>
      </c>
      <c r="O941" s="90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>x</v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W941" s="52" t="str">
        <f>IF(OR(TH!L941=TH!$W$7,M941=TH!$W$7),"x","")</f>
        <v>x</v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821">
        <v>2</v>
      </c>
    </row>
    <row r="942" spans="1:29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61"/>
        <v>5</v>
      </c>
      <c r="C942" s="37">
        <f t="shared" si="62"/>
        <v>41783</v>
      </c>
      <c r="D942" s="37"/>
      <c r="E942" s="731">
        <v>41783</v>
      </c>
      <c r="F942" s="189" t="s">
        <v>1004</v>
      </c>
      <c r="G942" s="468" t="s">
        <v>1177</v>
      </c>
      <c r="H942" s="7" t="s">
        <v>1005</v>
      </c>
      <c r="I942" s="708"/>
      <c r="J942" s="708"/>
      <c r="K942" s="568">
        <v>75643</v>
      </c>
      <c r="L942" s="39" t="s">
        <v>9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90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>x</v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821">
        <v>2</v>
      </c>
    </row>
    <row r="943" spans="1:29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61"/>
        <v>5</v>
      </c>
      <c r="C943" s="37">
        <f t="shared" si="62"/>
        <v>41789</v>
      </c>
      <c r="D943" s="37"/>
      <c r="E943" s="37">
        <v>41789</v>
      </c>
      <c r="F943" s="192" t="s">
        <v>377</v>
      </c>
      <c r="G943" s="468" t="s">
        <v>677</v>
      </c>
      <c r="H943" s="7" t="s">
        <v>1010</v>
      </c>
      <c r="I943" s="708"/>
      <c r="J943" s="708"/>
      <c r="K943" s="568">
        <v>5040000</v>
      </c>
      <c r="L943" s="39" t="s">
        <v>167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90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>x</v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154</v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821">
        <v>2</v>
      </c>
    </row>
    <row r="944" spans="1:29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61"/>
        <v>5</v>
      </c>
      <c r="C944" s="37">
        <f t="shared" si="62"/>
        <v>41789</v>
      </c>
      <c r="D944" s="37"/>
      <c r="E944" s="37">
        <v>41789</v>
      </c>
      <c r="F944" s="192" t="s">
        <v>1011</v>
      </c>
      <c r="G944" s="468" t="s">
        <v>677</v>
      </c>
      <c r="H944" s="7" t="s">
        <v>1010</v>
      </c>
      <c r="I944" s="708"/>
      <c r="J944" s="708"/>
      <c r="K944" s="568">
        <v>504000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90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>x</v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821">
        <v>2</v>
      </c>
    </row>
    <row r="945" spans="1:29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61"/>
        <v>5</v>
      </c>
      <c r="C945" s="37">
        <f t="shared" si="62"/>
        <v>41790</v>
      </c>
      <c r="D945" s="37"/>
      <c r="E945" s="37">
        <v>41790</v>
      </c>
      <c r="F945" s="189" t="s">
        <v>330</v>
      </c>
      <c r="G945" s="468" t="s">
        <v>1178</v>
      </c>
      <c r="H945" s="7" t="s">
        <v>352</v>
      </c>
      <c r="I945" s="708">
        <v>24</v>
      </c>
      <c r="J945" s="708">
        <v>44000</v>
      </c>
      <c r="K945" s="568">
        <f>ROUND(I945*J945,0)</f>
        <v>1056000</v>
      </c>
      <c r="L945" s="39" t="s">
        <v>161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90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821">
        <v>2</v>
      </c>
      <c r="AC945" s="211" t="str">
        <f>IF(H945=VLOOKUP(H945,DSKH,1,0),"","x")</f>
        <v/>
      </c>
    </row>
    <row r="946" spans="1:29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61"/>
        <v>5</v>
      </c>
      <c r="C946" s="37">
        <f t="shared" si="62"/>
        <v>41790</v>
      </c>
      <c r="D946" s="37"/>
      <c r="E946" s="37">
        <v>41790</v>
      </c>
      <c r="F946" s="189" t="s">
        <v>1020</v>
      </c>
      <c r="G946" s="468" t="s">
        <v>1178</v>
      </c>
      <c r="H946" s="7" t="s">
        <v>352</v>
      </c>
      <c r="I946" s="256"/>
      <c r="J946" s="256"/>
      <c r="K946" s="568">
        <v>105600</v>
      </c>
      <c r="L946" s="39" t="s">
        <v>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90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821">
        <v>2</v>
      </c>
      <c r="AC946" s="211" t="str">
        <f>IF(H946=VLOOKUP(H946,DSKH,1,0),"","x")</f>
        <v/>
      </c>
    </row>
    <row r="947" spans="1:29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61"/>
        <v>5</v>
      </c>
      <c r="C947" s="37">
        <f t="shared" si="62"/>
        <v>41790</v>
      </c>
      <c r="D947" s="37"/>
      <c r="E947" s="37">
        <v>41790</v>
      </c>
      <c r="F947" s="189" t="s">
        <v>903</v>
      </c>
      <c r="G947" s="468" t="s">
        <v>1178</v>
      </c>
      <c r="H947" s="7" t="s">
        <v>352</v>
      </c>
      <c r="I947" s="256"/>
      <c r="J947" s="256"/>
      <c r="K947" s="568">
        <v>1161600</v>
      </c>
      <c r="L947" s="39" t="s">
        <v>8</v>
      </c>
      <c r="M947" s="39" t="s">
        <v>47</v>
      </c>
      <c r="N947" s="52" t="str">
        <f>IF(AND('331-CT'!$E$7=TH!H947,OR(L947="331",M947="331")),"331",IF(AND(OR(L947="131",M947="131"),H947='131-CT'!$E$7),"131",""))</f>
        <v/>
      </c>
      <c r="O947" s="90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>x</v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821"/>
    </row>
    <row r="948" spans="1:29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61"/>
        <v>6</v>
      </c>
      <c r="C948" s="37">
        <f t="shared" si="62"/>
        <v>41792</v>
      </c>
      <c r="D948" s="191" t="s">
        <v>1231</v>
      </c>
      <c r="E948" s="37">
        <v>41792</v>
      </c>
      <c r="F948" s="40" t="s">
        <v>1180</v>
      </c>
      <c r="G948" s="467" t="s">
        <v>1179</v>
      </c>
      <c r="H948" s="7" t="s">
        <v>1153</v>
      </c>
      <c r="I948" s="256">
        <v>1000</v>
      </c>
      <c r="J948" s="256">
        <v>10231</v>
      </c>
      <c r="K948" s="568">
        <f t="shared" ref="K948:K978" si="63">ROUND(I948*J948,0)</f>
        <v>10231000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90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821">
        <v>2</v>
      </c>
      <c r="AC948" s="211" t="str">
        <f t="shared" ref="AC948:AC979" si="64">IF(H948=VLOOKUP(H948,DSKH,1,0),"","x")</f>
        <v/>
      </c>
    </row>
    <row r="949" spans="1:29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61"/>
        <v>6</v>
      </c>
      <c r="C949" s="37">
        <f t="shared" si="62"/>
        <v>41792</v>
      </c>
      <c r="D949" s="191" t="s">
        <v>1231</v>
      </c>
      <c r="E949" s="37">
        <v>41792</v>
      </c>
      <c r="F949" s="40" t="s">
        <v>1181</v>
      </c>
      <c r="G949" s="467" t="s">
        <v>1179</v>
      </c>
      <c r="H949" s="7" t="s">
        <v>1153</v>
      </c>
      <c r="I949" s="256">
        <v>250</v>
      </c>
      <c r="J949" s="256">
        <v>16262</v>
      </c>
      <c r="K949" s="568">
        <f t="shared" si="63"/>
        <v>4065500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90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821">
        <v>2</v>
      </c>
      <c r="AC949" s="211" t="str">
        <f t="shared" si="64"/>
        <v/>
      </c>
    </row>
    <row r="950" spans="1:29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61"/>
        <v>6</v>
      </c>
      <c r="C950" s="37">
        <f t="shared" si="62"/>
        <v>41792</v>
      </c>
      <c r="D950" s="191" t="s">
        <v>1231</v>
      </c>
      <c r="E950" s="37">
        <v>41792</v>
      </c>
      <c r="F950" s="40" t="s">
        <v>1084</v>
      </c>
      <c r="G950" s="467" t="s">
        <v>1179</v>
      </c>
      <c r="H950" s="7" t="s">
        <v>1153</v>
      </c>
      <c r="I950" s="256">
        <v>310</v>
      </c>
      <c r="J950" s="256">
        <v>20038</v>
      </c>
      <c r="K950" s="568">
        <f t="shared" si="63"/>
        <v>6211780</v>
      </c>
      <c r="L950" s="39" t="s">
        <v>159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90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821">
        <v>2</v>
      </c>
      <c r="AC950" s="211" t="str">
        <f t="shared" si="64"/>
        <v/>
      </c>
    </row>
    <row r="951" spans="1:29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61"/>
        <v>6</v>
      </c>
      <c r="C951" s="37">
        <f t="shared" si="62"/>
        <v>41792</v>
      </c>
      <c r="D951" s="191" t="s">
        <v>1231</v>
      </c>
      <c r="E951" s="37">
        <v>41792</v>
      </c>
      <c r="F951" s="40" t="s">
        <v>1170</v>
      </c>
      <c r="G951" s="467" t="s">
        <v>1179</v>
      </c>
      <c r="H951" s="7" t="s">
        <v>1153</v>
      </c>
      <c r="I951" s="256">
        <v>500</v>
      </c>
      <c r="J951" s="256">
        <v>19008</v>
      </c>
      <c r="K951" s="568">
        <f t="shared" si="63"/>
        <v>9504000</v>
      </c>
      <c r="L951" s="39" t="s">
        <v>159</v>
      </c>
      <c r="M951" s="39" t="s">
        <v>8</v>
      </c>
      <c r="N951" s="52" t="str">
        <f>IF(AND('331-CT'!$E$7=TH!H951,OR(L951="331",M951="331")),"331",IF(AND(OR(L951="131",M951="131"),H951='131-CT'!$E$7),"131",""))</f>
        <v/>
      </c>
      <c r="O951" s="90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821">
        <v>2</v>
      </c>
      <c r="AC951" s="211" t="str">
        <f t="shared" si="64"/>
        <v/>
      </c>
    </row>
    <row r="952" spans="1:29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61"/>
        <v>6</v>
      </c>
      <c r="C952" s="37">
        <f t="shared" si="62"/>
        <v>41792</v>
      </c>
      <c r="D952" s="191" t="s">
        <v>1231</v>
      </c>
      <c r="E952" s="37">
        <v>41792</v>
      </c>
      <c r="F952" s="40" t="s">
        <v>1085</v>
      </c>
      <c r="G952" s="467" t="s">
        <v>1179</v>
      </c>
      <c r="H952" s="7" t="s">
        <v>1153</v>
      </c>
      <c r="I952" s="256">
        <v>250</v>
      </c>
      <c r="J952" s="256">
        <v>17318</v>
      </c>
      <c r="K952" s="568">
        <f t="shared" si="63"/>
        <v>4329500</v>
      </c>
      <c r="L952" s="39" t="s">
        <v>159</v>
      </c>
      <c r="M952" s="39" t="s">
        <v>8</v>
      </c>
      <c r="N952" s="52" t="str">
        <f>IF(AND('331-CT'!$E$7=TH!H952,OR(L952="331",M952="331")),"331",IF(AND(OR(L952="131",M952="131"),H952='131-CT'!$E$7),"131",""))</f>
        <v/>
      </c>
      <c r="O952" s="90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821">
        <v>2</v>
      </c>
      <c r="AC952" s="211" t="str">
        <f t="shared" si="64"/>
        <v/>
      </c>
    </row>
    <row r="953" spans="1:29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61"/>
        <v>6</v>
      </c>
      <c r="C953" s="37">
        <f t="shared" si="62"/>
        <v>41792</v>
      </c>
      <c r="D953" s="191" t="s">
        <v>1231</v>
      </c>
      <c r="E953" s="37">
        <v>41792</v>
      </c>
      <c r="F953" s="40" t="s">
        <v>1174</v>
      </c>
      <c r="G953" s="467" t="s">
        <v>1179</v>
      </c>
      <c r="H953" s="7" t="s">
        <v>1153</v>
      </c>
      <c r="I953" s="256">
        <v>200</v>
      </c>
      <c r="J953" s="256">
        <v>17618</v>
      </c>
      <c r="K953" s="568">
        <f t="shared" si="63"/>
        <v>3523600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90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821">
        <v>2</v>
      </c>
      <c r="AC953" s="211" t="str">
        <f t="shared" si="64"/>
        <v/>
      </c>
    </row>
    <row r="954" spans="1:29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61"/>
        <v>6</v>
      </c>
      <c r="C954" s="37">
        <f t="shared" si="62"/>
        <v>41792</v>
      </c>
      <c r="D954" s="191" t="s">
        <v>1231</v>
      </c>
      <c r="E954" s="37">
        <v>41792</v>
      </c>
      <c r="F954" s="40" t="s">
        <v>1176</v>
      </c>
      <c r="G954" s="467" t="s">
        <v>1179</v>
      </c>
      <c r="H954" s="7" t="s">
        <v>1153</v>
      </c>
      <c r="I954" s="256">
        <v>100</v>
      </c>
      <c r="J954" s="256">
        <v>22968</v>
      </c>
      <c r="K954" s="568">
        <f t="shared" si="63"/>
        <v>2296800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90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821">
        <v>2</v>
      </c>
      <c r="AC954" s="211" t="str">
        <f t="shared" si="64"/>
        <v/>
      </c>
    </row>
    <row r="955" spans="1:29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61"/>
        <v>6</v>
      </c>
      <c r="C955" s="37">
        <f t="shared" si="62"/>
        <v>41792</v>
      </c>
      <c r="D955" s="191" t="s">
        <v>1231</v>
      </c>
      <c r="E955" s="37">
        <v>41792</v>
      </c>
      <c r="F955" s="40" t="s">
        <v>1083</v>
      </c>
      <c r="G955" s="467" t="s">
        <v>1179</v>
      </c>
      <c r="H955" s="7" t="s">
        <v>1153</v>
      </c>
      <c r="I955" s="256">
        <v>175</v>
      </c>
      <c r="J955" s="256">
        <v>14978</v>
      </c>
      <c r="K955" s="568">
        <f t="shared" si="63"/>
        <v>2621150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90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821">
        <v>2</v>
      </c>
      <c r="AC955" s="211" t="str">
        <f t="shared" si="64"/>
        <v/>
      </c>
    </row>
    <row r="956" spans="1:29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61"/>
        <v>6</v>
      </c>
      <c r="C956" s="37">
        <f t="shared" si="62"/>
        <v>41792</v>
      </c>
      <c r="D956" s="191" t="s">
        <v>1231</v>
      </c>
      <c r="E956" s="37">
        <v>41792</v>
      </c>
      <c r="F956" s="40" t="s">
        <v>1084</v>
      </c>
      <c r="G956" s="467" t="s">
        <v>1179</v>
      </c>
      <c r="H956" s="7" t="s">
        <v>1153</v>
      </c>
      <c r="I956" s="256">
        <v>190</v>
      </c>
      <c r="J956" s="256">
        <v>20038</v>
      </c>
      <c r="K956" s="568">
        <f t="shared" si="63"/>
        <v>3807220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90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821">
        <v>2</v>
      </c>
      <c r="AC956" s="211" t="str">
        <f t="shared" si="64"/>
        <v/>
      </c>
    </row>
    <row r="957" spans="1:29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61"/>
        <v>6</v>
      </c>
      <c r="C957" s="37">
        <f t="shared" si="62"/>
        <v>41792</v>
      </c>
      <c r="D957" s="191" t="s">
        <v>1231</v>
      </c>
      <c r="E957" s="37">
        <v>41792</v>
      </c>
      <c r="F957" s="40" t="s">
        <v>1082</v>
      </c>
      <c r="G957" s="467" t="s">
        <v>1179</v>
      </c>
      <c r="H957" s="7" t="s">
        <v>1153</v>
      </c>
      <c r="I957" s="256">
        <v>146</v>
      </c>
      <c r="J957" s="256">
        <v>16447</v>
      </c>
      <c r="K957" s="568">
        <f t="shared" si="63"/>
        <v>2401262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90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821">
        <v>2</v>
      </c>
      <c r="AC957" s="211" t="str">
        <f t="shared" si="64"/>
        <v/>
      </c>
    </row>
    <row r="958" spans="1:29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61"/>
        <v>6</v>
      </c>
      <c r="C958" s="37">
        <f t="shared" si="62"/>
        <v>41792</v>
      </c>
      <c r="D958" s="191" t="s">
        <v>1231</v>
      </c>
      <c r="E958" s="37">
        <v>41792</v>
      </c>
      <c r="F958" s="40" t="s">
        <v>1182</v>
      </c>
      <c r="G958" s="467" t="s">
        <v>1179</v>
      </c>
      <c r="H958" s="7" t="s">
        <v>1153</v>
      </c>
      <c r="I958" s="708">
        <v>400</v>
      </c>
      <c r="J958" s="708">
        <v>22704</v>
      </c>
      <c r="K958" s="568">
        <f t="shared" si="63"/>
        <v>9081600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90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821">
        <v>2</v>
      </c>
      <c r="AC958" s="211" t="str">
        <f t="shared" si="64"/>
        <v/>
      </c>
    </row>
    <row r="959" spans="1:29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61"/>
        <v>6</v>
      </c>
      <c r="C959" s="37">
        <f t="shared" si="62"/>
        <v>41792</v>
      </c>
      <c r="D959" s="191" t="s">
        <v>1231</v>
      </c>
      <c r="E959" s="37">
        <v>41792</v>
      </c>
      <c r="F959" s="40" t="s">
        <v>1083</v>
      </c>
      <c r="G959" s="467" t="s">
        <v>1179</v>
      </c>
      <c r="H959" s="7" t="s">
        <v>1153</v>
      </c>
      <c r="I959" s="708">
        <v>175</v>
      </c>
      <c r="J959" s="708">
        <v>14978</v>
      </c>
      <c r="K959" s="568">
        <f t="shared" si="63"/>
        <v>2621150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90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821">
        <v>2</v>
      </c>
      <c r="AC959" s="211" t="str">
        <f t="shared" si="64"/>
        <v/>
      </c>
    </row>
    <row r="960" spans="1:29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61"/>
        <v>6</v>
      </c>
      <c r="C960" s="37">
        <f t="shared" si="62"/>
        <v>41792</v>
      </c>
      <c r="D960" s="191" t="s">
        <v>1231</v>
      </c>
      <c r="E960" s="37">
        <v>41792</v>
      </c>
      <c r="F960" s="40" t="s">
        <v>1169</v>
      </c>
      <c r="G960" s="467" t="s">
        <v>1179</v>
      </c>
      <c r="H960" s="7" t="s">
        <v>1153</v>
      </c>
      <c r="I960" s="708">
        <v>200</v>
      </c>
      <c r="J960" s="708">
        <v>14784</v>
      </c>
      <c r="K960" s="568">
        <f t="shared" si="63"/>
        <v>2956800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90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821">
        <v>2</v>
      </c>
      <c r="AC960" s="211" t="str">
        <f t="shared" si="64"/>
        <v/>
      </c>
    </row>
    <row r="961" spans="1:29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61"/>
        <v>6</v>
      </c>
      <c r="C961" s="37">
        <f t="shared" si="62"/>
        <v>41792</v>
      </c>
      <c r="D961" s="191" t="s">
        <v>1231</v>
      </c>
      <c r="E961" s="37">
        <v>41792</v>
      </c>
      <c r="F961" s="40" t="s">
        <v>1183</v>
      </c>
      <c r="G961" s="467" t="s">
        <v>1179</v>
      </c>
      <c r="H961" s="7" t="s">
        <v>1153</v>
      </c>
      <c r="I961" s="708">
        <v>350</v>
      </c>
      <c r="J961" s="708">
        <v>8584</v>
      </c>
      <c r="K961" s="568">
        <f t="shared" si="63"/>
        <v>3004400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90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821">
        <v>2</v>
      </c>
      <c r="AC961" s="211" t="str">
        <f t="shared" si="64"/>
        <v/>
      </c>
    </row>
    <row r="962" spans="1:29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61"/>
        <v>6</v>
      </c>
      <c r="C962" s="37">
        <f t="shared" si="62"/>
        <v>41792</v>
      </c>
      <c r="D962" s="191" t="s">
        <v>1231</v>
      </c>
      <c r="E962" s="37">
        <v>41792</v>
      </c>
      <c r="F962" s="40" t="s">
        <v>1184</v>
      </c>
      <c r="G962" s="467" t="s">
        <v>1179</v>
      </c>
      <c r="H962" s="7" t="s">
        <v>1153</v>
      </c>
      <c r="I962" s="708">
        <v>150</v>
      </c>
      <c r="J962" s="708">
        <v>16315</v>
      </c>
      <c r="K962" s="568">
        <f t="shared" si="63"/>
        <v>2447250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90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821">
        <v>2</v>
      </c>
      <c r="AC962" s="211" t="str">
        <f t="shared" si="64"/>
        <v/>
      </c>
    </row>
    <row r="963" spans="1:29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61"/>
        <v>6</v>
      </c>
      <c r="C963" s="37">
        <f t="shared" si="62"/>
        <v>41792</v>
      </c>
      <c r="D963" s="191" t="s">
        <v>1231</v>
      </c>
      <c r="E963" s="37">
        <v>41792</v>
      </c>
      <c r="F963" s="40" t="s">
        <v>1185</v>
      </c>
      <c r="G963" s="467" t="s">
        <v>1179</v>
      </c>
      <c r="H963" s="7" t="s">
        <v>1153</v>
      </c>
      <c r="I963" s="708">
        <v>420</v>
      </c>
      <c r="J963" s="708">
        <v>10150</v>
      </c>
      <c r="K963" s="568">
        <f t="shared" si="63"/>
        <v>4263000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90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821">
        <v>2</v>
      </c>
      <c r="AC963" s="211" t="str">
        <f t="shared" si="64"/>
        <v/>
      </c>
    </row>
    <row r="964" spans="1:29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61"/>
        <v>6</v>
      </c>
      <c r="C964" s="37">
        <f t="shared" si="62"/>
        <v>41792</v>
      </c>
      <c r="D964" s="191" t="s">
        <v>1231</v>
      </c>
      <c r="E964" s="37">
        <v>41792</v>
      </c>
      <c r="F964" s="40" t="s">
        <v>1186</v>
      </c>
      <c r="G964" s="467" t="s">
        <v>1179</v>
      </c>
      <c r="H964" s="7" t="s">
        <v>1153</v>
      </c>
      <c r="I964" s="708">
        <v>425</v>
      </c>
      <c r="J964" s="708">
        <v>7888</v>
      </c>
      <c r="K964" s="568">
        <f t="shared" si="63"/>
        <v>3352400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90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821">
        <v>2</v>
      </c>
      <c r="AC964" s="211" t="str">
        <f t="shared" si="64"/>
        <v/>
      </c>
    </row>
    <row r="965" spans="1:29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61"/>
        <v>6</v>
      </c>
      <c r="C965" s="37">
        <f t="shared" si="62"/>
        <v>41792</v>
      </c>
      <c r="D965" s="191" t="s">
        <v>1231</v>
      </c>
      <c r="E965" s="37">
        <v>41792</v>
      </c>
      <c r="F965" s="40" t="s">
        <v>1187</v>
      </c>
      <c r="G965" s="467" t="s">
        <v>1179</v>
      </c>
      <c r="H965" s="7" t="s">
        <v>1153</v>
      </c>
      <c r="I965" s="708">
        <v>435</v>
      </c>
      <c r="J965" s="789">
        <v>9515</v>
      </c>
      <c r="K965" s="568">
        <f t="shared" si="63"/>
        <v>4139025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90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821">
        <v>2</v>
      </c>
      <c r="AC965" s="211" t="str">
        <f t="shared" si="64"/>
        <v/>
      </c>
    </row>
    <row r="966" spans="1:29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61"/>
        <v>6</v>
      </c>
      <c r="C966" s="37">
        <f t="shared" si="62"/>
        <v>41792</v>
      </c>
      <c r="D966" s="191" t="s">
        <v>1231</v>
      </c>
      <c r="E966" s="37">
        <v>41792</v>
      </c>
      <c r="F966" s="40" t="s">
        <v>1188</v>
      </c>
      <c r="G966" s="467" t="s">
        <v>1179</v>
      </c>
      <c r="H966" s="7" t="s">
        <v>1153</v>
      </c>
      <c r="I966" s="708">
        <v>250</v>
      </c>
      <c r="J966" s="256">
        <v>29920</v>
      </c>
      <c r="K966" s="568">
        <f t="shared" si="63"/>
        <v>7480000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90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821">
        <v>2</v>
      </c>
      <c r="AC966" s="211" t="str">
        <f t="shared" si="64"/>
        <v/>
      </c>
    </row>
    <row r="967" spans="1:29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61"/>
        <v>6</v>
      </c>
      <c r="C967" s="37">
        <f t="shared" si="62"/>
        <v>41792</v>
      </c>
      <c r="D967" s="191" t="s">
        <v>1231</v>
      </c>
      <c r="E967" s="37">
        <v>41792</v>
      </c>
      <c r="F967" s="40" t="s">
        <v>1085</v>
      </c>
      <c r="G967" s="467" t="s">
        <v>1179</v>
      </c>
      <c r="H967" s="7" t="s">
        <v>1153</v>
      </c>
      <c r="I967" s="256">
        <v>200</v>
      </c>
      <c r="J967" s="256">
        <v>17318</v>
      </c>
      <c r="K967" s="568">
        <f t="shared" si="63"/>
        <v>3463600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90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821">
        <v>2</v>
      </c>
      <c r="AC967" s="211" t="str">
        <f t="shared" si="64"/>
        <v/>
      </c>
    </row>
    <row r="968" spans="1:29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61"/>
        <v>6</v>
      </c>
      <c r="C968" s="37">
        <f t="shared" si="62"/>
        <v>41792</v>
      </c>
      <c r="D968" s="191" t="s">
        <v>1231</v>
      </c>
      <c r="E968" s="37">
        <v>41792</v>
      </c>
      <c r="F968" s="40" t="s">
        <v>1189</v>
      </c>
      <c r="G968" s="467" t="s">
        <v>1179</v>
      </c>
      <c r="H968" s="7" t="s">
        <v>1153</v>
      </c>
      <c r="I968" s="256">
        <v>972</v>
      </c>
      <c r="J968" s="256">
        <v>9161</v>
      </c>
      <c r="K968" s="568">
        <f t="shared" si="63"/>
        <v>8904492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90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821">
        <v>2</v>
      </c>
      <c r="AC968" s="211" t="str">
        <f t="shared" si="64"/>
        <v/>
      </c>
    </row>
    <row r="969" spans="1:29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61"/>
        <v>6</v>
      </c>
      <c r="C969" s="37">
        <f t="shared" si="62"/>
        <v>41792</v>
      </c>
      <c r="D969" s="191" t="s">
        <v>1231</v>
      </c>
      <c r="E969" s="37">
        <v>41792</v>
      </c>
      <c r="F969" s="40" t="s">
        <v>1085</v>
      </c>
      <c r="G969" s="467" t="s">
        <v>1179</v>
      </c>
      <c r="H969" s="7" t="s">
        <v>1153</v>
      </c>
      <c r="I969" s="256">
        <v>50</v>
      </c>
      <c r="J969" s="256">
        <v>17318</v>
      </c>
      <c r="K969" s="568">
        <f t="shared" si="63"/>
        <v>865900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90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821">
        <v>2</v>
      </c>
      <c r="AC969" s="211" t="str">
        <f t="shared" si="64"/>
        <v/>
      </c>
    </row>
    <row r="970" spans="1:29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61"/>
        <v>6</v>
      </c>
      <c r="C970" s="37">
        <f t="shared" si="62"/>
        <v>41792</v>
      </c>
      <c r="D970" s="191" t="s">
        <v>1231</v>
      </c>
      <c r="E970" s="37">
        <v>41792</v>
      </c>
      <c r="F970" s="40" t="s">
        <v>1190</v>
      </c>
      <c r="G970" s="467" t="s">
        <v>1179</v>
      </c>
      <c r="H970" s="7" t="s">
        <v>1153</v>
      </c>
      <c r="I970" s="256">
        <v>150</v>
      </c>
      <c r="J970" s="256">
        <v>16280</v>
      </c>
      <c r="K970" s="568">
        <f t="shared" si="63"/>
        <v>2442000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90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821">
        <v>2</v>
      </c>
      <c r="AC970" s="211" t="str">
        <f t="shared" si="64"/>
        <v/>
      </c>
    </row>
    <row r="971" spans="1:29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61"/>
        <v>6</v>
      </c>
      <c r="C971" s="37">
        <f t="shared" si="62"/>
        <v>41792</v>
      </c>
      <c r="D971" s="191" t="s">
        <v>1231</v>
      </c>
      <c r="E971" s="37">
        <v>41792</v>
      </c>
      <c r="F971" s="40" t="s">
        <v>1191</v>
      </c>
      <c r="G971" s="467" t="s">
        <v>1179</v>
      </c>
      <c r="H971" s="7" t="s">
        <v>1153</v>
      </c>
      <c r="I971" s="256">
        <v>270</v>
      </c>
      <c r="J971" s="256">
        <v>11020</v>
      </c>
      <c r="K971" s="568">
        <f t="shared" si="63"/>
        <v>2975400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90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821">
        <v>2</v>
      </c>
      <c r="AC971" s="211" t="str">
        <f t="shared" si="64"/>
        <v/>
      </c>
    </row>
    <row r="972" spans="1:29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61"/>
        <v>6</v>
      </c>
      <c r="C972" s="37">
        <f t="shared" si="62"/>
        <v>41792</v>
      </c>
      <c r="D972" s="191" t="s">
        <v>1231</v>
      </c>
      <c r="E972" s="37">
        <v>41792</v>
      </c>
      <c r="F972" s="40" t="s">
        <v>1192</v>
      </c>
      <c r="G972" s="467" t="s">
        <v>1179</v>
      </c>
      <c r="H972" s="7" t="s">
        <v>1153</v>
      </c>
      <c r="I972" s="256">
        <v>270</v>
      </c>
      <c r="J972" s="256">
        <v>12615</v>
      </c>
      <c r="K972" s="568">
        <f t="shared" si="63"/>
        <v>3406050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90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821">
        <v>2</v>
      </c>
      <c r="AC972" s="211" t="str">
        <f t="shared" si="64"/>
        <v/>
      </c>
    </row>
    <row r="973" spans="1:29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61"/>
        <v>6</v>
      </c>
      <c r="C973" s="37">
        <f t="shared" si="62"/>
        <v>41792</v>
      </c>
      <c r="D973" s="191" t="s">
        <v>1231</v>
      </c>
      <c r="E973" s="37">
        <v>41792</v>
      </c>
      <c r="F973" s="40" t="s">
        <v>1193</v>
      </c>
      <c r="G973" s="467" t="s">
        <v>1179</v>
      </c>
      <c r="H973" s="7" t="s">
        <v>1153</v>
      </c>
      <c r="I973" s="256">
        <v>190</v>
      </c>
      <c r="J973" s="256">
        <v>19690</v>
      </c>
      <c r="K973" s="568">
        <f t="shared" si="63"/>
        <v>3741100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90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821">
        <v>2</v>
      </c>
      <c r="AC973" s="211" t="str">
        <f t="shared" si="64"/>
        <v/>
      </c>
    </row>
    <row r="974" spans="1:29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61"/>
        <v>6</v>
      </c>
      <c r="C974" s="37">
        <f t="shared" si="62"/>
        <v>41792</v>
      </c>
      <c r="D974" s="191" t="s">
        <v>1231</v>
      </c>
      <c r="E974" s="37">
        <v>41792</v>
      </c>
      <c r="F974" s="40" t="s">
        <v>1194</v>
      </c>
      <c r="G974" s="467" t="s">
        <v>1179</v>
      </c>
      <c r="H974" s="7" t="s">
        <v>1153</v>
      </c>
      <c r="I974" s="256">
        <v>350</v>
      </c>
      <c r="J974" s="256">
        <v>8549</v>
      </c>
      <c r="K974" s="568">
        <f t="shared" si="63"/>
        <v>2992150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90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821">
        <v>2</v>
      </c>
      <c r="AC974" s="211" t="str">
        <f t="shared" si="64"/>
        <v/>
      </c>
    </row>
    <row r="975" spans="1:29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61"/>
        <v>6</v>
      </c>
      <c r="C975" s="37">
        <f t="shared" si="62"/>
        <v>41792</v>
      </c>
      <c r="D975" s="191" t="s">
        <v>1231</v>
      </c>
      <c r="E975" s="37">
        <v>41792</v>
      </c>
      <c r="F975" s="40" t="s">
        <v>1195</v>
      </c>
      <c r="G975" s="467" t="s">
        <v>1179</v>
      </c>
      <c r="H975" s="7" t="s">
        <v>1153</v>
      </c>
      <c r="I975" s="256">
        <v>23</v>
      </c>
      <c r="J975" s="256">
        <v>19712</v>
      </c>
      <c r="K975" s="568">
        <f t="shared" si="63"/>
        <v>453376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90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821">
        <v>2</v>
      </c>
      <c r="AC975" s="211" t="str">
        <f t="shared" si="64"/>
        <v/>
      </c>
    </row>
    <row r="976" spans="1:29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61"/>
        <v>6</v>
      </c>
      <c r="C976" s="37">
        <f t="shared" si="62"/>
        <v>41792</v>
      </c>
      <c r="D976" s="191" t="s">
        <v>1231</v>
      </c>
      <c r="E976" s="37">
        <v>41792</v>
      </c>
      <c r="F976" s="40" t="s">
        <v>1195</v>
      </c>
      <c r="G976" s="467" t="s">
        <v>1179</v>
      </c>
      <c r="H976" s="7" t="s">
        <v>1153</v>
      </c>
      <c r="I976" s="256">
        <v>250</v>
      </c>
      <c r="J976" s="256">
        <v>19712</v>
      </c>
      <c r="K976" s="568">
        <f t="shared" si="63"/>
        <v>4928000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90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821">
        <v>2</v>
      </c>
      <c r="AC976" s="211" t="str">
        <f t="shared" si="64"/>
        <v/>
      </c>
    </row>
    <row r="977" spans="1:29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61"/>
        <v>6</v>
      </c>
      <c r="C977" s="37">
        <f t="shared" si="62"/>
        <v>41792</v>
      </c>
      <c r="D977" s="191" t="s">
        <v>1231</v>
      </c>
      <c r="E977" s="37">
        <v>41792</v>
      </c>
      <c r="F977" s="40" t="s">
        <v>1196</v>
      </c>
      <c r="G977" s="467" t="s">
        <v>1179</v>
      </c>
      <c r="H977" s="7" t="s">
        <v>1153</v>
      </c>
      <c r="I977" s="256">
        <v>350</v>
      </c>
      <c r="J977" s="256">
        <v>8282</v>
      </c>
      <c r="K977" s="568">
        <f t="shared" si="63"/>
        <v>2898700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90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821">
        <v>2</v>
      </c>
      <c r="AC977" s="211" t="str">
        <f t="shared" si="64"/>
        <v/>
      </c>
    </row>
    <row r="978" spans="1:29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61"/>
        <v>6</v>
      </c>
      <c r="C978" s="37">
        <f t="shared" si="62"/>
        <v>41792</v>
      </c>
      <c r="D978" s="191" t="s">
        <v>1231</v>
      </c>
      <c r="E978" s="37">
        <v>41792</v>
      </c>
      <c r="F978" s="40" t="s">
        <v>1197</v>
      </c>
      <c r="G978" s="467" t="s">
        <v>1179</v>
      </c>
      <c r="H978" s="7" t="s">
        <v>1153</v>
      </c>
      <c r="I978" s="256">
        <v>80</v>
      </c>
      <c r="J978" s="256">
        <v>10261</v>
      </c>
      <c r="K978" s="568">
        <f t="shared" si="63"/>
        <v>820880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90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821">
        <v>2</v>
      </c>
      <c r="AC978" s="211" t="str">
        <f t="shared" si="64"/>
        <v/>
      </c>
    </row>
    <row r="979" spans="1:29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61"/>
        <v>6</v>
      </c>
      <c r="C979" s="37">
        <f t="shared" si="62"/>
        <v>41792</v>
      </c>
      <c r="D979" s="191" t="s">
        <v>1231</v>
      </c>
      <c r="E979" s="37">
        <v>41792</v>
      </c>
      <c r="F979" s="40" t="s">
        <v>1080</v>
      </c>
      <c r="G979" s="467" t="s">
        <v>1179</v>
      </c>
      <c r="H979" s="7" t="s">
        <v>1153</v>
      </c>
      <c r="I979" s="256"/>
      <c r="J979" s="256"/>
      <c r="K979" s="568">
        <v>12622909</v>
      </c>
      <c r="L979" s="39" t="s">
        <v>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90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821">
        <v>2</v>
      </c>
      <c r="AC979" s="211" t="str">
        <f t="shared" si="64"/>
        <v/>
      </c>
    </row>
    <row r="980" spans="1:29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61"/>
        <v>6</v>
      </c>
      <c r="C980" s="37">
        <f t="shared" si="62"/>
        <v>41795</v>
      </c>
      <c r="D980" s="37"/>
      <c r="E980" s="37">
        <v>41795</v>
      </c>
      <c r="F980" s="192" t="s">
        <v>377</v>
      </c>
      <c r="G980" s="468" t="s">
        <v>685</v>
      </c>
      <c r="H980" s="7" t="s">
        <v>1010</v>
      </c>
      <c r="I980" s="256"/>
      <c r="J980" s="256"/>
      <c r="K980" s="568">
        <v>4070000</v>
      </c>
      <c r="L980" s="39" t="s">
        <v>167</v>
      </c>
      <c r="M980" s="39" t="s">
        <v>47</v>
      </c>
      <c r="N980" s="52" t="str">
        <f>IF(AND('331-CT'!$E$7=TH!H980,OR(L980="331",M980="331")),"331",IF(AND(OR(L980="131",M980="131"),H980='131-CT'!$E$7),"131",""))</f>
        <v/>
      </c>
      <c r="O980" s="90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>x</v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154</v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821">
        <v>2</v>
      </c>
    </row>
    <row r="981" spans="1:29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61"/>
        <v>6</v>
      </c>
      <c r="C981" s="37">
        <f t="shared" si="62"/>
        <v>41795</v>
      </c>
      <c r="D981" s="37"/>
      <c r="E981" s="37">
        <v>41795</v>
      </c>
      <c r="F981" s="192" t="s">
        <v>1011</v>
      </c>
      <c r="G981" s="468" t="s">
        <v>685</v>
      </c>
      <c r="H981" s="7" t="s">
        <v>1010</v>
      </c>
      <c r="I981" s="256"/>
      <c r="J981" s="256"/>
      <c r="K981" s="568">
        <v>407000</v>
      </c>
      <c r="L981" s="39" t="s">
        <v>9</v>
      </c>
      <c r="M981" s="39" t="s">
        <v>47</v>
      </c>
      <c r="N981" s="52" t="str">
        <f>IF(AND('331-CT'!$E$7=TH!H981,OR(L981="331",M981="331")),"331",IF(AND(OR(L981="131",M981="131"),H981='131-CT'!$E$7),"131",""))</f>
        <v/>
      </c>
      <c r="O981" s="90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>x</v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821">
        <v>2</v>
      </c>
    </row>
    <row r="982" spans="1:29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61"/>
        <v>6</v>
      </c>
      <c r="C982" s="37">
        <f t="shared" si="62"/>
        <v>41796</v>
      </c>
      <c r="D982" s="37"/>
      <c r="E982" s="37">
        <v>41796</v>
      </c>
      <c r="F982" s="40" t="s">
        <v>1200</v>
      </c>
      <c r="G982" s="467" t="s">
        <v>1199</v>
      </c>
      <c r="H982" s="7" t="s">
        <v>1198</v>
      </c>
      <c r="I982" s="256"/>
      <c r="J982" s="256"/>
      <c r="K982" s="568">
        <v>2500000</v>
      </c>
      <c r="L982" s="39" t="s">
        <v>83</v>
      </c>
      <c r="M982" s="39" t="s">
        <v>47</v>
      </c>
      <c r="N982" s="52" t="str">
        <f>IF(AND('331-CT'!$E$7=TH!H982,OR(L982="331",M982="331")),"331",IF(AND(OR(L982="131",M982="131"),H982='131-CT'!$E$7),"131",""))</f>
        <v/>
      </c>
      <c r="O982" s="90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>x</v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>642</v>
      </c>
      <c r="W982" s="52" t="str">
        <f>IF(OR(TH!L982=TH!$W$7,M982=TH!$W$7),"x","")</f>
        <v>x</v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821">
        <v>2</v>
      </c>
    </row>
    <row r="983" spans="1:29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61"/>
        <v>6</v>
      </c>
      <c r="C983" s="37">
        <f t="shared" si="62"/>
        <v>41796</v>
      </c>
      <c r="D983" s="37"/>
      <c r="E983" s="37">
        <v>41796</v>
      </c>
      <c r="F983" s="40" t="s">
        <v>1201</v>
      </c>
      <c r="G983" s="467" t="s">
        <v>1199</v>
      </c>
      <c r="H983" s="7" t="s">
        <v>1198</v>
      </c>
      <c r="I983" s="256"/>
      <c r="J983" s="256"/>
      <c r="K983" s="568">
        <v>250000</v>
      </c>
      <c r="L983" s="39" t="s">
        <v>9</v>
      </c>
      <c r="M983" s="39" t="s">
        <v>47</v>
      </c>
      <c r="N983" s="52" t="str">
        <f>IF(AND('331-CT'!$E$7=TH!H983,OR(L983="331",M983="331")),"331",IF(AND(OR(L983="131",M983="131"),H983='131-CT'!$E$7),"131",""))</f>
        <v/>
      </c>
      <c r="O983" s="90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>x</v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821">
        <v>2</v>
      </c>
    </row>
    <row r="984" spans="1:29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61"/>
        <v>6</v>
      </c>
      <c r="C984" s="37">
        <f t="shared" si="62"/>
        <v>41807</v>
      </c>
      <c r="D984" s="37"/>
      <c r="E984" s="37">
        <v>41807</v>
      </c>
      <c r="F984" s="40" t="s">
        <v>1144</v>
      </c>
      <c r="G984" s="467" t="s">
        <v>1145</v>
      </c>
      <c r="H984" s="7" t="s">
        <v>1146</v>
      </c>
      <c r="I984" s="256"/>
      <c r="J984" s="256"/>
      <c r="K984" s="568">
        <v>1950000</v>
      </c>
      <c r="L984" s="39" t="s">
        <v>83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90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>x</v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>642</v>
      </c>
      <c r="W984" s="52" t="str">
        <f>IF(OR(TH!L984=TH!$W$7,M984=TH!$W$7),"x","")</f>
        <v>x</v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821">
        <v>2</v>
      </c>
    </row>
    <row r="985" spans="1:29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61"/>
        <v>6</v>
      </c>
      <c r="C985" s="37">
        <f t="shared" si="62"/>
        <v>41813</v>
      </c>
      <c r="D985" s="37"/>
      <c r="E985" s="37">
        <v>41813</v>
      </c>
      <c r="F985" s="192" t="s">
        <v>377</v>
      </c>
      <c r="G985" s="468" t="s">
        <v>723</v>
      </c>
      <c r="H985" s="7" t="s">
        <v>1010</v>
      </c>
      <c r="I985" s="256"/>
      <c r="J985" s="256"/>
      <c r="K985" s="568">
        <v>3580000</v>
      </c>
      <c r="L985" s="39" t="s">
        <v>167</v>
      </c>
      <c r="M985" s="39" t="s">
        <v>47</v>
      </c>
      <c r="N985" s="52" t="str">
        <f>IF(AND('331-CT'!$E$7=TH!H985,OR(L985="331",M985="331")),"331",IF(AND(OR(L985="131",M985="131"),H985='131-CT'!$E$7),"131",""))</f>
        <v/>
      </c>
      <c r="O985" s="90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>x</v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>154</v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821">
        <v>2</v>
      </c>
    </row>
    <row r="986" spans="1:29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61"/>
        <v>6</v>
      </c>
      <c r="C986" s="37">
        <f t="shared" si="62"/>
        <v>41813</v>
      </c>
      <c r="D986" s="37"/>
      <c r="E986" s="37">
        <v>41813</v>
      </c>
      <c r="F986" s="192" t="s">
        <v>1011</v>
      </c>
      <c r="G986" s="468" t="s">
        <v>723</v>
      </c>
      <c r="H986" s="7" t="s">
        <v>1010</v>
      </c>
      <c r="I986" s="256"/>
      <c r="J986" s="256"/>
      <c r="K986" s="568">
        <v>358000</v>
      </c>
      <c r="L986" s="39" t="s">
        <v>9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90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>x</v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821">
        <v>2</v>
      </c>
    </row>
    <row r="987" spans="1:29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61"/>
        <v>6</v>
      </c>
      <c r="C987" s="37">
        <f t="shared" si="62"/>
        <v>41814</v>
      </c>
      <c r="D987" s="37"/>
      <c r="E987" s="37">
        <v>41814</v>
      </c>
      <c r="F987" s="189" t="s">
        <v>1003</v>
      </c>
      <c r="G987" s="468" t="s">
        <v>1202</v>
      </c>
      <c r="H987" s="7" t="s">
        <v>1005</v>
      </c>
      <c r="I987" s="256"/>
      <c r="J987" s="256"/>
      <c r="K987" s="568">
        <v>1247712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90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>x</v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>642</v>
      </c>
      <c r="W987" s="52" t="str">
        <f>IF(OR(TH!L987=TH!$W$7,M987=TH!$W$7),"x","")</f>
        <v>x</v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821">
        <v>2</v>
      </c>
    </row>
    <row r="988" spans="1:29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61"/>
        <v>6</v>
      </c>
      <c r="C988" s="37">
        <f t="shared" si="62"/>
        <v>41814</v>
      </c>
      <c r="D988" s="37"/>
      <c r="E988" s="37">
        <v>41814</v>
      </c>
      <c r="F988" s="189" t="s">
        <v>1004</v>
      </c>
      <c r="G988" s="468" t="s">
        <v>1202</v>
      </c>
      <c r="H988" s="7" t="s">
        <v>1005</v>
      </c>
      <c r="I988" s="256"/>
      <c r="J988" s="256"/>
      <c r="K988" s="568">
        <v>124771</v>
      </c>
      <c r="L988" s="39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90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>x</v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821">
        <v>2</v>
      </c>
    </row>
    <row r="989" spans="1:29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ref="B989:B1052" si="65">IF(C989&lt;&gt;"",MONTH(C989),"")</f>
        <v>6</v>
      </c>
      <c r="C989" s="191">
        <f t="shared" ref="C989:C1052" si="66">E989</f>
        <v>41820</v>
      </c>
      <c r="D989" s="191" t="s">
        <v>1232</v>
      </c>
      <c r="E989" s="191">
        <v>41820</v>
      </c>
      <c r="F989" s="296" t="s">
        <v>1089</v>
      </c>
      <c r="G989" s="468" t="s">
        <v>1088</v>
      </c>
      <c r="H989" s="7" t="s">
        <v>1087</v>
      </c>
      <c r="I989" s="256">
        <v>10230</v>
      </c>
      <c r="J989" s="256">
        <v>8500</v>
      </c>
      <c r="K989" s="568">
        <f>ROUND(I989*J989,0)</f>
        <v>86955000</v>
      </c>
      <c r="L989" s="39" t="s">
        <v>159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90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821">
        <v>2</v>
      </c>
      <c r="AC989" s="211" t="str">
        <f>IF(H989=VLOOKUP(H989,DSKH,1,0),"","x")</f>
        <v/>
      </c>
    </row>
    <row r="990" spans="1:29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65"/>
        <v>6</v>
      </c>
      <c r="C990" s="191">
        <f t="shared" si="66"/>
        <v>41820</v>
      </c>
      <c r="D990" s="191" t="s">
        <v>1232</v>
      </c>
      <c r="E990" s="191">
        <v>41820</v>
      </c>
      <c r="F990" s="296" t="s">
        <v>1090</v>
      </c>
      <c r="G990" s="468" t="s">
        <v>1088</v>
      </c>
      <c r="H990" s="7" t="s">
        <v>1087</v>
      </c>
      <c r="I990" s="256"/>
      <c r="J990" s="256"/>
      <c r="K990" s="568">
        <v>8695500</v>
      </c>
      <c r="L990" s="39" t="s">
        <v>9</v>
      </c>
      <c r="M990" s="39" t="s">
        <v>8</v>
      </c>
      <c r="N990" s="52" t="str">
        <f>IF(AND('331-CT'!$E$7=TH!H990,OR(L990="331",M990="331")),"331",IF(AND(OR(L990="131",M990="131"),H990='131-CT'!$E$7),"131",""))</f>
        <v/>
      </c>
      <c r="O990" s="90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821">
        <v>2</v>
      </c>
      <c r="AC990" s="211" t="str">
        <f>IF(H990=VLOOKUP(H990,DSKH,1,0),"","x")</f>
        <v/>
      </c>
    </row>
    <row r="991" spans="1:29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65"/>
        <v>7</v>
      </c>
      <c r="C991" s="191">
        <f t="shared" si="66"/>
        <v>41821</v>
      </c>
      <c r="D991" s="191" t="s">
        <v>1222</v>
      </c>
      <c r="E991" s="191">
        <v>41821</v>
      </c>
      <c r="F991" s="189" t="s">
        <v>330</v>
      </c>
      <c r="G991" s="468" t="s">
        <v>1021</v>
      </c>
      <c r="H991" s="7" t="s">
        <v>352</v>
      </c>
      <c r="I991" s="256">
        <v>24</v>
      </c>
      <c r="J991" s="256">
        <v>45000</v>
      </c>
      <c r="K991" s="568">
        <f>ROUND(I991*J991,0)</f>
        <v>1080000</v>
      </c>
      <c r="L991" s="39" t="s">
        <v>161</v>
      </c>
      <c r="M991" s="39" t="s">
        <v>8</v>
      </c>
      <c r="N991" s="52" t="str">
        <f>IF(AND('331-CT'!$E$7=TH!H991,OR(L991="331",M991="331")),"331",IF(AND(OR(L991="131",M991="131"),H991='131-CT'!$E$7),"131",""))</f>
        <v/>
      </c>
      <c r="O991" s="90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21">
        <v>3</v>
      </c>
      <c r="AC991" s="211" t="str">
        <f>IF(H991=VLOOKUP(H991,DSKH,1,0),"","x")</f>
        <v/>
      </c>
    </row>
    <row r="992" spans="1:29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65"/>
        <v>7</v>
      </c>
      <c r="C992" s="191">
        <f t="shared" si="66"/>
        <v>41821</v>
      </c>
      <c r="D992" s="191" t="s">
        <v>1222</v>
      </c>
      <c r="E992" s="191">
        <v>41821</v>
      </c>
      <c r="F992" s="189" t="s">
        <v>1020</v>
      </c>
      <c r="G992" s="468" t="s">
        <v>1021</v>
      </c>
      <c r="H992" s="7" t="s">
        <v>352</v>
      </c>
      <c r="I992" s="256"/>
      <c r="J992" s="256"/>
      <c r="K992" s="568">
        <v>108000</v>
      </c>
      <c r="L992" s="39" t="s">
        <v>9</v>
      </c>
      <c r="M992" s="39" t="s">
        <v>8</v>
      </c>
      <c r="N992" s="52" t="str">
        <f>IF(AND('331-CT'!$E$7=TH!H992,OR(L992="331",M992="331")),"331",IF(AND(OR(L992="131",M992="131"),H992='131-CT'!$E$7),"131",""))</f>
        <v/>
      </c>
      <c r="O992" s="90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21">
        <v>3</v>
      </c>
      <c r="AC992" s="211" t="str">
        <f>IF(H992=VLOOKUP(H992,DSKH,1,0),"","x")</f>
        <v/>
      </c>
    </row>
    <row r="993" spans="1:31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65"/>
        <v>7</v>
      </c>
      <c r="C993" s="191">
        <f t="shared" si="66"/>
        <v>41821</v>
      </c>
      <c r="D993" s="191"/>
      <c r="E993" s="191">
        <v>41821</v>
      </c>
      <c r="F993" s="189" t="s">
        <v>903</v>
      </c>
      <c r="G993" s="468" t="s">
        <v>1021</v>
      </c>
      <c r="H993" s="7" t="s">
        <v>352</v>
      </c>
      <c r="I993" s="256"/>
      <c r="J993" s="256"/>
      <c r="K993" s="568">
        <v>1188000</v>
      </c>
      <c r="L993" s="39" t="s">
        <v>8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902" t="str">
        <f>IF(AND('341-CT'!$E$9=H993,OR(LEFT(L993,3)=$O$7,LEFT(M993,3)=$O$7)),"x","")</f>
        <v/>
      </c>
      <c r="P993" s="52" t="str">
        <f>IF(AND($B993&gt;='111'!$N$11,$B993&lt;='111'!$O$11,OR($L993=$P$7,$M993=$P$7)),"x","")</f>
        <v>x</v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21"/>
    </row>
    <row r="994" spans="1:31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65"/>
        <v>7</v>
      </c>
      <c r="C994" s="191">
        <f t="shared" si="66"/>
        <v>41821</v>
      </c>
      <c r="D994" s="184"/>
      <c r="E994" s="37">
        <v>41821</v>
      </c>
      <c r="F994" s="189" t="s">
        <v>1077</v>
      </c>
      <c r="G994" s="570"/>
      <c r="H994" s="45" t="s">
        <v>1074</v>
      </c>
      <c r="I994" s="256"/>
      <c r="J994" s="256"/>
      <c r="K994" s="822">
        <v>731479</v>
      </c>
      <c r="L994" s="569" t="s">
        <v>61</v>
      </c>
      <c r="M994" s="569" t="s">
        <v>47</v>
      </c>
      <c r="N994" s="52" t="str">
        <f>IF(AND('331-CT'!$E$7=TH!H994,OR(L994="331",M994="331")),"331",IF(AND(OR(L994="131",M994="131"),H994='131-CT'!$E$7),"131",""))</f>
        <v/>
      </c>
      <c r="O994" s="902" t="str">
        <f>IF(AND('341-CT'!$E$9=H994,OR(LEFT(L994,3)=$O$7,LEFT(M994,3)=$O$7)),"x","")</f>
        <v/>
      </c>
      <c r="P994" s="52" t="str">
        <f>IF(AND($B994&gt;='111'!$N$11,$B994&lt;='111'!$O$11,OR($L994=$P$7,$M994=$P$7)),"x","")</f>
        <v>x</v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21"/>
      <c r="AC994" s="560"/>
      <c r="AD994" s="560"/>
      <c r="AE994" s="560"/>
    </row>
    <row r="995" spans="1:31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65"/>
        <v>7</v>
      </c>
      <c r="C995" s="191">
        <f t="shared" si="66"/>
        <v>41821</v>
      </c>
      <c r="D995" s="191"/>
      <c r="E995" s="37">
        <v>41821</v>
      </c>
      <c r="F995" s="189" t="s">
        <v>1076</v>
      </c>
      <c r="G995" s="468"/>
      <c r="H995" s="45" t="s">
        <v>1074</v>
      </c>
      <c r="I995" s="256"/>
      <c r="J995" s="256"/>
      <c r="K995" s="568">
        <f>12002098+1654715</f>
        <v>13656813</v>
      </c>
      <c r="L995" s="569" t="s">
        <v>17</v>
      </c>
      <c r="M995" s="569" t="s">
        <v>47</v>
      </c>
      <c r="N995" s="52" t="str">
        <f>IF(AND('331-CT'!$E$7=TH!H995,OR(L995="331",M995="331")),"331",IF(AND(OR(L995="131",M995="131"),H995='131-CT'!$E$7),"131",""))</f>
        <v/>
      </c>
      <c r="O995" s="902" t="str">
        <f>IF(AND('341-CT'!$E$9=H995,OR(LEFT(L995,3)=$O$7,LEFT(M995,3)=$O$7)),"x","")</f>
        <v/>
      </c>
      <c r="P995" s="52" t="str">
        <f>IF(AND($B995&gt;='111'!$N$11,$B995&lt;='111'!$O$11,OR($L995=$P$7,$M995=$P$7)),"x","")</f>
        <v>x</v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21"/>
    </row>
    <row r="996" spans="1:31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65"/>
        <v>7</v>
      </c>
      <c r="C996" s="191">
        <f t="shared" si="66"/>
        <v>41821</v>
      </c>
      <c r="D996" s="191"/>
      <c r="E996" s="37">
        <v>41821</v>
      </c>
      <c r="F996" s="192" t="s">
        <v>1078</v>
      </c>
      <c r="G996" s="468"/>
      <c r="H996" s="45" t="s">
        <v>1074</v>
      </c>
      <c r="I996" s="256"/>
      <c r="J996" s="256"/>
      <c r="K996" s="568">
        <v>1611708</v>
      </c>
      <c r="L996" s="569" t="s">
        <v>87</v>
      </c>
      <c r="M996" s="569" t="s">
        <v>47</v>
      </c>
      <c r="N996" s="52" t="str">
        <f>IF(AND('331-CT'!$E$7=TH!H996,OR(L996="331",M996="331")),"331",IF(AND(OR(L996="131",M996="131"),H996='131-CT'!$E$7),"131",""))</f>
        <v/>
      </c>
      <c r="O996" s="902" t="str">
        <f>IF(AND('341-CT'!$E$9=H996,OR(LEFT(L996,3)=$O$7,LEFT(M996,3)=$O$7)),"x","")</f>
        <v/>
      </c>
      <c r="P996" s="52" t="str">
        <f>IF(AND($B996&gt;='111'!$N$11,$B996&lt;='111'!$O$11,OR($L996=$P$7,$M996=$P$7)),"x","")</f>
        <v>x</v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21"/>
    </row>
    <row r="997" spans="1:31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65"/>
        <v>7</v>
      </c>
      <c r="C997" s="37">
        <f t="shared" si="66"/>
        <v>41823</v>
      </c>
      <c r="D997" s="191" t="s">
        <v>1223</v>
      </c>
      <c r="E997" s="731">
        <v>41823</v>
      </c>
      <c r="F997" s="296" t="s">
        <v>1089</v>
      </c>
      <c r="G997" s="467" t="s">
        <v>1095</v>
      </c>
      <c r="H997" s="7" t="s">
        <v>1091</v>
      </c>
      <c r="I997" s="256">
        <v>7379</v>
      </c>
      <c r="J997" s="256">
        <v>7500</v>
      </c>
      <c r="K997" s="568">
        <f>ROUND(I997*J997,0)</f>
        <v>55342500</v>
      </c>
      <c r="L997" s="39" t="s">
        <v>159</v>
      </c>
      <c r="M997" s="39" t="s">
        <v>8</v>
      </c>
      <c r="N997" s="52" t="str">
        <f>IF(AND('331-CT'!$E$7=TH!H997,OR(L997="331",M997="331")),"331",IF(AND(OR(L997="131",M997="131"),H997='131-CT'!$E$7),"131",""))</f>
        <v/>
      </c>
      <c r="O997" s="90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21">
        <v>3</v>
      </c>
      <c r="AC997" s="211" t="str">
        <f t="shared" ref="AC997:AC1016" si="67">IF(H997=VLOOKUP(H997,DSKH,1,0),"","x")</f>
        <v/>
      </c>
    </row>
    <row r="998" spans="1:31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65"/>
        <v>7</v>
      </c>
      <c r="C998" s="37">
        <f t="shared" si="66"/>
        <v>41823</v>
      </c>
      <c r="D998" s="191" t="s">
        <v>1223</v>
      </c>
      <c r="E998" s="731">
        <v>41823</v>
      </c>
      <c r="F998" s="296" t="s">
        <v>1089</v>
      </c>
      <c r="G998" s="467" t="s">
        <v>1095</v>
      </c>
      <c r="H998" s="7" t="s">
        <v>1091</v>
      </c>
      <c r="I998" s="256">
        <v>5973</v>
      </c>
      <c r="J998" s="256">
        <v>7200</v>
      </c>
      <c r="K998" s="568">
        <f>ROUND(I998*J998,0)</f>
        <v>43005600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90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21">
        <v>3</v>
      </c>
      <c r="AC998" s="211" t="str">
        <f t="shared" si="67"/>
        <v/>
      </c>
    </row>
    <row r="999" spans="1:31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65"/>
        <v>7</v>
      </c>
      <c r="C999" s="37">
        <f t="shared" si="66"/>
        <v>41823</v>
      </c>
      <c r="D999" s="191" t="s">
        <v>1223</v>
      </c>
      <c r="E999" s="731">
        <v>41823</v>
      </c>
      <c r="F999" s="296" t="s">
        <v>1090</v>
      </c>
      <c r="G999" s="467" t="s">
        <v>1095</v>
      </c>
      <c r="H999" s="7" t="s">
        <v>1091</v>
      </c>
      <c r="I999" s="256"/>
      <c r="J999" s="256"/>
      <c r="K999" s="568">
        <v>9834810</v>
      </c>
      <c r="L999" s="39" t="s">
        <v>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90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21">
        <v>3</v>
      </c>
      <c r="AC999" s="211" t="str">
        <f t="shared" si="67"/>
        <v/>
      </c>
    </row>
    <row r="1000" spans="1:31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65"/>
        <v>7</v>
      </c>
      <c r="C1000" s="37">
        <f t="shared" si="66"/>
        <v>41826</v>
      </c>
      <c r="D1000" s="191" t="s">
        <v>1224</v>
      </c>
      <c r="E1000" s="731">
        <v>41826</v>
      </c>
      <c r="F1000" s="296" t="s">
        <v>1089</v>
      </c>
      <c r="G1000" s="468" t="s">
        <v>1097</v>
      </c>
      <c r="H1000" s="7" t="s">
        <v>1087</v>
      </c>
      <c r="I1000" s="256">
        <v>9665</v>
      </c>
      <c r="J1000" s="256">
        <v>8500</v>
      </c>
      <c r="K1000" s="568">
        <f>ROUND(I1000*J1000,0)</f>
        <v>82152500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90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21">
        <v>3</v>
      </c>
      <c r="AC1000" s="211" t="str">
        <f t="shared" si="67"/>
        <v/>
      </c>
    </row>
    <row r="1001" spans="1:31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65"/>
        <v>7</v>
      </c>
      <c r="C1001" s="37">
        <f t="shared" si="66"/>
        <v>41826</v>
      </c>
      <c r="D1001" s="191" t="s">
        <v>1224</v>
      </c>
      <c r="E1001" s="731">
        <v>41826</v>
      </c>
      <c r="F1001" s="296" t="s">
        <v>1090</v>
      </c>
      <c r="G1001" s="468" t="s">
        <v>1097</v>
      </c>
      <c r="H1001" s="7" t="s">
        <v>1087</v>
      </c>
      <c r="I1001" s="256"/>
      <c r="J1001" s="256"/>
      <c r="K1001" s="568">
        <v>8215250</v>
      </c>
      <c r="L1001" s="39" t="s">
        <v>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90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21">
        <v>3</v>
      </c>
      <c r="AC1001" s="211" t="str">
        <f t="shared" si="67"/>
        <v/>
      </c>
    </row>
    <row r="1002" spans="1:31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65"/>
        <v>7</v>
      </c>
      <c r="C1002" s="37">
        <f t="shared" si="66"/>
        <v>41827</v>
      </c>
      <c r="D1002" s="191" t="s">
        <v>1225</v>
      </c>
      <c r="E1002" s="731">
        <v>41827</v>
      </c>
      <c r="F1002" s="296" t="s">
        <v>1093</v>
      </c>
      <c r="G1002" s="467" t="s">
        <v>1092</v>
      </c>
      <c r="H1002" s="7" t="s">
        <v>1091</v>
      </c>
      <c r="I1002" s="256">
        <v>10578</v>
      </c>
      <c r="J1002" s="256">
        <v>9500</v>
      </c>
      <c r="K1002" s="568">
        <f>ROUND(I1002*J1002,0)</f>
        <v>100491000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90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21">
        <v>3</v>
      </c>
      <c r="AC1002" s="211" t="str">
        <f t="shared" si="67"/>
        <v/>
      </c>
    </row>
    <row r="1003" spans="1:31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65"/>
        <v>7</v>
      </c>
      <c r="C1003" s="37">
        <f t="shared" si="66"/>
        <v>41827</v>
      </c>
      <c r="D1003" s="191" t="s">
        <v>1225</v>
      </c>
      <c r="E1003" s="731">
        <v>41827</v>
      </c>
      <c r="F1003" s="40" t="s">
        <v>1094</v>
      </c>
      <c r="G1003" s="467" t="s">
        <v>1092</v>
      </c>
      <c r="H1003" s="7" t="s">
        <v>1091</v>
      </c>
      <c r="I1003" s="256">
        <v>2730</v>
      </c>
      <c r="J1003" s="256">
        <v>9200</v>
      </c>
      <c r="K1003" s="568">
        <f>ROUND(I1003*J1003,0)</f>
        <v>25116000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90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21">
        <v>3</v>
      </c>
      <c r="AC1003" s="211" t="str">
        <f t="shared" si="67"/>
        <v/>
      </c>
    </row>
    <row r="1004" spans="1:31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65"/>
        <v>7</v>
      </c>
      <c r="C1004" s="37">
        <f t="shared" si="66"/>
        <v>41827</v>
      </c>
      <c r="D1004" s="191" t="s">
        <v>1225</v>
      </c>
      <c r="E1004" s="731">
        <v>41827</v>
      </c>
      <c r="F1004" s="40" t="s">
        <v>686</v>
      </c>
      <c r="G1004" s="467" t="s">
        <v>1092</v>
      </c>
      <c r="H1004" s="7" t="s">
        <v>1091</v>
      </c>
      <c r="I1004" s="256"/>
      <c r="J1004" s="256"/>
      <c r="K1004" s="568">
        <v>12560700</v>
      </c>
      <c r="L1004" s="39" t="s">
        <v>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90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21">
        <v>3</v>
      </c>
      <c r="AC1004" s="211" t="str">
        <f t="shared" si="67"/>
        <v/>
      </c>
    </row>
    <row r="1005" spans="1:31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65"/>
        <v>7</v>
      </c>
      <c r="C1005" s="37">
        <f t="shared" si="66"/>
        <v>41830</v>
      </c>
      <c r="D1005" s="191" t="s">
        <v>1226</v>
      </c>
      <c r="E1005" s="731">
        <v>41830</v>
      </c>
      <c r="F1005" s="296" t="s">
        <v>1089</v>
      </c>
      <c r="G1005" s="468" t="s">
        <v>1098</v>
      </c>
      <c r="H1005" s="7" t="s">
        <v>1087</v>
      </c>
      <c r="I1005" s="256">
        <v>15247</v>
      </c>
      <c r="J1005" s="256">
        <v>8500</v>
      </c>
      <c r="K1005" s="568">
        <f>ROUND(I1005*J1005,0)</f>
        <v>129599500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90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21">
        <v>3</v>
      </c>
      <c r="AC1005" s="211" t="str">
        <f t="shared" si="67"/>
        <v/>
      </c>
    </row>
    <row r="1006" spans="1:31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65"/>
        <v>7</v>
      </c>
      <c r="C1006" s="37">
        <f t="shared" si="66"/>
        <v>41830</v>
      </c>
      <c r="D1006" s="191" t="s">
        <v>1226</v>
      </c>
      <c r="E1006" s="731">
        <v>41830</v>
      </c>
      <c r="F1006" s="296" t="s">
        <v>1090</v>
      </c>
      <c r="G1006" s="468" t="s">
        <v>1098</v>
      </c>
      <c r="H1006" s="7" t="s">
        <v>1087</v>
      </c>
      <c r="I1006" s="256"/>
      <c r="J1006" s="256"/>
      <c r="K1006" s="568">
        <v>12959950</v>
      </c>
      <c r="L1006" s="39" t="s">
        <v>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90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21">
        <v>3</v>
      </c>
      <c r="AC1006" s="211" t="str">
        <f t="shared" si="67"/>
        <v/>
      </c>
    </row>
    <row r="1007" spans="1:31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65"/>
        <v>7</v>
      </c>
      <c r="C1007" s="191">
        <f t="shared" si="66"/>
        <v>41832</v>
      </c>
      <c r="D1007" s="191" t="s">
        <v>1227</v>
      </c>
      <c r="E1007" s="191">
        <v>41832</v>
      </c>
      <c r="F1007" s="192" t="s">
        <v>1024</v>
      </c>
      <c r="G1007" s="468" t="s">
        <v>1023</v>
      </c>
      <c r="H1007" s="7" t="s">
        <v>1022</v>
      </c>
      <c r="I1007" s="256">
        <v>1777</v>
      </c>
      <c r="J1007" s="256">
        <v>9450</v>
      </c>
      <c r="K1007" s="568">
        <f>ROUND(I1007*J1007,0)</f>
        <v>16792650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>331</v>
      </c>
      <c r="O1007" s="90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21">
        <v>3</v>
      </c>
      <c r="AC1007" s="211" t="str">
        <f t="shared" si="67"/>
        <v/>
      </c>
    </row>
    <row r="1008" spans="1:31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65"/>
        <v>7</v>
      </c>
      <c r="C1008" s="191">
        <f t="shared" si="66"/>
        <v>41832</v>
      </c>
      <c r="D1008" s="191" t="s">
        <v>1227</v>
      </c>
      <c r="E1008" s="191">
        <v>41832</v>
      </c>
      <c r="F1008" s="192" t="s">
        <v>1025</v>
      </c>
      <c r="G1008" s="468" t="s">
        <v>1023</v>
      </c>
      <c r="H1008" s="7" t="s">
        <v>1022</v>
      </c>
      <c r="I1008" s="256"/>
      <c r="J1008" s="256"/>
      <c r="K1008" s="568">
        <v>1679265</v>
      </c>
      <c r="L1008" s="39" t="s">
        <v>9</v>
      </c>
      <c r="M1008" s="39" t="s">
        <v>8</v>
      </c>
      <c r="N1008" s="52" t="str">
        <f>IF(AND('331-CT'!$E$7=TH!H1008,OR(L1008="331",M1008="331")),"331",IF(AND(OR(L1008="131",M1008="131"),H1008='131-CT'!$E$7),"131",""))</f>
        <v>331</v>
      </c>
      <c r="O1008" s="90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21">
        <v>3</v>
      </c>
      <c r="AC1008" s="211" t="str">
        <f t="shared" si="67"/>
        <v/>
      </c>
    </row>
    <row r="1009" spans="1:29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65"/>
        <v>7</v>
      </c>
      <c r="C1009" s="37">
        <f t="shared" si="66"/>
        <v>41834</v>
      </c>
      <c r="D1009" s="191" t="s">
        <v>1228</v>
      </c>
      <c r="E1009" s="731">
        <v>41834</v>
      </c>
      <c r="F1009" s="296" t="s">
        <v>1093</v>
      </c>
      <c r="G1009" s="467" t="s">
        <v>1096</v>
      </c>
      <c r="H1009" s="7" t="s">
        <v>1091</v>
      </c>
      <c r="I1009" s="256">
        <v>1629</v>
      </c>
      <c r="J1009" s="256">
        <v>9500</v>
      </c>
      <c r="K1009" s="568">
        <f>ROUND(I1009*J1009,0)</f>
        <v>15475500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90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21">
        <v>3</v>
      </c>
      <c r="AC1009" s="211" t="str">
        <f t="shared" si="67"/>
        <v/>
      </c>
    </row>
    <row r="1010" spans="1:29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65"/>
        <v>7</v>
      </c>
      <c r="C1010" s="37">
        <f t="shared" si="66"/>
        <v>41834</v>
      </c>
      <c r="D1010" s="191" t="s">
        <v>1228</v>
      </c>
      <c r="E1010" s="731">
        <v>41834</v>
      </c>
      <c r="F1010" s="296" t="s">
        <v>1089</v>
      </c>
      <c r="G1010" s="467" t="s">
        <v>1096</v>
      </c>
      <c r="H1010" s="7" t="s">
        <v>1091</v>
      </c>
      <c r="I1010" s="256">
        <v>1663</v>
      </c>
      <c r="J1010" s="256">
        <v>7200</v>
      </c>
      <c r="K1010" s="568">
        <f>ROUND(I1010*J1010,0)</f>
        <v>11973600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90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21">
        <v>3</v>
      </c>
      <c r="AC1010" s="211" t="str">
        <f t="shared" si="67"/>
        <v/>
      </c>
    </row>
    <row r="1011" spans="1:29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65"/>
        <v>7</v>
      </c>
      <c r="C1011" s="37">
        <f t="shared" si="66"/>
        <v>41834</v>
      </c>
      <c r="D1011" s="191" t="s">
        <v>1228</v>
      </c>
      <c r="E1011" s="731">
        <v>41834</v>
      </c>
      <c r="F1011" s="296" t="s">
        <v>1089</v>
      </c>
      <c r="G1011" s="467" t="s">
        <v>1096</v>
      </c>
      <c r="H1011" s="7" t="s">
        <v>1091</v>
      </c>
      <c r="I1011" s="256">
        <v>1821</v>
      </c>
      <c r="J1011" s="256">
        <v>7500</v>
      </c>
      <c r="K1011" s="568">
        <f>ROUND(I1011*J1011,0)</f>
        <v>13657500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90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21">
        <v>3</v>
      </c>
      <c r="AC1011" s="211" t="str">
        <f t="shared" si="67"/>
        <v/>
      </c>
    </row>
    <row r="1012" spans="1:29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65"/>
        <v>7</v>
      </c>
      <c r="C1012" s="37">
        <f t="shared" si="66"/>
        <v>41834</v>
      </c>
      <c r="D1012" s="191" t="s">
        <v>1228</v>
      </c>
      <c r="E1012" s="731">
        <v>41834</v>
      </c>
      <c r="F1012" s="40" t="s">
        <v>686</v>
      </c>
      <c r="G1012" s="467" t="s">
        <v>1096</v>
      </c>
      <c r="H1012" s="7" t="s">
        <v>1091</v>
      </c>
      <c r="I1012" s="256"/>
      <c r="J1012" s="256"/>
      <c r="K1012" s="568">
        <v>4110660</v>
      </c>
      <c r="L1012" s="39" t="s">
        <v>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90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21">
        <v>3</v>
      </c>
      <c r="AC1012" s="211" t="str">
        <f t="shared" si="67"/>
        <v/>
      </c>
    </row>
    <row r="1013" spans="1:29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65"/>
        <v>7</v>
      </c>
      <c r="C1013" s="37">
        <f t="shared" si="66"/>
        <v>41834</v>
      </c>
      <c r="D1013" s="191" t="s">
        <v>1229</v>
      </c>
      <c r="E1013" s="731">
        <v>41834</v>
      </c>
      <c r="F1013" s="192" t="s">
        <v>1024</v>
      </c>
      <c r="G1013" s="468" t="s">
        <v>1099</v>
      </c>
      <c r="H1013" s="7" t="s">
        <v>1022</v>
      </c>
      <c r="I1013" s="256">
        <v>4879</v>
      </c>
      <c r="J1013" s="256">
        <v>9600</v>
      </c>
      <c r="K1013" s="568">
        <f>ROUND(I1013*J1013,0)</f>
        <v>46838400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>331</v>
      </c>
      <c r="O1013" s="90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21">
        <v>3</v>
      </c>
      <c r="AC1013" s="211" t="str">
        <f t="shared" si="67"/>
        <v/>
      </c>
    </row>
    <row r="1014" spans="1:29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65"/>
        <v>7</v>
      </c>
      <c r="C1014" s="37">
        <f t="shared" si="66"/>
        <v>41834</v>
      </c>
      <c r="D1014" s="191" t="s">
        <v>1229</v>
      </c>
      <c r="E1014" s="731">
        <v>41834</v>
      </c>
      <c r="F1014" s="192" t="s">
        <v>1025</v>
      </c>
      <c r="G1014" s="468" t="s">
        <v>1099</v>
      </c>
      <c r="H1014" s="7" t="s">
        <v>1022</v>
      </c>
      <c r="I1014" s="256"/>
      <c r="J1014" s="256"/>
      <c r="K1014" s="568">
        <v>4683840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>331</v>
      </c>
      <c r="O1014" s="90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21">
        <v>3</v>
      </c>
      <c r="AC1014" s="211" t="str">
        <f t="shared" si="67"/>
        <v/>
      </c>
    </row>
    <row r="1015" spans="1:29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65"/>
        <v>7</v>
      </c>
      <c r="C1015" s="37">
        <f t="shared" si="66"/>
        <v>41835</v>
      </c>
      <c r="D1015" s="191" t="s">
        <v>1230</v>
      </c>
      <c r="E1015" s="184">
        <v>41835</v>
      </c>
      <c r="F1015" s="296" t="s">
        <v>1089</v>
      </c>
      <c r="G1015" s="468" t="s">
        <v>1101</v>
      </c>
      <c r="H1015" s="7" t="s">
        <v>1087</v>
      </c>
      <c r="I1015" s="256">
        <v>9240</v>
      </c>
      <c r="J1015" s="256">
        <v>8500</v>
      </c>
      <c r="K1015" s="568">
        <f>ROUND(I1015*J1015,0)</f>
        <v>78540000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90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21">
        <v>3</v>
      </c>
      <c r="AC1015" s="211" t="str">
        <f t="shared" si="67"/>
        <v/>
      </c>
    </row>
    <row r="1016" spans="1:29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65"/>
        <v>7</v>
      </c>
      <c r="C1016" s="37">
        <f t="shared" si="66"/>
        <v>41835</v>
      </c>
      <c r="D1016" s="191" t="s">
        <v>1230</v>
      </c>
      <c r="E1016" s="184">
        <v>41835</v>
      </c>
      <c r="F1016" s="296" t="s">
        <v>1090</v>
      </c>
      <c r="G1016" s="468" t="s">
        <v>1101</v>
      </c>
      <c r="H1016" s="7" t="s">
        <v>1087</v>
      </c>
      <c r="I1016" s="256"/>
      <c r="J1016" s="256"/>
      <c r="K1016" s="568">
        <v>7854000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90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21">
        <v>3</v>
      </c>
      <c r="AC1016" s="211" t="str">
        <f t="shared" si="67"/>
        <v/>
      </c>
    </row>
    <row r="1017" spans="1:29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65"/>
        <v>7</v>
      </c>
      <c r="C1017" s="191">
        <f t="shared" si="66"/>
        <v>41836</v>
      </c>
      <c r="D1017" s="191"/>
      <c r="E1017" s="191">
        <v>41836</v>
      </c>
      <c r="F1017" s="189" t="s">
        <v>1001</v>
      </c>
      <c r="G1017" s="468" t="s">
        <v>1026</v>
      </c>
      <c r="H1017" s="7" t="s">
        <v>1000</v>
      </c>
      <c r="I1017" s="256"/>
      <c r="J1017" s="256"/>
      <c r="K1017" s="568">
        <f>654373+201215+205950</f>
        <v>1061538</v>
      </c>
      <c r="L1017" s="39" t="s">
        <v>83</v>
      </c>
      <c r="M1017" s="39" t="s">
        <v>47</v>
      </c>
      <c r="N1017" s="52" t="str">
        <f>IF(AND('331-CT'!$E$7=TH!H1017,OR(L1017="331",M1017="331")),"331",IF(AND(OR(L1017="131",M1017="131"),H1017='131-CT'!$E$7),"131",""))</f>
        <v/>
      </c>
      <c r="O1017" s="902" t="str">
        <f>IF(AND('341-CT'!$E$9=H1017,OR(LEFT(L1017,3)=$O$7,LEFT(M1017,3)=$O$7)),"x","")</f>
        <v/>
      </c>
      <c r="P1017" s="52" t="str">
        <f>IF(AND($B1017&gt;='111'!$N$11,$B1017&lt;='111'!$O$11,OR($L1017=$P$7,$M1017=$P$7)),"x","")</f>
        <v>x</v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>x</v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21">
        <v>3</v>
      </c>
    </row>
    <row r="1018" spans="1:29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65"/>
        <v>7</v>
      </c>
      <c r="C1018" s="191">
        <f t="shared" si="66"/>
        <v>41836</v>
      </c>
      <c r="D1018" s="191"/>
      <c r="E1018" s="191">
        <v>41836</v>
      </c>
      <c r="F1018" s="189" t="s">
        <v>1002</v>
      </c>
      <c r="G1018" s="468" t="s">
        <v>1026</v>
      </c>
      <c r="H1018" s="7" t="s">
        <v>1000</v>
      </c>
      <c r="I1018" s="256"/>
      <c r="J1018" s="256"/>
      <c r="K1018" s="568">
        <f>65437+20122+20595</f>
        <v>106154</v>
      </c>
      <c r="L1018" s="39" t="s">
        <v>9</v>
      </c>
      <c r="M1018" s="39" t="s">
        <v>47</v>
      </c>
      <c r="N1018" s="52" t="str">
        <f>IF(AND('331-CT'!$E$7=TH!H1018,OR(L1018="331",M1018="331")),"331",IF(AND(OR(L1018="131",M1018="131"),H1018='131-CT'!$E$7),"131",""))</f>
        <v/>
      </c>
      <c r="O1018" s="902" t="str">
        <f>IF(AND('341-CT'!$E$9=H1018,OR(LEFT(L1018,3)=$O$7,LEFT(M1018,3)=$O$7)),"x","")</f>
        <v/>
      </c>
      <c r="P1018" s="52" t="str">
        <f>IF(AND($B1018&gt;='111'!$N$11,$B1018&lt;='111'!$O$11,OR($L1018=$P$7,$M1018=$P$7)),"x","")</f>
        <v>x</v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21">
        <v>3</v>
      </c>
    </row>
    <row r="1019" spans="1:29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65"/>
        <v>7</v>
      </c>
      <c r="C1019" s="37">
        <f t="shared" si="66"/>
        <v>41836</v>
      </c>
      <c r="D1019" s="191" t="s">
        <v>1231</v>
      </c>
      <c r="E1019" s="184">
        <v>41836</v>
      </c>
      <c r="F1019" s="192" t="s">
        <v>1024</v>
      </c>
      <c r="G1019" s="468" t="s">
        <v>1100</v>
      </c>
      <c r="H1019" s="7" t="s">
        <v>1022</v>
      </c>
      <c r="I1019" s="256">
        <v>5508</v>
      </c>
      <c r="J1019" s="256">
        <v>9600</v>
      </c>
      <c r="K1019" s="568">
        <f>ROUND(I1019*J1019,0)</f>
        <v>52876800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>331</v>
      </c>
      <c r="O1019" s="90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21">
        <v>3</v>
      </c>
      <c r="AC1019" s="211" t="str">
        <f>IF(H1019=VLOOKUP(H1019,DSKH,1,0),"","x")</f>
        <v/>
      </c>
    </row>
    <row r="1020" spans="1:29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65"/>
        <v>7</v>
      </c>
      <c r="C1020" s="37">
        <f t="shared" si="66"/>
        <v>41836</v>
      </c>
      <c r="D1020" s="191" t="s">
        <v>1231</v>
      </c>
      <c r="E1020" s="184">
        <v>41836</v>
      </c>
      <c r="F1020" s="192" t="s">
        <v>1025</v>
      </c>
      <c r="G1020" s="468" t="s">
        <v>1100</v>
      </c>
      <c r="H1020" s="7" t="s">
        <v>1022</v>
      </c>
      <c r="I1020" s="256"/>
      <c r="J1020" s="256"/>
      <c r="K1020" s="568">
        <v>5287680</v>
      </c>
      <c r="L1020" s="39" t="s">
        <v>9</v>
      </c>
      <c r="M1020" s="39" t="s">
        <v>8</v>
      </c>
      <c r="N1020" s="52" t="str">
        <f>IF(AND('331-CT'!$E$7=TH!H1020,OR(L1020="331",M1020="331")),"331",IF(AND(OR(L1020="131",M1020="131"),H1020='131-CT'!$E$7),"131",""))</f>
        <v>331</v>
      </c>
      <c r="O1020" s="90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21">
        <v>3</v>
      </c>
      <c r="AC1020" s="211" t="str">
        <f>IF(H1020=VLOOKUP(H1020,DSKH,1,0),"","x")</f>
        <v/>
      </c>
    </row>
    <row r="1021" spans="1:29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65"/>
        <v>7</v>
      </c>
      <c r="C1021" s="37">
        <f t="shared" si="66"/>
        <v>41837</v>
      </c>
      <c r="D1021" s="191" t="s">
        <v>1232</v>
      </c>
      <c r="E1021" s="184">
        <v>41837</v>
      </c>
      <c r="F1021" s="192" t="s">
        <v>1024</v>
      </c>
      <c r="G1021" s="468" t="s">
        <v>1102</v>
      </c>
      <c r="H1021" s="7" t="s">
        <v>1022</v>
      </c>
      <c r="I1021" s="256">
        <v>5195</v>
      </c>
      <c r="J1021" s="256">
        <v>9600</v>
      </c>
      <c r="K1021" s="568">
        <f>ROUND(I1021*J1021,0)</f>
        <v>49872000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>331</v>
      </c>
      <c r="O1021" s="90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21">
        <v>3</v>
      </c>
      <c r="AC1021" s="211" t="str">
        <f>IF(H1021=VLOOKUP(H1021,DSKH,1,0),"","x")</f>
        <v/>
      </c>
    </row>
    <row r="1022" spans="1:29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65"/>
        <v>7</v>
      </c>
      <c r="C1022" s="37">
        <f t="shared" si="66"/>
        <v>41837</v>
      </c>
      <c r="D1022" s="191" t="s">
        <v>1232</v>
      </c>
      <c r="E1022" s="184">
        <v>41837</v>
      </c>
      <c r="F1022" s="192" t="s">
        <v>1025</v>
      </c>
      <c r="G1022" s="468" t="s">
        <v>1102</v>
      </c>
      <c r="H1022" s="7" t="s">
        <v>1022</v>
      </c>
      <c r="I1022" s="256"/>
      <c r="J1022" s="256"/>
      <c r="K1022" s="568">
        <v>4987200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>331</v>
      </c>
      <c r="O1022" s="90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21">
        <v>3</v>
      </c>
      <c r="AC1022" s="211" t="str">
        <f>IF(H1022=VLOOKUP(H1022,DSKH,1,0),"","x")</f>
        <v/>
      </c>
    </row>
    <row r="1023" spans="1:29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65"/>
        <v>7</v>
      </c>
      <c r="C1023" s="191">
        <f t="shared" si="66"/>
        <v>41838</v>
      </c>
      <c r="D1023" s="191"/>
      <c r="E1023" s="191">
        <v>41838</v>
      </c>
      <c r="F1023" s="192" t="s">
        <v>377</v>
      </c>
      <c r="G1023" s="468" t="s">
        <v>758</v>
      </c>
      <c r="H1023" s="7" t="s">
        <v>1010</v>
      </c>
      <c r="I1023" s="256"/>
      <c r="J1023" s="256"/>
      <c r="K1023" s="568">
        <v>4070000</v>
      </c>
      <c r="L1023" s="39" t="s">
        <v>167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902" t="str">
        <f>IF(AND('341-CT'!$E$9=H1023,OR(LEFT(L1023,3)=$O$7,LEFT(M1023,3)=$O$7)),"x","")</f>
        <v/>
      </c>
      <c r="P1023" s="52" t="str">
        <f>IF(AND($B1023&gt;='111'!$N$11,$B1023&lt;='111'!$O$11,OR($L1023=$P$7,$M1023=$P$7)),"x","")</f>
        <v>x</v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21">
        <v>3</v>
      </c>
    </row>
    <row r="1024" spans="1:29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65"/>
        <v>7</v>
      </c>
      <c r="C1024" s="191">
        <f t="shared" si="66"/>
        <v>41838</v>
      </c>
      <c r="D1024" s="191"/>
      <c r="E1024" s="191">
        <v>41838</v>
      </c>
      <c r="F1024" s="192" t="s">
        <v>1011</v>
      </c>
      <c r="G1024" s="468" t="s">
        <v>758</v>
      </c>
      <c r="H1024" s="7" t="s">
        <v>1010</v>
      </c>
      <c r="I1024" s="256"/>
      <c r="J1024" s="256"/>
      <c r="K1024" s="568">
        <v>407000</v>
      </c>
      <c r="L1024" s="39" t="s">
        <v>9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902" t="str">
        <f>IF(AND('341-CT'!$E$9=H1024,OR(LEFT(L1024,3)=$O$7,LEFT(M1024,3)=$O$7)),"x","")</f>
        <v/>
      </c>
      <c r="P1024" s="52" t="str">
        <f>IF(AND($B1024&gt;='111'!$N$11,$B1024&lt;='111'!$O$11,OR($L1024=$P$7,$M1024=$P$7)),"x","")</f>
        <v>x</v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21">
        <v>3</v>
      </c>
    </row>
    <row r="1025" spans="1:29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65"/>
        <v>7</v>
      </c>
      <c r="C1025" s="191">
        <f t="shared" si="66"/>
        <v>41841</v>
      </c>
      <c r="D1025" s="191" t="s">
        <v>1233</v>
      </c>
      <c r="E1025" s="37">
        <v>41841</v>
      </c>
      <c r="F1025" s="192" t="s">
        <v>1024</v>
      </c>
      <c r="G1025" s="468" t="s">
        <v>1086</v>
      </c>
      <c r="H1025" s="7" t="s">
        <v>1022</v>
      </c>
      <c r="I1025" s="256">
        <v>6242</v>
      </c>
      <c r="J1025" s="256">
        <v>9600</v>
      </c>
      <c r="K1025" s="568">
        <f>ROUND(I1025*J1025,0)</f>
        <v>59923200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>331</v>
      </c>
      <c r="O1025" s="90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21">
        <v>3</v>
      </c>
      <c r="AC1025" s="211" t="str">
        <f>IF(H1025=VLOOKUP(H1025,DSKH,1,0),"","x")</f>
        <v/>
      </c>
    </row>
    <row r="1026" spans="1:29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65"/>
        <v>7</v>
      </c>
      <c r="C1026" s="191">
        <f t="shared" si="66"/>
        <v>41841</v>
      </c>
      <c r="D1026" s="191" t="s">
        <v>1233</v>
      </c>
      <c r="E1026" s="37">
        <v>41841</v>
      </c>
      <c r="F1026" s="192" t="s">
        <v>1025</v>
      </c>
      <c r="G1026" s="468" t="s">
        <v>1086</v>
      </c>
      <c r="H1026" s="7" t="s">
        <v>1022</v>
      </c>
      <c r="I1026" s="256"/>
      <c r="J1026" s="256"/>
      <c r="K1026" s="568">
        <v>5992320</v>
      </c>
      <c r="L1026" s="39" t="s">
        <v>9</v>
      </c>
      <c r="M1026" s="39" t="s">
        <v>8</v>
      </c>
      <c r="N1026" s="52" t="str">
        <f>IF(AND('331-CT'!$E$7=TH!H1026,OR(L1026="331",M1026="331")),"331",IF(AND(OR(L1026="131",M1026="131"),H1026='131-CT'!$E$7),"131",""))</f>
        <v>331</v>
      </c>
      <c r="O1026" s="90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21">
        <v>3</v>
      </c>
      <c r="AC1026" s="211" t="str">
        <f>IF(H1026=VLOOKUP(H1026,DSKH,1,0),"","x")</f>
        <v/>
      </c>
    </row>
    <row r="1027" spans="1:29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65"/>
        <v>7</v>
      </c>
      <c r="C1027" s="37">
        <f t="shared" si="66"/>
        <v>41841</v>
      </c>
      <c r="D1027" s="191" t="s">
        <v>1234</v>
      </c>
      <c r="E1027" s="184">
        <v>41841</v>
      </c>
      <c r="F1027" s="192" t="s">
        <v>1024</v>
      </c>
      <c r="G1027" s="468" t="s">
        <v>1103</v>
      </c>
      <c r="H1027" s="7" t="s">
        <v>1022</v>
      </c>
      <c r="I1027" s="256">
        <v>3526</v>
      </c>
      <c r="J1027" s="256">
        <v>9600</v>
      </c>
      <c r="K1027" s="568">
        <f>ROUND(I1027*J1027,0)</f>
        <v>33849600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>331</v>
      </c>
      <c r="O1027" s="90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21">
        <v>3</v>
      </c>
      <c r="AC1027" s="211" t="str">
        <f>IF(H1027=VLOOKUP(H1027,DSKH,1,0),"","x")</f>
        <v/>
      </c>
    </row>
    <row r="1028" spans="1:29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65"/>
        <v>7</v>
      </c>
      <c r="C1028" s="37">
        <f t="shared" si="66"/>
        <v>41841</v>
      </c>
      <c r="D1028" s="191" t="s">
        <v>1234</v>
      </c>
      <c r="E1028" s="184">
        <v>41841</v>
      </c>
      <c r="F1028" s="192" t="s">
        <v>1025</v>
      </c>
      <c r="G1028" s="468" t="s">
        <v>1103</v>
      </c>
      <c r="H1028" s="7" t="s">
        <v>1022</v>
      </c>
      <c r="I1028" s="256"/>
      <c r="J1028" s="256"/>
      <c r="K1028" s="568">
        <v>3384960</v>
      </c>
      <c r="L1028" s="39" t="s">
        <v>9</v>
      </c>
      <c r="M1028" s="39" t="s">
        <v>8</v>
      </c>
      <c r="N1028" s="52" t="str">
        <f>IF(AND('331-CT'!$E$7=TH!H1028,OR(L1028="331",M1028="331")),"331",IF(AND(OR(L1028="131",M1028="131"),H1028='131-CT'!$E$7),"131",""))</f>
        <v>331</v>
      </c>
      <c r="O1028" s="90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21">
        <v>3</v>
      </c>
      <c r="AC1028" s="211" t="str">
        <f>IF(H1028=VLOOKUP(H1028,DSKH,1,0),"","x")</f>
        <v/>
      </c>
    </row>
    <row r="1029" spans="1:29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65"/>
        <v>7</v>
      </c>
      <c r="C1029" s="191">
        <f t="shared" si="66"/>
        <v>41842</v>
      </c>
      <c r="D1029" s="191"/>
      <c r="E1029" s="191">
        <v>41842</v>
      </c>
      <c r="F1029" s="192" t="s">
        <v>1029</v>
      </c>
      <c r="G1029" s="468" t="s">
        <v>1028</v>
      </c>
      <c r="H1029" s="7" t="s">
        <v>1027</v>
      </c>
      <c r="I1029" s="256">
        <v>1500</v>
      </c>
      <c r="J1029" s="256">
        <v>11000</v>
      </c>
      <c r="K1029" s="568">
        <f>ROUND(I1029*J1029,0)</f>
        <v>16500000</v>
      </c>
      <c r="L1029" s="39" t="s">
        <v>161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902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21">
        <v>3</v>
      </c>
    </row>
    <row r="1030" spans="1:29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65"/>
        <v>7</v>
      </c>
      <c r="C1030" s="191">
        <f t="shared" si="66"/>
        <v>41842</v>
      </c>
      <c r="D1030" s="191"/>
      <c r="E1030" s="191">
        <v>41842</v>
      </c>
      <c r="F1030" s="192" t="s">
        <v>1030</v>
      </c>
      <c r="G1030" s="468" t="s">
        <v>1028</v>
      </c>
      <c r="H1030" s="7" t="s">
        <v>1027</v>
      </c>
      <c r="I1030" s="256"/>
      <c r="J1030" s="256"/>
      <c r="K1030" s="568">
        <v>1650000</v>
      </c>
      <c r="L1030" s="39" t="s">
        <v>9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902" t="str">
        <f>IF(AND('341-CT'!$E$9=H1030,OR(LEFT(L1030,3)=$O$7,LEFT(M1030,3)=$O$7)),"x","")</f>
        <v/>
      </c>
      <c r="P1030" s="52" t="str">
        <f>IF(AND($B1030&gt;='111'!$N$11,$B1030&lt;='111'!$O$11,OR($L1030=$P$7,$M1030=$P$7)),"x","")</f>
        <v>x</v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21">
        <v>3</v>
      </c>
    </row>
    <row r="1031" spans="1:29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65"/>
        <v>7</v>
      </c>
      <c r="C1031" s="191">
        <f t="shared" si="66"/>
        <v>41844</v>
      </c>
      <c r="D1031" s="191"/>
      <c r="E1031" s="191">
        <v>41844</v>
      </c>
      <c r="F1031" s="189" t="s">
        <v>1003</v>
      </c>
      <c r="G1031" s="468" t="s">
        <v>1031</v>
      </c>
      <c r="H1031" s="7" t="s">
        <v>1005</v>
      </c>
      <c r="I1031" s="256"/>
      <c r="J1031" s="256"/>
      <c r="K1031" s="568">
        <v>853620</v>
      </c>
      <c r="L1031" s="39" t="s">
        <v>83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902" t="str">
        <f>IF(AND('341-CT'!$E$9=H1031,OR(LEFT(L1031,3)=$O$7,LEFT(M1031,3)=$O$7)),"x","")</f>
        <v/>
      </c>
      <c r="P1031" s="52" t="str">
        <f>IF(AND($B1031&gt;='111'!$N$11,$B1031&lt;='111'!$O$11,OR($L1031=$P$7,$M1031=$P$7)),"x","")</f>
        <v>x</v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>x</v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21">
        <v>3</v>
      </c>
    </row>
    <row r="1032" spans="1:29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65"/>
        <v>7</v>
      </c>
      <c r="C1032" s="191">
        <f t="shared" si="66"/>
        <v>41844</v>
      </c>
      <c r="D1032" s="191"/>
      <c r="E1032" s="191">
        <v>41844</v>
      </c>
      <c r="F1032" s="189" t="s">
        <v>1004</v>
      </c>
      <c r="G1032" s="468" t="s">
        <v>1031</v>
      </c>
      <c r="H1032" s="7" t="s">
        <v>1005</v>
      </c>
      <c r="I1032" s="256"/>
      <c r="J1032" s="256"/>
      <c r="K1032" s="568">
        <v>85362</v>
      </c>
      <c r="L1032" s="39" t="s">
        <v>9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902" t="str">
        <f>IF(AND('341-CT'!$E$9=H1032,OR(LEFT(L1032,3)=$O$7,LEFT(M1032,3)=$O$7)),"x","")</f>
        <v/>
      </c>
      <c r="P1032" s="52" t="str">
        <f>IF(AND($B1032&gt;='111'!$N$11,$B1032&lt;='111'!$O$11,OR($L1032=$P$7,$M1032=$P$7)),"x","")</f>
        <v>x</v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21">
        <v>3</v>
      </c>
    </row>
    <row r="1033" spans="1:29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65"/>
        <v>7</v>
      </c>
      <c r="C1033" s="191">
        <f t="shared" si="66"/>
        <v>41845</v>
      </c>
      <c r="D1033" s="191"/>
      <c r="E1033" s="184">
        <v>41845</v>
      </c>
      <c r="F1033" s="189" t="s">
        <v>1076</v>
      </c>
      <c r="G1033" s="468"/>
      <c r="H1033" s="45" t="s">
        <v>1074</v>
      </c>
      <c r="I1033" s="256"/>
      <c r="J1033" s="256"/>
      <c r="K1033" s="568">
        <v>3000000</v>
      </c>
      <c r="L1033" s="569" t="s">
        <v>17</v>
      </c>
      <c r="M1033" s="569" t="s">
        <v>47</v>
      </c>
      <c r="N1033" s="52" t="str">
        <f>IF(AND('331-CT'!$E$7=TH!H1033,OR(L1033="331",M1033="331")),"331",IF(AND(OR(L1033="131",M1033="131"),H1033='131-CT'!$E$7),"131",""))</f>
        <v/>
      </c>
      <c r="O1033" s="902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21"/>
    </row>
    <row r="1034" spans="1:29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65"/>
        <v>7</v>
      </c>
      <c r="C1034" s="37">
        <f t="shared" si="66"/>
        <v>41847</v>
      </c>
      <c r="D1034" s="191" t="s">
        <v>1235</v>
      </c>
      <c r="E1034" s="184">
        <v>41847</v>
      </c>
      <c r="F1034" s="296" t="s">
        <v>1089</v>
      </c>
      <c r="G1034" s="468" t="s">
        <v>1115</v>
      </c>
      <c r="H1034" s="7" t="s">
        <v>1087</v>
      </c>
      <c r="I1034" s="256">
        <v>5880</v>
      </c>
      <c r="J1034" s="256">
        <v>8500</v>
      </c>
      <c r="K1034" s="568">
        <f>ROUND(I1034*J1034,0)</f>
        <v>49980000</v>
      </c>
      <c r="L1034" s="39" t="s">
        <v>159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90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21">
        <v>3</v>
      </c>
      <c r="AC1034" s="211" t="str">
        <f t="shared" ref="AC1034:AC1039" si="68">IF(H1034=VLOOKUP(H1034,DSKH,1,0),"","x")</f>
        <v/>
      </c>
    </row>
    <row r="1035" spans="1:29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65"/>
        <v>7</v>
      </c>
      <c r="C1035" s="37">
        <f t="shared" si="66"/>
        <v>41847</v>
      </c>
      <c r="D1035" s="191" t="s">
        <v>1235</v>
      </c>
      <c r="E1035" s="184">
        <v>41847</v>
      </c>
      <c r="F1035" s="296" t="s">
        <v>1090</v>
      </c>
      <c r="G1035" s="468" t="s">
        <v>1115</v>
      </c>
      <c r="H1035" s="7" t="s">
        <v>1087</v>
      </c>
      <c r="I1035" s="256"/>
      <c r="J1035" s="256"/>
      <c r="K1035" s="568">
        <v>4998000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90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21">
        <v>3</v>
      </c>
      <c r="AC1035" s="211" t="str">
        <f t="shared" si="68"/>
        <v/>
      </c>
    </row>
    <row r="1036" spans="1:29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65"/>
        <v>7</v>
      </c>
      <c r="C1036" s="37">
        <f t="shared" si="66"/>
        <v>41848</v>
      </c>
      <c r="D1036" s="191" t="s">
        <v>1236</v>
      </c>
      <c r="E1036" s="184">
        <v>41848</v>
      </c>
      <c r="F1036" s="192" t="s">
        <v>1118</v>
      </c>
      <c r="G1036" s="468" t="s">
        <v>1117</v>
      </c>
      <c r="H1036" s="193" t="s">
        <v>1116</v>
      </c>
      <c r="I1036" s="256">
        <v>2032</v>
      </c>
      <c r="J1036" s="256">
        <v>11600</v>
      </c>
      <c r="K1036" s="568">
        <f>ROUND(I1036*J1036,0)</f>
        <v>23571200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90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21">
        <v>3</v>
      </c>
      <c r="AC1036" s="211" t="str">
        <f t="shared" si="68"/>
        <v/>
      </c>
    </row>
    <row r="1037" spans="1:29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65"/>
        <v>7</v>
      </c>
      <c r="C1037" s="37">
        <f t="shared" si="66"/>
        <v>41848</v>
      </c>
      <c r="D1037" s="191" t="s">
        <v>1236</v>
      </c>
      <c r="E1037" s="184">
        <v>41848</v>
      </c>
      <c r="F1037" s="192" t="s">
        <v>1119</v>
      </c>
      <c r="G1037" s="468" t="s">
        <v>1117</v>
      </c>
      <c r="H1037" s="193" t="s">
        <v>1116</v>
      </c>
      <c r="I1037" s="256"/>
      <c r="J1037" s="256"/>
      <c r="K1037" s="568">
        <v>2357120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90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21">
        <v>3</v>
      </c>
      <c r="AC1037" s="211" t="str">
        <f t="shared" si="68"/>
        <v/>
      </c>
    </row>
    <row r="1038" spans="1:29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65"/>
        <v>7</v>
      </c>
      <c r="C1038" s="37">
        <f t="shared" si="66"/>
        <v>41849</v>
      </c>
      <c r="D1038" s="191" t="s">
        <v>1237</v>
      </c>
      <c r="E1038" s="184">
        <v>41849</v>
      </c>
      <c r="F1038" s="192" t="s">
        <v>1024</v>
      </c>
      <c r="G1038" s="468" t="s">
        <v>1120</v>
      </c>
      <c r="H1038" s="7" t="s">
        <v>1022</v>
      </c>
      <c r="I1038" s="256">
        <v>1852</v>
      </c>
      <c r="J1038" s="256">
        <v>9600</v>
      </c>
      <c r="K1038" s="568">
        <f>ROUND(I1038*J1038,0)</f>
        <v>17779200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>331</v>
      </c>
      <c r="O1038" s="90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21">
        <v>3</v>
      </c>
      <c r="AC1038" s="211" t="str">
        <f t="shared" si="68"/>
        <v/>
      </c>
    </row>
    <row r="1039" spans="1:29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65"/>
        <v>7</v>
      </c>
      <c r="C1039" s="37">
        <f t="shared" si="66"/>
        <v>41849</v>
      </c>
      <c r="D1039" s="191" t="s">
        <v>1237</v>
      </c>
      <c r="E1039" s="184">
        <v>41849</v>
      </c>
      <c r="F1039" s="192" t="s">
        <v>1025</v>
      </c>
      <c r="G1039" s="468" t="s">
        <v>1120</v>
      </c>
      <c r="H1039" s="7" t="s">
        <v>1022</v>
      </c>
      <c r="I1039" s="256"/>
      <c r="J1039" s="256"/>
      <c r="K1039" s="568">
        <v>1777920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>331</v>
      </c>
      <c r="O1039" s="90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21">
        <v>3</v>
      </c>
      <c r="AC1039" s="211" t="str">
        <f t="shared" si="68"/>
        <v/>
      </c>
    </row>
    <row r="1040" spans="1:29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65"/>
        <v>7</v>
      </c>
      <c r="C1040" s="191">
        <f t="shared" si="66"/>
        <v>41850</v>
      </c>
      <c r="D1040" s="191"/>
      <c r="E1040" s="37">
        <v>41850</v>
      </c>
      <c r="F1040" s="192" t="s">
        <v>1029</v>
      </c>
      <c r="G1040" s="468" t="s">
        <v>1032</v>
      </c>
      <c r="H1040" s="7" t="s">
        <v>1027</v>
      </c>
      <c r="I1040" s="256">
        <v>1500</v>
      </c>
      <c r="J1040" s="256">
        <v>11000</v>
      </c>
      <c r="K1040" s="568">
        <f>ROUND(I1040*J1040,0)</f>
        <v>16500000</v>
      </c>
      <c r="L1040" s="39" t="s">
        <v>161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902" t="str">
        <f>IF(AND('341-CT'!$E$9=H1040,OR(LEFT(L1040,3)=$O$7,LEFT(M1040,3)=$O$7)),"x","")</f>
        <v/>
      </c>
      <c r="P1040" s="52" t="str">
        <f>IF(AND($B1040&gt;='111'!$N$11,$B1040&lt;='111'!$O$11,OR($L1040=$P$7,$M1040=$P$7)),"x","")</f>
        <v>x</v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21">
        <v>3</v>
      </c>
    </row>
    <row r="1041" spans="1:29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65"/>
        <v>7</v>
      </c>
      <c r="C1041" s="191">
        <f t="shared" si="66"/>
        <v>41850</v>
      </c>
      <c r="D1041" s="191"/>
      <c r="E1041" s="37">
        <v>41850</v>
      </c>
      <c r="F1041" s="192" t="s">
        <v>1030</v>
      </c>
      <c r="G1041" s="468" t="s">
        <v>1032</v>
      </c>
      <c r="H1041" s="7" t="s">
        <v>1027</v>
      </c>
      <c r="I1041" s="256"/>
      <c r="J1041" s="256"/>
      <c r="K1041" s="568">
        <v>1650000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902" t="str">
        <f>IF(AND('341-CT'!$E$9=H1041,OR(LEFT(L1041,3)=$O$7,LEFT(M1041,3)=$O$7)),"x","")</f>
        <v/>
      </c>
      <c r="P1041" s="52" t="str">
        <f>IF(AND($B1041&gt;='111'!$N$11,$B1041&lt;='111'!$O$11,OR($L1041=$P$7,$M1041=$P$7)),"x","")</f>
        <v>x</v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21">
        <v>3</v>
      </c>
    </row>
    <row r="1042" spans="1:29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65"/>
        <v>7</v>
      </c>
      <c r="C1042" s="37">
        <f t="shared" si="66"/>
        <v>41850</v>
      </c>
      <c r="D1042" s="191" t="s">
        <v>1238</v>
      </c>
      <c r="E1042" s="184">
        <v>41850</v>
      </c>
      <c r="F1042" s="192" t="s">
        <v>1024</v>
      </c>
      <c r="G1042" s="468" t="s">
        <v>1123</v>
      </c>
      <c r="H1042" s="7" t="s">
        <v>1022</v>
      </c>
      <c r="I1042" s="259">
        <v>4756</v>
      </c>
      <c r="J1042" s="259">
        <v>9600</v>
      </c>
      <c r="K1042" s="568">
        <f>ROUND(I1042*J1042,0)</f>
        <v>45657600</v>
      </c>
      <c r="L1042" s="39" t="s">
        <v>159</v>
      </c>
      <c r="M1042" s="39" t="s">
        <v>8</v>
      </c>
      <c r="N1042" s="52" t="str">
        <f>IF(AND('331-CT'!$E$7=TH!H1042,OR(L1042="331",M1042="331")),"331",IF(AND(OR(L1042="131",M1042="131"),H1042='131-CT'!$E$7),"131",""))</f>
        <v>331</v>
      </c>
      <c r="O1042" s="90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21">
        <v>3</v>
      </c>
      <c r="AC1042" s="211" t="str">
        <f t="shared" ref="AC1042:AC1055" si="69">IF(H1042=VLOOKUP(H1042,DSKH,1,0),"","x")</f>
        <v/>
      </c>
    </row>
    <row r="1043" spans="1:29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65"/>
        <v>7</v>
      </c>
      <c r="C1043" s="37">
        <f t="shared" si="66"/>
        <v>41850</v>
      </c>
      <c r="D1043" s="191" t="s">
        <v>1238</v>
      </c>
      <c r="E1043" s="184">
        <v>41850</v>
      </c>
      <c r="F1043" s="192" t="s">
        <v>1122</v>
      </c>
      <c r="G1043" s="468" t="s">
        <v>1123</v>
      </c>
      <c r="H1043" s="7" t="s">
        <v>1022</v>
      </c>
      <c r="I1043" s="259">
        <v>1305</v>
      </c>
      <c r="J1043" s="259">
        <v>9600</v>
      </c>
      <c r="K1043" s="568">
        <f>ROUND(I1043*J1043,0)</f>
        <v>12528000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>331</v>
      </c>
      <c r="O1043" s="90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21">
        <v>3</v>
      </c>
      <c r="AC1043" s="211" t="str">
        <f t="shared" si="69"/>
        <v/>
      </c>
    </row>
    <row r="1044" spans="1:29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65"/>
        <v>7</v>
      </c>
      <c r="C1044" s="37">
        <f t="shared" si="66"/>
        <v>41850</v>
      </c>
      <c r="D1044" s="191" t="s">
        <v>1238</v>
      </c>
      <c r="E1044" s="184">
        <v>41850</v>
      </c>
      <c r="F1044" s="192" t="s">
        <v>1121</v>
      </c>
      <c r="G1044" s="468" t="s">
        <v>1123</v>
      </c>
      <c r="H1044" s="7" t="s">
        <v>1022</v>
      </c>
      <c r="I1044" s="256"/>
      <c r="J1044" s="256"/>
      <c r="K1044" s="568">
        <v>5818560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>331</v>
      </c>
      <c r="O1044" s="90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21">
        <v>3</v>
      </c>
      <c r="AC1044" s="211" t="str">
        <f t="shared" si="69"/>
        <v/>
      </c>
    </row>
    <row r="1045" spans="1:29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65"/>
        <v>7</v>
      </c>
      <c r="C1045" s="191">
        <f t="shared" si="66"/>
        <v>41851</v>
      </c>
      <c r="D1045" s="191"/>
      <c r="E1045" s="37">
        <v>41851</v>
      </c>
      <c r="F1045" s="192" t="s">
        <v>1029</v>
      </c>
      <c r="G1045" s="467" t="s">
        <v>1033</v>
      </c>
      <c r="H1045" s="7" t="s">
        <v>1027</v>
      </c>
      <c r="I1045" s="756">
        <v>500</v>
      </c>
      <c r="J1045" s="756">
        <v>11000</v>
      </c>
      <c r="K1045" s="568">
        <f>ROUND(I1045*J1045,0)</f>
        <v>5500000</v>
      </c>
      <c r="L1045" s="39" t="s">
        <v>161</v>
      </c>
      <c r="M1045" s="39" t="s">
        <v>8</v>
      </c>
      <c r="N1045" s="52" t="str">
        <f>IF(AND('331-CT'!$E$7=TH!H1045,OR(L1045="331",M1045="331")),"331",IF(AND(OR(L1045="131",M1045="131"),H1045='131-CT'!$E$7),"131",""))</f>
        <v/>
      </c>
      <c r="O1045" s="90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21">
        <v>3</v>
      </c>
      <c r="AC1045" s="211" t="str">
        <f t="shared" si="69"/>
        <v/>
      </c>
    </row>
    <row r="1046" spans="1:29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65"/>
        <v>7</v>
      </c>
      <c r="C1046" s="191">
        <f t="shared" si="66"/>
        <v>41851</v>
      </c>
      <c r="D1046" s="191"/>
      <c r="E1046" s="37">
        <v>41851</v>
      </c>
      <c r="F1046" s="296" t="s">
        <v>1034</v>
      </c>
      <c r="G1046" s="467" t="s">
        <v>1033</v>
      </c>
      <c r="H1046" s="7" t="s">
        <v>1027</v>
      </c>
      <c r="I1046" s="756">
        <v>25</v>
      </c>
      <c r="J1046" s="756">
        <v>20000</v>
      </c>
      <c r="K1046" s="568">
        <f>ROUND(I1046*J1046,0)</f>
        <v>500000</v>
      </c>
      <c r="L1046" s="39" t="s">
        <v>161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90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21">
        <v>3</v>
      </c>
      <c r="AC1046" s="211" t="str">
        <f t="shared" si="69"/>
        <v/>
      </c>
    </row>
    <row r="1047" spans="1:29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65"/>
        <v>7</v>
      </c>
      <c r="C1047" s="191">
        <f t="shared" si="66"/>
        <v>41851</v>
      </c>
      <c r="D1047" s="191"/>
      <c r="E1047" s="37">
        <v>41851</v>
      </c>
      <c r="F1047" s="189" t="s">
        <v>1035</v>
      </c>
      <c r="G1047" s="467" t="s">
        <v>1033</v>
      </c>
      <c r="H1047" s="7" t="s">
        <v>1027</v>
      </c>
      <c r="I1047" s="756">
        <v>100</v>
      </c>
      <c r="J1047" s="756">
        <v>20000</v>
      </c>
      <c r="K1047" s="568">
        <f>ROUND(I1047*J1047,0)</f>
        <v>2000000</v>
      </c>
      <c r="L1047" s="39" t="s">
        <v>161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90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21">
        <v>3</v>
      </c>
      <c r="AC1047" s="211" t="str">
        <f t="shared" si="69"/>
        <v/>
      </c>
    </row>
    <row r="1048" spans="1:29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65"/>
        <v>7</v>
      </c>
      <c r="C1048" s="191">
        <f t="shared" si="66"/>
        <v>41851</v>
      </c>
      <c r="D1048" s="191"/>
      <c r="E1048" s="37">
        <v>41851</v>
      </c>
      <c r="F1048" s="192" t="s">
        <v>1030</v>
      </c>
      <c r="G1048" s="467" t="s">
        <v>1033</v>
      </c>
      <c r="H1048" s="7" t="s">
        <v>1027</v>
      </c>
      <c r="I1048" s="756"/>
      <c r="J1048" s="756"/>
      <c r="K1048" s="568">
        <v>800000</v>
      </c>
      <c r="L1048" s="39" t="s">
        <v>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90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21">
        <v>3</v>
      </c>
      <c r="AC1048" s="211" t="str">
        <f t="shared" si="69"/>
        <v/>
      </c>
    </row>
    <row r="1049" spans="1:29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65"/>
        <v>8</v>
      </c>
      <c r="C1049" s="37">
        <f t="shared" si="66"/>
        <v>41852</v>
      </c>
      <c r="D1049" s="191" t="s">
        <v>1239</v>
      </c>
      <c r="E1049" s="191">
        <v>41852</v>
      </c>
      <c r="F1049" s="296" t="s">
        <v>1089</v>
      </c>
      <c r="G1049" s="468" t="s">
        <v>1124</v>
      </c>
      <c r="H1049" s="7" t="s">
        <v>1087</v>
      </c>
      <c r="I1049" s="256">
        <v>5710</v>
      </c>
      <c r="J1049" s="256">
        <v>8500</v>
      </c>
      <c r="K1049" s="568">
        <f>ROUND(I1049*J1049,0)</f>
        <v>48535000</v>
      </c>
      <c r="L1049" s="39" t="s">
        <v>159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90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21">
        <v>3</v>
      </c>
      <c r="AC1049" s="211" t="str">
        <f t="shared" si="69"/>
        <v/>
      </c>
    </row>
    <row r="1050" spans="1:29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65"/>
        <v>8</v>
      </c>
      <c r="C1050" s="37">
        <f t="shared" si="66"/>
        <v>41852</v>
      </c>
      <c r="D1050" s="191" t="s">
        <v>1239</v>
      </c>
      <c r="E1050" s="191">
        <v>41852</v>
      </c>
      <c r="F1050" s="296" t="s">
        <v>1090</v>
      </c>
      <c r="G1050" s="468" t="s">
        <v>1124</v>
      </c>
      <c r="H1050" s="7" t="s">
        <v>1087</v>
      </c>
      <c r="I1050" s="256"/>
      <c r="J1050" s="256"/>
      <c r="K1050" s="568">
        <v>4853500</v>
      </c>
      <c r="L1050" s="39" t="s">
        <v>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90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21">
        <v>3</v>
      </c>
      <c r="AC1050" s="211" t="str">
        <f t="shared" si="69"/>
        <v/>
      </c>
    </row>
    <row r="1051" spans="1:29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65"/>
        <v>8</v>
      </c>
      <c r="C1051" s="37">
        <f t="shared" si="66"/>
        <v>41853</v>
      </c>
      <c r="D1051" s="191" t="s">
        <v>1240</v>
      </c>
      <c r="E1051" s="191">
        <v>41853</v>
      </c>
      <c r="F1051" s="296" t="s">
        <v>1089</v>
      </c>
      <c r="G1051" s="467" t="s">
        <v>544</v>
      </c>
      <c r="H1051" s="7" t="s">
        <v>1063</v>
      </c>
      <c r="I1051" s="256">
        <v>11999</v>
      </c>
      <c r="J1051" s="256">
        <v>7600</v>
      </c>
      <c r="K1051" s="568">
        <f>ROUND(I1051*J1051,0)</f>
        <v>91192400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90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21">
        <v>3</v>
      </c>
      <c r="AC1051" s="211" t="str">
        <f t="shared" si="69"/>
        <v/>
      </c>
    </row>
    <row r="1052" spans="1:29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65"/>
        <v>8</v>
      </c>
      <c r="C1052" s="37">
        <f t="shared" si="66"/>
        <v>41853</v>
      </c>
      <c r="D1052" s="191" t="s">
        <v>1240</v>
      </c>
      <c r="E1052" s="191">
        <v>41853</v>
      </c>
      <c r="F1052" s="40" t="s">
        <v>1062</v>
      </c>
      <c r="G1052" s="467" t="s">
        <v>544</v>
      </c>
      <c r="H1052" s="7" t="s">
        <v>1063</v>
      </c>
      <c r="I1052" s="256"/>
      <c r="J1052" s="256"/>
      <c r="K1052" s="568">
        <v>9119240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90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21">
        <v>3</v>
      </c>
      <c r="AC1052" s="211" t="str">
        <f t="shared" si="69"/>
        <v/>
      </c>
    </row>
    <row r="1053" spans="1:29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ref="B1053:B1114" si="70">IF(C1053&lt;&gt;"",MONTH(C1053),"")</f>
        <v>8</v>
      </c>
      <c r="C1053" s="37">
        <f t="shared" ref="C1053:C1114" si="71">E1053</f>
        <v>41853</v>
      </c>
      <c r="D1053" s="191" t="s">
        <v>1241</v>
      </c>
      <c r="E1053" s="191">
        <v>41853</v>
      </c>
      <c r="F1053" s="296" t="s">
        <v>1089</v>
      </c>
      <c r="G1053" s="467" t="s">
        <v>1125</v>
      </c>
      <c r="H1053" s="7" t="s">
        <v>1022</v>
      </c>
      <c r="I1053" s="256">
        <v>1320</v>
      </c>
      <c r="J1053" s="256">
        <v>9000</v>
      </c>
      <c r="K1053" s="568">
        <f>ROUND(I1053*J1053,0)</f>
        <v>11880000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>331</v>
      </c>
      <c r="O1053" s="90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21">
        <v>3</v>
      </c>
      <c r="AC1053" s="211" t="str">
        <f t="shared" si="69"/>
        <v/>
      </c>
    </row>
    <row r="1054" spans="1:29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70"/>
        <v>8</v>
      </c>
      <c r="C1054" s="37">
        <f t="shared" si="71"/>
        <v>41853</v>
      </c>
      <c r="D1054" s="191" t="s">
        <v>1241</v>
      </c>
      <c r="E1054" s="191">
        <v>41853</v>
      </c>
      <c r="F1054" s="192" t="s">
        <v>1024</v>
      </c>
      <c r="G1054" s="467" t="s">
        <v>1125</v>
      </c>
      <c r="H1054" s="7" t="s">
        <v>1022</v>
      </c>
      <c r="I1054" s="256">
        <v>4926</v>
      </c>
      <c r="J1054" s="256">
        <v>9600</v>
      </c>
      <c r="K1054" s="568">
        <f>ROUND(I1054*J1054,0)</f>
        <v>47289600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>331</v>
      </c>
      <c r="O1054" s="90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21">
        <v>3</v>
      </c>
      <c r="AC1054" s="211" t="str">
        <f t="shared" si="69"/>
        <v/>
      </c>
    </row>
    <row r="1055" spans="1:29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70"/>
        <v>8</v>
      </c>
      <c r="C1055" s="37">
        <f t="shared" si="71"/>
        <v>41853</v>
      </c>
      <c r="D1055" s="191" t="s">
        <v>1241</v>
      </c>
      <c r="E1055" s="191">
        <v>41853</v>
      </c>
      <c r="F1055" s="192" t="s">
        <v>1121</v>
      </c>
      <c r="G1055" s="467" t="s">
        <v>1125</v>
      </c>
      <c r="H1055" s="7" t="s">
        <v>1022</v>
      </c>
      <c r="I1055" s="256"/>
      <c r="J1055" s="256"/>
      <c r="K1055" s="568">
        <v>5916960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>331</v>
      </c>
      <c r="O1055" s="90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21">
        <v>3</v>
      </c>
      <c r="AC1055" s="211" t="str">
        <f t="shared" si="69"/>
        <v/>
      </c>
    </row>
    <row r="1056" spans="1:29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70"/>
        <v>8</v>
      </c>
      <c r="C1056" s="191">
        <f t="shared" si="71"/>
        <v>41857</v>
      </c>
      <c r="D1056" s="191"/>
      <c r="E1056" s="37">
        <v>41857</v>
      </c>
      <c r="F1056" s="189" t="s">
        <v>1001</v>
      </c>
      <c r="G1056" s="468" t="s">
        <v>1036</v>
      </c>
      <c r="H1056" s="7" t="s">
        <v>1000</v>
      </c>
      <c r="I1056" s="256"/>
      <c r="J1056" s="256"/>
      <c r="K1056" s="568">
        <f>119081+402027</f>
        <v>521108</v>
      </c>
      <c r="L1056" s="39" t="s">
        <v>83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902" t="str">
        <f>IF(AND('341-CT'!$E$9=H1056,OR(LEFT(L1056,3)=$O$7,LEFT(M1056,3)=$O$7)),"x","")</f>
        <v/>
      </c>
      <c r="P1056" s="52" t="str">
        <f>IF(AND($B1056&gt;='111'!$N$11,$B1056&lt;='111'!$O$11,OR($L1056=$P$7,$M1056=$P$7)),"x","")</f>
        <v>x</v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>x</v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21">
        <v>3</v>
      </c>
    </row>
    <row r="1057" spans="1:29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70"/>
        <v>8</v>
      </c>
      <c r="C1057" s="191">
        <f t="shared" si="71"/>
        <v>41857</v>
      </c>
      <c r="D1057" s="191"/>
      <c r="E1057" s="37">
        <v>41857</v>
      </c>
      <c r="F1057" s="189" t="s">
        <v>1002</v>
      </c>
      <c r="G1057" s="468" t="s">
        <v>1036</v>
      </c>
      <c r="H1057" s="7" t="s">
        <v>1000</v>
      </c>
      <c r="I1057" s="256"/>
      <c r="J1057" s="256"/>
      <c r="K1057" s="568">
        <f>11908+40203</f>
        <v>52111</v>
      </c>
      <c r="L1057" s="39" t="s">
        <v>9</v>
      </c>
      <c r="M1057" s="39" t="s">
        <v>47</v>
      </c>
      <c r="N1057" s="52" t="str">
        <f>IF(AND('331-CT'!$E$7=TH!H1057,OR(L1057="331",M1057="331")),"331",IF(AND(OR(L1057="131",M1057="131"),H1057='131-CT'!$E$7),"131",""))</f>
        <v/>
      </c>
      <c r="O1057" s="902" t="str">
        <f>IF(AND('341-CT'!$E$9=H1057,OR(LEFT(L1057,3)=$O$7,LEFT(M1057,3)=$O$7)),"x","")</f>
        <v/>
      </c>
      <c r="P1057" s="52" t="str">
        <f>IF(AND($B1057&gt;='111'!$N$11,$B1057&lt;='111'!$O$11,OR($L1057=$P$7,$M1057=$P$7)),"x","")</f>
        <v>x</v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21">
        <v>3</v>
      </c>
    </row>
    <row r="1058" spans="1:29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70"/>
        <v>8</v>
      </c>
      <c r="C1058" s="191">
        <f t="shared" si="71"/>
        <v>41857</v>
      </c>
      <c r="D1058" s="191"/>
      <c r="E1058" s="37">
        <v>41857</v>
      </c>
      <c r="F1058" s="192" t="s">
        <v>1029</v>
      </c>
      <c r="G1058" s="468" t="s">
        <v>1037</v>
      </c>
      <c r="H1058" s="7" t="s">
        <v>1027</v>
      </c>
      <c r="I1058" s="256">
        <v>1500</v>
      </c>
      <c r="J1058" s="256">
        <v>11000</v>
      </c>
      <c r="K1058" s="568">
        <f>ROUND(I1058*J1058,0)</f>
        <v>16500000</v>
      </c>
      <c r="L1058" s="39" t="s">
        <v>161</v>
      </c>
      <c r="M1058" s="39" t="s">
        <v>47</v>
      </c>
      <c r="N1058" s="52" t="str">
        <f>IF(AND('331-CT'!$E$7=TH!H1058,OR(L1058="331",M1058="331")),"331",IF(AND(OR(L1058="131",M1058="131"),H1058='131-CT'!$E$7),"131",""))</f>
        <v/>
      </c>
      <c r="O1058" s="902" t="str">
        <f>IF(AND('341-CT'!$E$9=H1058,OR(LEFT(L1058,3)=$O$7,LEFT(M1058,3)=$O$7)),"x","")</f>
        <v/>
      </c>
      <c r="P1058" s="52" t="str">
        <f>IF(AND($B1058&gt;='111'!$N$11,$B1058&lt;='111'!$O$11,OR($L1058=$P$7,$M1058=$P$7)),"x","")</f>
        <v>x</v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21">
        <v>3</v>
      </c>
    </row>
    <row r="1059" spans="1:29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70"/>
        <v>8</v>
      </c>
      <c r="C1059" s="191">
        <f t="shared" si="71"/>
        <v>41857</v>
      </c>
      <c r="D1059" s="191"/>
      <c r="E1059" s="37">
        <v>41857</v>
      </c>
      <c r="F1059" s="192" t="s">
        <v>1030</v>
      </c>
      <c r="G1059" s="468" t="s">
        <v>1037</v>
      </c>
      <c r="H1059" s="7" t="s">
        <v>1027</v>
      </c>
      <c r="I1059" s="256"/>
      <c r="J1059" s="256"/>
      <c r="K1059" s="568">
        <v>1650000</v>
      </c>
      <c r="L1059" s="39" t="s">
        <v>9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902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21">
        <v>3</v>
      </c>
    </row>
    <row r="1060" spans="1:29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70"/>
        <v>8</v>
      </c>
      <c r="C1060" s="37">
        <f t="shared" si="71"/>
        <v>41858</v>
      </c>
      <c r="D1060" s="191" t="s">
        <v>1242</v>
      </c>
      <c r="E1060" s="731">
        <v>41858</v>
      </c>
      <c r="F1060" s="296" t="s">
        <v>1089</v>
      </c>
      <c r="G1060" s="467" t="s">
        <v>1126</v>
      </c>
      <c r="H1060" s="7" t="s">
        <v>1022</v>
      </c>
      <c r="I1060" s="256">
        <v>4253</v>
      </c>
      <c r="J1060" s="256">
        <v>9200</v>
      </c>
      <c r="K1060" s="568">
        <f>ROUND(I1060*J1060,0)</f>
        <v>39127600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>331</v>
      </c>
      <c r="O1060" s="90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21">
        <v>3</v>
      </c>
      <c r="AC1060" s="211" t="str">
        <f t="shared" ref="AC1060:AC1069" si="72">IF(H1060=VLOOKUP(H1060,DSKH,1,0),"","x")</f>
        <v/>
      </c>
    </row>
    <row r="1061" spans="1:29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70"/>
        <v>8</v>
      </c>
      <c r="C1061" s="37">
        <f t="shared" si="71"/>
        <v>41858</v>
      </c>
      <c r="D1061" s="191" t="s">
        <v>1242</v>
      </c>
      <c r="E1061" s="731">
        <v>41858</v>
      </c>
      <c r="F1061" s="40" t="s">
        <v>1062</v>
      </c>
      <c r="G1061" s="467" t="s">
        <v>1126</v>
      </c>
      <c r="H1061" s="7" t="s">
        <v>1022</v>
      </c>
      <c r="I1061" s="256"/>
      <c r="J1061" s="256"/>
      <c r="K1061" s="568">
        <v>3912760</v>
      </c>
      <c r="L1061" s="39" t="s">
        <v>9</v>
      </c>
      <c r="M1061" s="39" t="s">
        <v>8</v>
      </c>
      <c r="N1061" s="52" t="str">
        <f>IF(AND('331-CT'!$E$7=TH!H1061,OR(L1061="331",M1061="331")),"331",IF(AND(OR(L1061="131",M1061="131"),H1061='131-CT'!$E$7),"131",""))</f>
        <v>331</v>
      </c>
      <c r="O1061" s="90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21">
        <v>3</v>
      </c>
      <c r="AC1061" s="211" t="str">
        <f t="shared" si="72"/>
        <v/>
      </c>
    </row>
    <row r="1062" spans="1:29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70"/>
        <v>8</v>
      </c>
      <c r="C1062" s="37">
        <f t="shared" si="71"/>
        <v>41858</v>
      </c>
      <c r="D1062" s="37"/>
      <c r="E1062" s="37">
        <v>41858</v>
      </c>
      <c r="F1062" s="40" t="s">
        <v>1141</v>
      </c>
      <c r="G1062" s="467" t="s">
        <v>838</v>
      </c>
      <c r="H1062" s="7" t="s">
        <v>1140</v>
      </c>
      <c r="I1062" s="256"/>
      <c r="J1062" s="256"/>
      <c r="K1062" s="568">
        <v>19800000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90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21">
        <v>3</v>
      </c>
      <c r="AC1062" s="211" t="str">
        <f t="shared" si="72"/>
        <v/>
      </c>
    </row>
    <row r="1063" spans="1:29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70"/>
        <v>8</v>
      </c>
      <c r="C1063" s="37">
        <f t="shared" si="71"/>
        <v>41859</v>
      </c>
      <c r="D1063" s="191" t="s">
        <v>1243</v>
      </c>
      <c r="E1063" s="731">
        <v>41859</v>
      </c>
      <c r="F1063" s="192" t="s">
        <v>1024</v>
      </c>
      <c r="G1063" s="467" t="s">
        <v>1127</v>
      </c>
      <c r="H1063" s="7" t="s">
        <v>1022</v>
      </c>
      <c r="I1063" s="256">
        <v>5274</v>
      </c>
      <c r="J1063" s="256">
        <v>9600</v>
      </c>
      <c r="K1063" s="568">
        <f>ROUND(I1063*J1063,0)</f>
        <v>50630400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>331</v>
      </c>
      <c r="O1063" s="90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21">
        <v>3</v>
      </c>
      <c r="AC1063" s="211" t="str">
        <f t="shared" si="72"/>
        <v/>
      </c>
    </row>
    <row r="1064" spans="1:29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70"/>
        <v>8</v>
      </c>
      <c r="C1064" s="37">
        <f t="shared" si="71"/>
        <v>41859</v>
      </c>
      <c r="D1064" s="191" t="s">
        <v>1243</v>
      </c>
      <c r="E1064" s="731">
        <v>41859</v>
      </c>
      <c r="F1064" s="192" t="s">
        <v>1121</v>
      </c>
      <c r="G1064" s="467" t="s">
        <v>1127</v>
      </c>
      <c r="H1064" s="7" t="s">
        <v>1022</v>
      </c>
      <c r="I1064" s="256"/>
      <c r="J1064" s="256"/>
      <c r="K1064" s="568">
        <v>5063040</v>
      </c>
      <c r="L1064" s="39" t="s">
        <v>9</v>
      </c>
      <c r="M1064" s="39" t="s">
        <v>8</v>
      </c>
      <c r="N1064" s="52" t="str">
        <f>IF(AND('331-CT'!$E$7=TH!H1064,OR(L1064="331",M1064="331")),"331",IF(AND(OR(L1064="131",M1064="131"),H1064='131-CT'!$E$7),"131",""))</f>
        <v>331</v>
      </c>
      <c r="O1064" s="90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21">
        <v>3</v>
      </c>
      <c r="AC1064" s="211" t="str">
        <f t="shared" si="72"/>
        <v/>
      </c>
    </row>
    <row r="1065" spans="1:29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70"/>
        <v>8</v>
      </c>
      <c r="C1065" s="37">
        <f t="shared" si="71"/>
        <v>41864</v>
      </c>
      <c r="D1065" s="191" t="s">
        <v>1244</v>
      </c>
      <c r="E1065" s="731">
        <v>41864</v>
      </c>
      <c r="F1065" s="192" t="s">
        <v>1024</v>
      </c>
      <c r="G1065" s="467" t="s">
        <v>1128</v>
      </c>
      <c r="H1065" s="7" t="s">
        <v>1022</v>
      </c>
      <c r="I1065" s="256">
        <v>1694</v>
      </c>
      <c r="J1065" s="256">
        <v>9600</v>
      </c>
      <c r="K1065" s="568">
        <f>ROUND(I1065*J1065,0)</f>
        <v>16262400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>331</v>
      </c>
      <c r="O1065" s="90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21">
        <v>3</v>
      </c>
      <c r="AC1065" s="211" t="str">
        <f t="shared" si="72"/>
        <v/>
      </c>
    </row>
    <row r="1066" spans="1:29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70"/>
        <v>8</v>
      </c>
      <c r="C1066" s="37">
        <f t="shared" si="71"/>
        <v>41864</v>
      </c>
      <c r="D1066" s="191" t="s">
        <v>1244</v>
      </c>
      <c r="E1066" s="731">
        <v>41864</v>
      </c>
      <c r="F1066" s="296" t="s">
        <v>1089</v>
      </c>
      <c r="G1066" s="467" t="s">
        <v>1128</v>
      </c>
      <c r="H1066" s="7" t="s">
        <v>1022</v>
      </c>
      <c r="I1066" s="256">
        <v>3430</v>
      </c>
      <c r="J1066" s="256">
        <v>9200</v>
      </c>
      <c r="K1066" s="568">
        <f>ROUND(I1066*J1066,0)</f>
        <v>31556000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>331</v>
      </c>
      <c r="O1066" s="90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21">
        <v>3</v>
      </c>
      <c r="AC1066" s="211" t="str">
        <f t="shared" si="72"/>
        <v/>
      </c>
    </row>
    <row r="1067" spans="1:29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70"/>
        <v>8</v>
      </c>
      <c r="C1067" s="37">
        <f t="shared" si="71"/>
        <v>41864</v>
      </c>
      <c r="D1067" s="191" t="s">
        <v>1244</v>
      </c>
      <c r="E1067" s="731">
        <v>41864</v>
      </c>
      <c r="F1067" s="192" t="s">
        <v>1121</v>
      </c>
      <c r="G1067" s="467" t="s">
        <v>1128</v>
      </c>
      <c r="H1067" s="7" t="s">
        <v>1022</v>
      </c>
      <c r="I1067" s="256"/>
      <c r="J1067" s="256"/>
      <c r="K1067" s="568">
        <v>4781840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>331</v>
      </c>
      <c r="O1067" s="90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21">
        <v>3</v>
      </c>
      <c r="AC1067" s="211" t="str">
        <f t="shared" si="72"/>
        <v/>
      </c>
    </row>
    <row r="1068" spans="1:29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70"/>
        <v>8</v>
      </c>
      <c r="C1068" s="191">
        <f t="shared" si="71"/>
        <v>41870</v>
      </c>
      <c r="D1068" s="191" t="s">
        <v>1246</v>
      </c>
      <c r="E1068" s="37">
        <v>41870</v>
      </c>
      <c r="F1068" s="189" t="s">
        <v>330</v>
      </c>
      <c r="G1068" s="468" t="s">
        <v>1038</v>
      </c>
      <c r="H1068" s="7" t="s">
        <v>352</v>
      </c>
      <c r="I1068" s="256">
        <v>24</v>
      </c>
      <c r="J1068" s="256">
        <v>45000</v>
      </c>
      <c r="K1068" s="568">
        <f>ROUND(I1068*J1068,0)</f>
        <v>1080000</v>
      </c>
      <c r="L1068" s="39" t="s">
        <v>161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90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21">
        <v>3</v>
      </c>
      <c r="AC1068" s="211" t="str">
        <f t="shared" si="72"/>
        <v/>
      </c>
    </row>
    <row r="1069" spans="1:29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70"/>
        <v>8</v>
      </c>
      <c r="C1069" s="191">
        <f t="shared" si="71"/>
        <v>41870</v>
      </c>
      <c r="D1069" s="191" t="s">
        <v>1246</v>
      </c>
      <c r="E1069" s="37">
        <v>41870</v>
      </c>
      <c r="F1069" s="189" t="s">
        <v>1020</v>
      </c>
      <c r="G1069" s="468" t="s">
        <v>1038</v>
      </c>
      <c r="H1069" s="7" t="s">
        <v>352</v>
      </c>
      <c r="I1069" s="256"/>
      <c r="J1069" s="256"/>
      <c r="K1069" s="568">
        <v>108000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90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21">
        <v>3</v>
      </c>
      <c r="AC1069" s="211" t="str">
        <f t="shared" si="72"/>
        <v/>
      </c>
    </row>
    <row r="1070" spans="1:29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70"/>
        <v>8</v>
      </c>
      <c r="C1070" s="191">
        <f t="shared" si="71"/>
        <v>41870</v>
      </c>
      <c r="D1070" s="191"/>
      <c r="E1070" s="37">
        <v>41870</v>
      </c>
      <c r="F1070" s="189" t="s">
        <v>903</v>
      </c>
      <c r="G1070" s="468" t="s">
        <v>1038</v>
      </c>
      <c r="H1070" s="7" t="s">
        <v>352</v>
      </c>
      <c r="I1070" s="256"/>
      <c r="J1070" s="256"/>
      <c r="K1070" s="568">
        <v>1188000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902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21"/>
    </row>
    <row r="1071" spans="1:29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70"/>
        <v>8</v>
      </c>
      <c r="C1071" s="191">
        <f t="shared" si="71"/>
        <v>41872</v>
      </c>
      <c r="D1071" s="191"/>
      <c r="E1071" s="37">
        <v>41872</v>
      </c>
      <c r="F1071" s="40" t="s">
        <v>1041</v>
      </c>
      <c r="G1071" s="467" t="s">
        <v>1043</v>
      </c>
      <c r="H1071" s="7" t="s">
        <v>1040</v>
      </c>
      <c r="I1071" s="756"/>
      <c r="J1071" s="756"/>
      <c r="K1071" s="568">
        <f>6762+850873</f>
        <v>857635</v>
      </c>
      <c r="L1071" s="39" t="s">
        <v>83</v>
      </c>
      <c r="M1071" s="39" t="s">
        <v>47</v>
      </c>
      <c r="N1071" s="52" t="str">
        <f>IF(AND('331-CT'!$E$7=TH!H1071,OR(L1071="331",M1071="331")),"331",IF(AND(OR(L1071="131",M1071="131"),H1071='131-CT'!$E$7),"131",""))</f>
        <v/>
      </c>
      <c r="O1071" s="902" t="str">
        <f>IF(AND('341-CT'!$E$9=H1071,OR(LEFT(L1071,3)=$O$7,LEFT(M1071,3)=$O$7)),"x","")</f>
        <v/>
      </c>
      <c r="P1071" s="52" t="str">
        <f>IF(AND($B1071&gt;='111'!$N$11,$B1071&lt;='111'!$O$11,OR($L1071=$P$7,$M1071=$P$7)),"x","")</f>
        <v>x</v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>x</v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21">
        <v>3</v>
      </c>
    </row>
    <row r="1072" spans="1:29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70"/>
        <v>8</v>
      </c>
      <c r="C1072" s="191">
        <f t="shared" si="71"/>
        <v>41872</v>
      </c>
      <c r="D1072" s="191"/>
      <c r="E1072" s="37">
        <v>41872</v>
      </c>
      <c r="F1072" s="40" t="s">
        <v>1042</v>
      </c>
      <c r="G1072" s="467" t="s">
        <v>1039</v>
      </c>
      <c r="H1072" s="7" t="s">
        <v>1040</v>
      </c>
      <c r="I1072" s="756"/>
      <c r="J1072" s="756"/>
      <c r="K1072" s="568">
        <f>338+85087</f>
        <v>85425</v>
      </c>
      <c r="L1072" s="39" t="s">
        <v>9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902" t="str">
        <f>IF(AND('341-CT'!$E$9=H1072,OR(LEFT(L1072,3)=$O$7,LEFT(M1072,3)=$O$7)),"x","")</f>
        <v/>
      </c>
      <c r="P1072" s="52" t="str">
        <f>IF(AND($B1072&gt;='111'!$N$11,$B1072&lt;='111'!$O$11,OR($L1072=$P$7,$M1072=$P$7)),"x","")</f>
        <v>x</v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21">
        <v>3</v>
      </c>
    </row>
    <row r="1073" spans="1:29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70"/>
        <v>8</v>
      </c>
      <c r="C1073" s="191">
        <f t="shared" si="71"/>
        <v>41873</v>
      </c>
      <c r="D1073" s="191"/>
      <c r="E1073" s="37">
        <v>41873</v>
      </c>
      <c r="F1073" s="192" t="s">
        <v>1029</v>
      </c>
      <c r="G1073" s="468" t="s">
        <v>1044</v>
      </c>
      <c r="H1073" s="7" t="s">
        <v>1027</v>
      </c>
      <c r="I1073" s="256">
        <v>1500</v>
      </c>
      <c r="J1073" s="256">
        <v>11000</v>
      </c>
      <c r="K1073" s="568">
        <f>ROUND(I1073*J1073,0)</f>
        <v>16500000</v>
      </c>
      <c r="L1073" s="39" t="s">
        <v>161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902" t="str">
        <f>IF(AND('341-CT'!$E$9=H1073,OR(LEFT(L1073,3)=$O$7,LEFT(M1073,3)=$O$7)),"x","")</f>
        <v/>
      </c>
      <c r="P1073" s="52" t="str">
        <f>IF(AND($B1073&gt;='111'!$N$11,$B1073&lt;='111'!$O$11,OR($L1073=$P$7,$M1073=$P$7)),"x","")</f>
        <v>x</v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21">
        <v>3</v>
      </c>
    </row>
    <row r="1074" spans="1:29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70"/>
        <v>8</v>
      </c>
      <c r="C1074" s="191">
        <f t="shared" si="71"/>
        <v>41873</v>
      </c>
      <c r="D1074" s="191"/>
      <c r="E1074" s="37">
        <v>41873</v>
      </c>
      <c r="F1074" s="192" t="s">
        <v>1030</v>
      </c>
      <c r="G1074" s="468" t="s">
        <v>1044</v>
      </c>
      <c r="H1074" s="7" t="s">
        <v>1027</v>
      </c>
      <c r="I1074" s="256"/>
      <c r="J1074" s="256"/>
      <c r="K1074" s="568">
        <v>1650000</v>
      </c>
      <c r="L1074" s="39" t="s">
        <v>9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902" t="str">
        <f>IF(AND('341-CT'!$E$9=H1074,OR(LEFT(L1074,3)=$O$7,LEFT(M1074,3)=$O$7)),"x","")</f>
        <v/>
      </c>
      <c r="P1074" s="52" t="str">
        <f>IF(AND($B1074&gt;='111'!$N$11,$B1074&lt;='111'!$O$11,OR($L1074=$P$7,$M1074=$P$7)),"x","")</f>
        <v>x</v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21">
        <v>3</v>
      </c>
    </row>
    <row r="1075" spans="1:29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70"/>
        <v>8</v>
      </c>
      <c r="C1075" s="191">
        <f t="shared" si="71"/>
        <v>41875</v>
      </c>
      <c r="D1075" s="191"/>
      <c r="E1075" s="37">
        <v>41875</v>
      </c>
      <c r="F1075" s="189" t="s">
        <v>1003</v>
      </c>
      <c r="G1075" s="468" t="s">
        <v>1045</v>
      </c>
      <c r="H1075" s="7" t="s">
        <v>1005</v>
      </c>
      <c r="I1075" s="256"/>
      <c r="J1075" s="256"/>
      <c r="K1075" s="568">
        <v>966048</v>
      </c>
      <c r="L1075" s="39" t="s">
        <v>83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902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>x</v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21">
        <v>3</v>
      </c>
    </row>
    <row r="1076" spans="1:29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70"/>
        <v>8</v>
      </c>
      <c r="C1076" s="191">
        <f t="shared" si="71"/>
        <v>41875</v>
      </c>
      <c r="D1076" s="191"/>
      <c r="E1076" s="37">
        <v>41875</v>
      </c>
      <c r="F1076" s="189" t="s">
        <v>1004</v>
      </c>
      <c r="G1076" s="468" t="s">
        <v>1045</v>
      </c>
      <c r="H1076" s="7" t="s">
        <v>1005</v>
      </c>
      <c r="I1076" s="256"/>
      <c r="J1076" s="256"/>
      <c r="K1076" s="568">
        <v>96605</v>
      </c>
      <c r="L1076" s="39" t="s">
        <v>9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902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21">
        <v>3</v>
      </c>
    </row>
    <row r="1077" spans="1:29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70"/>
        <v>8</v>
      </c>
      <c r="C1077" s="191">
        <f t="shared" si="71"/>
        <v>41881</v>
      </c>
      <c r="D1077" s="191"/>
      <c r="E1077" s="37">
        <v>41881</v>
      </c>
      <c r="F1077" s="192" t="s">
        <v>377</v>
      </c>
      <c r="G1077" s="468" t="s">
        <v>846</v>
      </c>
      <c r="H1077" s="7" t="s">
        <v>1010</v>
      </c>
      <c r="I1077" s="256"/>
      <c r="J1077" s="256"/>
      <c r="K1077" s="568">
        <v>2420000</v>
      </c>
      <c r="L1077" s="39" t="s">
        <v>167</v>
      </c>
      <c r="M1077" s="39" t="s">
        <v>47</v>
      </c>
      <c r="N1077" s="52" t="str">
        <f>IF(AND('331-CT'!$E$7=TH!H1077,OR(L1077="331",M1077="331")),"331",IF(AND(OR(L1077="131",M1077="131"),H1077='131-CT'!$E$7),"131",""))</f>
        <v/>
      </c>
      <c r="O1077" s="902" t="str">
        <f>IF(AND('341-CT'!$E$9=H1077,OR(LEFT(L1077,3)=$O$7,LEFT(M1077,3)=$O$7)),"x","")</f>
        <v/>
      </c>
      <c r="P1077" s="52" t="str">
        <f>IF(AND($B1077&gt;='111'!$N$11,$B1077&lt;='111'!$O$11,OR($L1077=$P$7,$M1077=$P$7)),"x","")</f>
        <v>x</v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21">
        <v>3</v>
      </c>
    </row>
    <row r="1078" spans="1:29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70"/>
        <v>8</v>
      </c>
      <c r="C1078" s="191">
        <f t="shared" si="71"/>
        <v>41881</v>
      </c>
      <c r="D1078" s="191"/>
      <c r="E1078" s="37">
        <v>41881</v>
      </c>
      <c r="F1078" s="192" t="s">
        <v>1011</v>
      </c>
      <c r="G1078" s="468" t="s">
        <v>846</v>
      </c>
      <c r="H1078" s="7" t="s">
        <v>1010</v>
      </c>
      <c r="I1078" s="256"/>
      <c r="J1078" s="256"/>
      <c r="K1078" s="568">
        <v>242000</v>
      </c>
      <c r="L1078" s="39" t="s">
        <v>9</v>
      </c>
      <c r="M1078" s="39" t="s">
        <v>47</v>
      </c>
      <c r="N1078" s="52" t="str">
        <f>IF(AND('331-CT'!$E$7=TH!H1078,OR(L1078="331",M1078="331")),"331",IF(AND(OR(L1078="131",M1078="131"),H1078='131-CT'!$E$7),"131",""))</f>
        <v/>
      </c>
      <c r="O1078" s="902" t="str">
        <f>IF(AND('341-CT'!$E$9=H1078,OR(LEFT(L1078,3)=$O$7,LEFT(M1078,3)=$O$7)),"x","")</f>
        <v/>
      </c>
      <c r="P1078" s="52" t="str">
        <f>IF(AND($B1078&gt;='111'!$N$11,$B1078&lt;='111'!$O$11,OR($L1078=$P$7,$M1078=$P$7)),"x","")</f>
        <v>x</v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21">
        <v>3</v>
      </c>
    </row>
    <row r="1079" spans="1:29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70"/>
        <v>9</v>
      </c>
      <c r="C1079" s="191">
        <f t="shared" si="71"/>
        <v>41889</v>
      </c>
      <c r="D1079" s="191"/>
      <c r="E1079" s="37">
        <v>41889</v>
      </c>
      <c r="F1079" s="189" t="s">
        <v>1001</v>
      </c>
      <c r="G1079" s="468" t="s">
        <v>1046</v>
      </c>
      <c r="H1079" s="7" t="s">
        <v>1000</v>
      </c>
      <c r="I1079" s="256"/>
      <c r="J1079" s="256"/>
      <c r="K1079" s="568">
        <f>156281+118949+332641</f>
        <v>607871</v>
      </c>
      <c r="L1079" s="39" t="s">
        <v>83</v>
      </c>
      <c r="M1079" s="39" t="s">
        <v>47</v>
      </c>
      <c r="N1079" s="52" t="str">
        <f>IF(AND('331-CT'!$E$7=TH!H1079,OR(L1079="331",M1079="331")),"331",IF(AND(OR(L1079="131",M1079="131"),H1079='131-CT'!$E$7),"131",""))</f>
        <v/>
      </c>
      <c r="O1079" s="902" t="str">
        <f>IF(AND('341-CT'!$E$9=H1079,OR(LEFT(L1079,3)=$O$7,LEFT(M1079,3)=$O$7)),"x","")</f>
        <v/>
      </c>
      <c r="P1079" s="52" t="str">
        <f>IF(AND($B1079&gt;='111'!$N$11,$B1079&lt;='111'!$O$11,OR($L1079=$P$7,$M1079=$P$7)),"x","")</f>
        <v>x</v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>x</v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21">
        <v>3</v>
      </c>
    </row>
    <row r="1080" spans="1:29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70"/>
        <v>9</v>
      </c>
      <c r="C1080" s="191">
        <f t="shared" si="71"/>
        <v>41889</v>
      </c>
      <c r="D1080" s="191"/>
      <c r="E1080" s="37">
        <v>41889</v>
      </c>
      <c r="F1080" s="189" t="s">
        <v>1002</v>
      </c>
      <c r="G1080" s="468" t="s">
        <v>1046</v>
      </c>
      <c r="H1080" s="7" t="s">
        <v>1000</v>
      </c>
      <c r="I1080" s="256"/>
      <c r="J1080" s="256"/>
      <c r="K1080" s="568">
        <f>15628+11895+33264</f>
        <v>60787</v>
      </c>
      <c r="L1080" s="39" t="s">
        <v>9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902" t="str">
        <f>IF(AND('341-CT'!$E$9=H1080,OR(LEFT(L1080,3)=$O$7,LEFT(M1080,3)=$O$7)),"x","")</f>
        <v/>
      </c>
      <c r="P1080" s="52" t="str">
        <f>IF(AND($B1080&gt;='111'!$N$11,$B1080&lt;='111'!$O$11,OR($L1080=$P$7,$M1080=$P$7)),"x","")</f>
        <v>x</v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21">
        <v>3</v>
      </c>
    </row>
    <row r="1081" spans="1:29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70"/>
        <v>9</v>
      </c>
      <c r="C1081" s="191">
        <f t="shared" si="71"/>
        <v>41897</v>
      </c>
      <c r="D1081" s="191"/>
      <c r="E1081" s="37">
        <v>41897</v>
      </c>
      <c r="F1081" s="192" t="s">
        <v>377</v>
      </c>
      <c r="G1081" s="468" t="s">
        <v>870</v>
      </c>
      <c r="H1081" s="7" t="s">
        <v>1010</v>
      </c>
      <c r="I1081" s="256"/>
      <c r="J1081" s="256"/>
      <c r="K1081" s="568">
        <v>4665000</v>
      </c>
      <c r="L1081" s="39" t="s">
        <v>167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902" t="str">
        <f>IF(AND('341-CT'!$E$9=H1081,OR(LEFT(L1081,3)=$O$7,LEFT(M1081,3)=$O$7)),"x","")</f>
        <v/>
      </c>
      <c r="P1081" s="52" t="str">
        <f>IF(AND($B1081&gt;='111'!$N$11,$B1081&lt;='111'!$O$11,OR($L1081=$P$7,$M1081=$P$7)),"x","")</f>
        <v>x</v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21">
        <v>3</v>
      </c>
    </row>
    <row r="1082" spans="1:29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70"/>
        <v>9</v>
      </c>
      <c r="C1082" s="191">
        <f t="shared" si="71"/>
        <v>41897</v>
      </c>
      <c r="D1082" s="191"/>
      <c r="E1082" s="37">
        <v>41897</v>
      </c>
      <c r="F1082" s="192" t="s">
        <v>1011</v>
      </c>
      <c r="G1082" s="468" t="s">
        <v>870</v>
      </c>
      <c r="H1082" s="7" t="s">
        <v>1010</v>
      </c>
      <c r="I1082" s="256"/>
      <c r="J1082" s="256"/>
      <c r="K1082" s="568">
        <v>466500</v>
      </c>
      <c r="L1082" s="39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902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21">
        <v>3</v>
      </c>
    </row>
    <row r="1083" spans="1:29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70"/>
        <v>9</v>
      </c>
      <c r="C1083" s="37">
        <f t="shared" si="71"/>
        <v>41900</v>
      </c>
      <c r="D1083" s="191" t="s">
        <v>1245</v>
      </c>
      <c r="E1083" s="37">
        <v>41900</v>
      </c>
      <c r="F1083" s="296" t="s">
        <v>1089</v>
      </c>
      <c r="G1083" s="467" t="s">
        <v>606</v>
      </c>
      <c r="H1083" s="7" t="s">
        <v>1063</v>
      </c>
      <c r="I1083" s="256">
        <v>5276</v>
      </c>
      <c r="J1083" s="256">
        <v>7600</v>
      </c>
      <c r="K1083" s="568">
        <f>ROUND(I1083*J1083,0)</f>
        <v>40097600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90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21">
        <v>3</v>
      </c>
      <c r="AC1083" s="211" t="str">
        <f t="shared" ref="AC1083:AC1088" si="73">IF(H1083=VLOOKUP(H1083,DSKH,1,0),"","x")</f>
        <v/>
      </c>
    </row>
    <row r="1084" spans="1:29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0"/>
        <v>9</v>
      </c>
      <c r="C1084" s="37">
        <f t="shared" si="71"/>
        <v>41900</v>
      </c>
      <c r="D1084" s="191" t="s">
        <v>1245</v>
      </c>
      <c r="E1084" s="37">
        <v>41900</v>
      </c>
      <c r="F1084" s="40" t="s">
        <v>1062</v>
      </c>
      <c r="G1084" s="467" t="s">
        <v>606</v>
      </c>
      <c r="H1084" s="7" t="s">
        <v>1063</v>
      </c>
      <c r="I1084" s="256"/>
      <c r="J1084" s="256"/>
      <c r="K1084" s="568">
        <v>4009760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90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21">
        <v>3</v>
      </c>
      <c r="AC1084" s="211" t="str">
        <f t="shared" si="73"/>
        <v/>
      </c>
    </row>
    <row r="1085" spans="1:29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0"/>
        <v>9</v>
      </c>
      <c r="C1085" s="37">
        <f t="shared" si="71"/>
        <v>41900</v>
      </c>
      <c r="D1085" s="37"/>
      <c r="E1085" s="37">
        <v>41900</v>
      </c>
      <c r="F1085" s="40" t="s">
        <v>1141</v>
      </c>
      <c r="G1085" s="467" t="s">
        <v>840</v>
      </c>
      <c r="H1085" s="7" t="s">
        <v>1140</v>
      </c>
      <c r="I1085" s="256"/>
      <c r="J1085" s="256"/>
      <c r="K1085" s="568">
        <v>19800000</v>
      </c>
      <c r="L1085" s="39" t="s">
        <v>161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90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21">
        <v>3</v>
      </c>
      <c r="AC1085" s="211" t="str">
        <f t="shared" si="73"/>
        <v/>
      </c>
    </row>
    <row r="1086" spans="1:29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0"/>
        <v>9</v>
      </c>
      <c r="C1086" s="37">
        <f t="shared" si="71"/>
        <v>41901</v>
      </c>
      <c r="D1086" s="37"/>
      <c r="E1086" s="37">
        <v>41901</v>
      </c>
      <c r="F1086" s="40" t="s">
        <v>1141</v>
      </c>
      <c r="G1086" s="467" t="s">
        <v>844</v>
      </c>
      <c r="H1086" s="7" t="s">
        <v>1140</v>
      </c>
      <c r="I1086" s="256"/>
      <c r="J1086" s="256"/>
      <c r="K1086" s="568">
        <v>19800000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90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21">
        <v>3</v>
      </c>
      <c r="AC1086" s="211" t="str">
        <f t="shared" si="73"/>
        <v/>
      </c>
    </row>
    <row r="1087" spans="1:29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0"/>
        <v>9</v>
      </c>
      <c r="C1087" s="191">
        <f t="shared" si="71"/>
        <v>41902</v>
      </c>
      <c r="D1087" s="191" t="s">
        <v>1247</v>
      </c>
      <c r="E1087" s="37">
        <v>41902</v>
      </c>
      <c r="F1087" s="189" t="s">
        <v>330</v>
      </c>
      <c r="G1087" s="468" t="s">
        <v>1047</v>
      </c>
      <c r="H1087" s="7" t="s">
        <v>352</v>
      </c>
      <c r="I1087" s="256">
        <v>24</v>
      </c>
      <c r="J1087" s="256">
        <v>45000</v>
      </c>
      <c r="K1087" s="568">
        <f>ROUND(I1087*J1087,0)</f>
        <v>1080000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90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21">
        <v>3</v>
      </c>
      <c r="AC1087" s="211" t="str">
        <f t="shared" si="73"/>
        <v/>
      </c>
    </row>
    <row r="1088" spans="1:29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70"/>
        <v>9</v>
      </c>
      <c r="C1088" s="191">
        <f t="shared" si="71"/>
        <v>41902</v>
      </c>
      <c r="D1088" s="191" t="s">
        <v>1247</v>
      </c>
      <c r="E1088" s="37">
        <v>41902</v>
      </c>
      <c r="F1088" s="189" t="s">
        <v>1020</v>
      </c>
      <c r="G1088" s="468" t="s">
        <v>1047</v>
      </c>
      <c r="H1088" s="7" t="s">
        <v>352</v>
      </c>
      <c r="I1088" s="256"/>
      <c r="J1088" s="256"/>
      <c r="K1088" s="568">
        <v>108000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90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21">
        <v>3</v>
      </c>
      <c r="AC1088" s="211" t="str">
        <f t="shared" si="73"/>
        <v/>
      </c>
    </row>
    <row r="1089" spans="1:29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70"/>
        <v>9</v>
      </c>
      <c r="C1089" s="191">
        <f t="shared" si="71"/>
        <v>41902</v>
      </c>
      <c r="D1089" s="191"/>
      <c r="E1089" s="37">
        <v>41902</v>
      </c>
      <c r="F1089" s="189" t="s">
        <v>903</v>
      </c>
      <c r="G1089" s="468" t="s">
        <v>1047</v>
      </c>
      <c r="H1089" s="7" t="s">
        <v>352</v>
      </c>
      <c r="I1089" s="256"/>
      <c r="J1089" s="256"/>
      <c r="K1089" s="568">
        <v>1188000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902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21"/>
    </row>
    <row r="1090" spans="1:29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70"/>
        <v>9</v>
      </c>
      <c r="C1090" s="191">
        <f t="shared" si="71"/>
        <v>41907</v>
      </c>
      <c r="D1090" s="191"/>
      <c r="E1090" s="37">
        <v>41907</v>
      </c>
      <c r="F1090" s="192" t="s">
        <v>377</v>
      </c>
      <c r="G1090" s="468" t="s">
        <v>1048</v>
      </c>
      <c r="H1090" s="7" t="s">
        <v>1010</v>
      </c>
      <c r="I1090" s="256"/>
      <c r="J1090" s="256"/>
      <c r="K1090" s="568">
        <v>3535000</v>
      </c>
      <c r="L1090" s="39" t="s">
        <v>167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902" t="str">
        <f>IF(AND('341-CT'!$E$9=H1090,OR(LEFT(L1090,3)=$O$7,LEFT(M1090,3)=$O$7)),"x","")</f>
        <v/>
      </c>
      <c r="P1090" s="52" t="str">
        <f>IF(AND($B1090&gt;='111'!$N$11,$B1090&lt;='111'!$O$11,OR($L1090=$P$7,$M1090=$P$7)),"x","")</f>
        <v>x</v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21">
        <v>3</v>
      </c>
    </row>
    <row r="1091" spans="1:29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70"/>
        <v>9</v>
      </c>
      <c r="C1091" s="191">
        <f t="shared" si="71"/>
        <v>41907</v>
      </c>
      <c r="D1091" s="191"/>
      <c r="E1091" s="37">
        <v>41907</v>
      </c>
      <c r="F1091" s="192" t="s">
        <v>1011</v>
      </c>
      <c r="G1091" s="468" t="s">
        <v>1048</v>
      </c>
      <c r="H1091" s="7" t="s">
        <v>1010</v>
      </c>
      <c r="I1091" s="256"/>
      <c r="J1091" s="256"/>
      <c r="K1091" s="568">
        <v>353500</v>
      </c>
      <c r="L1091" s="39" t="s">
        <v>9</v>
      </c>
      <c r="M1091" s="39" t="s">
        <v>47</v>
      </c>
      <c r="N1091" s="52" t="str">
        <f>IF(AND('331-CT'!$E$7=TH!H1091,OR(L1091="331",M1091="331")),"331",IF(AND(OR(L1091="131",M1091="131"),H1091='131-CT'!$E$7),"131",""))</f>
        <v/>
      </c>
      <c r="O1091" s="902" t="str">
        <f>IF(AND('341-CT'!$E$9=H1091,OR(LEFT(L1091,3)=$O$7,LEFT(M1091,3)=$O$7)),"x","")</f>
        <v/>
      </c>
      <c r="P1091" s="52" t="str">
        <f>IF(AND($B1091&gt;='111'!$N$11,$B1091&lt;='111'!$O$11,OR($L1091=$P$7,$M1091=$P$7)),"x","")</f>
        <v>x</v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21">
        <v>3</v>
      </c>
    </row>
    <row r="1092" spans="1:29" s="211" customFormat="1" ht="15.75" hidden="1" customHeight="1">
      <c r="A1092" s="204">
        <f>IF(B1092&lt;&gt;"",IF(AND(B1092&gt;=_TM1,B1092&lt;=_TM2,OR(TH!L1092="1111",TH!M1092="1111")),TH!D1092,""),"")</f>
        <v>0</v>
      </c>
      <c r="B1092" s="36">
        <f t="shared" si="70"/>
        <v>10</v>
      </c>
      <c r="C1092" s="37">
        <f t="shared" si="71"/>
        <v>41913</v>
      </c>
      <c r="D1092" s="37"/>
      <c r="E1092" s="37">
        <v>41913</v>
      </c>
      <c r="F1092" s="40" t="s">
        <v>1141</v>
      </c>
      <c r="G1092" s="467" t="s">
        <v>846</v>
      </c>
      <c r="H1092" s="7" t="s">
        <v>1140</v>
      </c>
      <c r="I1092" s="256"/>
      <c r="J1092" s="256"/>
      <c r="K1092" s="568">
        <v>19800000</v>
      </c>
      <c r="L1092" s="39" t="s">
        <v>161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90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821">
        <v>4</v>
      </c>
    </row>
    <row r="1093" spans="1:29" s="211" customFormat="1" ht="15.75" hidden="1" customHeight="1">
      <c r="A1093" s="204">
        <f>IF(B1093&lt;&gt;"",IF(AND(B1093&gt;=_TM1,B1093&lt;=_TM2,OR(TH!L1093="1111",TH!M1093="1111")),TH!D1093,""),"")</f>
        <v>0</v>
      </c>
      <c r="B1093" s="36">
        <f t="shared" si="70"/>
        <v>10</v>
      </c>
      <c r="C1093" s="37">
        <f t="shared" si="71"/>
        <v>41914</v>
      </c>
      <c r="D1093" s="37"/>
      <c r="E1093" s="37">
        <v>41914</v>
      </c>
      <c r="F1093" s="40" t="s">
        <v>1141</v>
      </c>
      <c r="G1093" s="467" t="s">
        <v>848</v>
      </c>
      <c r="H1093" s="7" t="s">
        <v>1140</v>
      </c>
      <c r="I1093" s="256"/>
      <c r="J1093" s="256"/>
      <c r="K1093" s="568">
        <v>19800000</v>
      </c>
      <c r="L1093" s="39" t="s">
        <v>161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90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821">
        <v>4</v>
      </c>
    </row>
    <row r="1094" spans="1:29" s="211" customFormat="1" ht="15.75" hidden="1" customHeight="1">
      <c r="A1094" s="204">
        <f>IF(B1094&lt;&gt;"",IF(AND(B1094&gt;=_TM1,B1094&lt;=_TM2,OR(TH!L1094="1111",TH!M1094="1111")),TH!D1094,""),"")</f>
        <v>0</v>
      </c>
      <c r="B1094" s="36">
        <f t="shared" si="70"/>
        <v>10</v>
      </c>
      <c r="C1094" s="191">
        <f t="shared" si="71"/>
        <v>41919</v>
      </c>
      <c r="D1094" s="191"/>
      <c r="E1094" s="37">
        <v>41919</v>
      </c>
      <c r="F1094" s="189" t="s">
        <v>1051</v>
      </c>
      <c r="G1094" s="467" t="s">
        <v>1049</v>
      </c>
      <c r="H1094" s="7" t="s">
        <v>1050</v>
      </c>
      <c r="I1094" s="756"/>
      <c r="J1094" s="756"/>
      <c r="K1094" s="568">
        <v>1750000</v>
      </c>
      <c r="L1094" s="39" t="s">
        <v>161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90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821">
        <v>4</v>
      </c>
    </row>
    <row r="1095" spans="1:29" s="211" customFormat="1" ht="15.75" hidden="1" customHeight="1">
      <c r="A1095" s="204">
        <f>IF(B1095&lt;&gt;"",IF(AND(B1095&gt;=_TM1,B1095&lt;=_TM2,OR(TH!L1095="1111",TH!M1095="1111")),TH!D1095,""),"")</f>
        <v>0</v>
      </c>
      <c r="B1095" s="36">
        <f t="shared" si="70"/>
        <v>10</v>
      </c>
      <c r="C1095" s="191">
        <f t="shared" si="71"/>
        <v>41919</v>
      </c>
      <c r="D1095" s="191"/>
      <c r="E1095" s="37">
        <v>41919</v>
      </c>
      <c r="F1095" s="189" t="s">
        <v>1052</v>
      </c>
      <c r="G1095" s="467" t="s">
        <v>1049</v>
      </c>
      <c r="H1095" s="7" t="s">
        <v>1050</v>
      </c>
      <c r="I1095" s="756"/>
      <c r="J1095" s="756"/>
      <c r="K1095" s="568">
        <v>175000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90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821">
        <v>4</v>
      </c>
    </row>
    <row r="1096" spans="1:29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70"/>
        <v>10</v>
      </c>
      <c r="C1096" s="191">
        <f t="shared" si="71"/>
        <v>41922</v>
      </c>
      <c r="D1096" s="191" t="s">
        <v>1222</v>
      </c>
      <c r="E1096" s="37">
        <v>41922</v>
      </c>
      <c r="F1096" s="189" t="s">
        <v>351</v>
      </c>
      <c r="G1096" s="467" t="s">
        <v>495</v>
      </c>
      <c r="H1096" s="7" t="s">
        <v>1053</v>
      </c>
      <c r="I1096" s="756">
        <v>150</v>
      </c>
      <c r="J1096" s="756">
        <v>20454</v>
      </c>
      <c r="K1096" s="568">
        <f>ROUND(I1096*J1096,0)</f>
        <v>3068100</v>
      </c>
      <c r="L1096" s="39" t="s">
        <v>161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90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>x</v>
      </c>
      <c r="AA1096" s="52" t="str">
        <f>IF(AND(B1096&lt;=NKC!$N$8,B1096&gt;=NKC!$M$8),"x","")</f>
        <v/>
      </c>
      <c r="AB1096" s="821">
        <v>4</v>
      </c>
      <c r="AC1096" s="211" t="str">
        <f>IF(H1096=VLOOKUP(H1096,DSKH,1,0),"","x")</f>
        <v/>
      </c>
    </row>
    <row r="1097" spans="1:29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70"/>
        <v>10</v>
      </c>
      <c r="C1097" s="191">
        <f t="shared" si="71"/>
        <v>41922</v>
      </c>
      <c r="D1097" s="191" t="s">
        <v>1222</v>
      </c>
      <c r="E1097" s="37">
        <v>41922</v>
      </c>
      <c r="F1097" s="296" t="s">
        <v>1054</v>
      </c>
      <c r="G1097" s="467" t="s">
        <v>495</v>
      </c>
      <c r="H1097" s="7" t="s">
        <v>1053</v>
      </c>
      <c r="I1097" s="756"/>
      <c r="J1097" s="256"/>
      <c r="K1097" s="568">
        <v>306810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90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821">
        <v>4</v>
      </c>
      <c r="AC1097" s="211" t="str">
        <f>IF(H1097=VLOOKUP(H1097,DSKH,1,0),"","x")</f>
        <v/>
      </c>
    </row>
    <row r="1098" spans="1:29" s="211" customFormat="1" ht="15.75" customHeight="1">
      <c r="A1098" s="204">
        <f>IF(B1098&lt;&gt;"",IF(AND(B1098&gt;=_TM1,B1098&lt;=_TM2,OR(TH!L1098="1111",TH!M1098="1111")),TH!D1098,""),"")</f>
        <v>0</v>
      </c>
      <c r="B1098" s="36">
        <f t="shared" si="70"/>
        <v>10</v>
      </c>
      <c r="C1098" s="191">
        <f t="shared" si="71"/>
        <v>41922</v>
      </c>
      <c r="D1098" s="191"/>
      <c r="E1098" s="37">
        <v>41922</v>
      </c>
      <c r="F1098" s="296" t="s">
        <v>903</v>
      </c>
      <c r="G1098" s="467" t="s">
        <v>495</v>
      </c>
      <c r="H1098" s="7" t="s">
        <v>1053</v>
      </c>
      <c r="I1098" s="756"/>
      <c r="J1098" s="256"/>
      <c r="K1098" s="568">
        <v>3374910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90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821"/>
    </row>
    <row r="1099" spans="1:29" s="211" customFormat="1" ht="15.75" hidden="1" customHeight="1">
      <c r="A1099" s="204">
        <f>IF(B1099&lt;&gt;"",IF(AND(B1099&gt;=_TM1,B1099&lt;=_TM2,OR(TH!L1099="1111",TH!M1099="1111")),TH!D1099,""),"")</f>
        <v>0</v>
      </c>
      <c r="B1099" s="36">
        <f t="shared" si="70"/>
        <v>10</v>
      </c>
      <c r="C1099" s="191">
        <f t="shared" si="71"/>
        <v>41924</v>
      </c>
      <c r="D1099" s="191"/>
      <c r="E1099" s="37">
        <v>41924</v>
      </c>
      <c r="F1099" s="189" t="s">
        <v>1001</v>
      </c>
      <c r="G1099" s="468" t="s">
        <v>1069</v>
      </c>
      <c r="H1099" s="7" t="s">
        <v>1000</v>
      </c>
      <c r="I1099" s="256"/>
      <c r="J1099" s="256"/>
      <c r="K1099" s="568">
        <f>619595+152992+197907</f>
        <v>970494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90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>x</v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821">
        <v>4</v>
      </c>
    </row>
    <row r="1100" spans="1:29" s="211" customFormat="1" ht="15.75" hidden="1" customHeight="1">
      <c r="A1100" s="204">
        <f>IF(B1100&lt;&gt;"",IF(AND(B1100&gt;=_TM1,B1100&lt;=_TM2,OR(TH!L1100="1111",TH!M1100="1111")),TH!D1100,""),"")</f>
        <v>0</v>
      </c>
      <c r="B1100" s="36">
        <f t="shared" si="70"/>
        <v>10</v>
      </c>
      <c r="C1100" s="191">
        <f t="shared" si="71"/>
        <v>41924</v>
      </c>
      <c r="D1100" s="191"/>
      <c r="E1100" s="37">
        <v>41924</v>
      </c>
      <c r="F1100" s="189" t="s">
        <v>1002</v>
      </c>
      <c r="G1100" s="468" t="s">
        <v>1069</v>
      </c>
      <c r="H1100" s="7" t="s">
        <v>1000</v>
      </c>
      <c r="I1100" s="256"/>
      <c r="J1100" s="256"/>
      <c r="K1100" s="568">
        <f>61959+15299+19791</f>
        <v>97049</v>
      </c>
      <c r="L1100" s="849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90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821">
        <v>4</v>
      </c>
    </row>
    <row r="1101" spans="1:29" s="211" customFormat="1" ht="15.75" hidden="1" customHeight="1">
      <c r="A1101" s="204">
        <f>IF(B1101&lt;&gt;"",IF(AND(B1101&gt;=_TM1,B1101&lt;=_TM2,OR(TH!L1101="1111",TH!M1101="1111")),TH!D1101,""),"")</f>
        <v>0</v>
      </c>
      <c r="B1101" s="36">
        <f t="shared" si="70"/>
        <v>10</v>
      </c>
      <c r="C1101" s="191">
        <f t="shared" si="71"/>
        <v>41925</v>
      </c>
      <c r="D1101" s="191"/>
      <c r="E1101" s="37">
        <v>41925</v>
      </c>
      <c r="F1101" s="40" t="s">
        <v>1055</v>
      </c>
      <c r="G1101" s="467" t="s">
        <v>1057</v>
      </c>
      <c r="H1101" s="7" t="s">
        <v>1058</v>
      </c>
      <c r="I1101" s="756"/>
      <c r="J1101" s="756"/>
      <c r="K1101" s="568">
        <v>1800000</v>
      </c>
      <c r="L1101" s="39" t="s">
        <v>83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90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>x</v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821">
        <v>4</v>
      </c>
    </row>
    <row r="1102" spans="1:29" s="211" customFormat="1" ht="15.75" hidden="1" customHeight="1">
      <c r="A1102" s="204">
        <f>IF(B1102&lt;&gt;"",IF(AND(B1102&gt;=_TM1,B1102&lt;=_TM2,OR(TH!L1102="1111",TH!M1102="1111")),TH!D1102,""),"")</f>
        <v>0</v>
      </c>
      <c r="B1102" s="36">
        <f t="shared" si="70"/>
        <v>10</v>
      </c>
      <c r="C1102" s="191">
        <f t="shared" si="71"/>
        <v>41925</v>
      </c>
      <c r="D1102" s="191"/>
      <c r="E1102" s="37">
        <v>41925</v>
      </c>
      <c r="F1102" s="40" t="s">
        <v>1056</v>
      </c>
      <c r="G1102" s="467" t="s">
        <v>1057</v>
      </c>
      <c r="H1102" s="7" t="s">
        <v>1058</v>
      </c>
      <c r="I1102" s="756"/>
      <c r="J1102" s="756"/>
      <c r="K1102" s="568">
        <v>180000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90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821">
        <v>4</v>
      </c>
    </row>
    <row r="1103" spans="1:29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70"/>
        <v>10</v>
      </c>
      <c r="C1103" s="37">
        <f t="shared" si="71"/>
        <v>41928</v>
      </c>
      <c r="D1103" s="191" t="s">
        <v>1223</v>
      </c>
      <c r="E1103" s="37">
        <v>41928</v>
      </c>
      <c r="F1103" s="296" t="s">
        <v>1089</v>
      </c>
      <c r="G1103" s="467" t="s">
        <v>1129</v>
      </c>
      <c r="H1103" s="7" t="s">
        <v>1130</v>
      </c>
      <c r="I1103" s="256">
        <v>2160</v>
      </c>
      <c r="J1103" s="256">
        <v>7200</v>
      </c>
      <c r="K1103" s="568">
        <f>ROUND(I1103*J1103,0)</f>
        <v>15552000</v>
      </c>
      <c r="L1103" s="39" t="s">
        <v>159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90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821">
        <v>4</v>
      </c>
      <c r="AC1103" s="211" t="str">
        <f>IF(H1103=VLOOKUP(H1103,DSKH,1,0),"","x")</f>
        <v/>
      </c>
    </row>
    <row r="1104" spans="1:29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70"/>
        <v>10</v>
      </c>
      <c r="C1104" s="37">
        <f t="shared" si="71"/>
        <v>41928</v>
      </c>
      <c r="D1104" s="191" t="s">
        <v>1223</v>
      </c>
      <c r="E1104" s="37">
        <v>41928</v>
      </c>
      <c r="F1104" s="40" t="s">
        <v>1062</v>
      </c>
      <c r="G1104" s="467" t="s">
        <v>1129</v>
      </c>
      <c r="H1104" s="7" t="s">
        <v>1130</v>
      </c>
      <c r="I1104" s="256"/>
      <c r="J1104" s="256"/>
      <c r="K1104" s="568">
        <v>1555200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90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821">
        <v>4</v>
      </c>
      <c r="AC1104" s="211" t="str">
        <f>IF(H1104=VLOOKUP(H1104,DSKH,1,0),"","x")</f>
        <v/>
      </c>
    </row>
    <row r="1105" spans="1:31" s="211" customFormat="1" ht="15.75" hidden="1" customHeight="1">
      <c r="A1105" s="204">
        <f>IF(B1105&lt;&gt;"",IF(AND(B1105&gt;=_TM1,B1105&lt;=_TM2,OR(TH!L1105="1111",TH!M1105="1111")),TH!D1105,""),"")</f>
        <v>0</v>
      </c>
      <c r="B1105" s="36">
        <f t="shared" si="70"/>
        <v>10</v>
      </c>
      <c r="C1105" s="191">
        <f t="shared" si="71"/>
        <v>41936</v>
      </c>
      <c r="D1105" s="191"/>
      <c r="E1105" s="37">
        <v>41936</v>
      </c>
      <c r="F1105" s="192" t="s">
        <v>377</v>
      </c>
      <c r="G1105" s="468" t="s">
        <v>1059</v>
      </c>
      <c r="H1105" s="7" t="s">
        <v>1010</v>
      </c>
      <c r="I1105" s="256"/>
      <c r="J1105" s="256"/>
      <c r="K1105" s="568">
        <v>2260000</v>
      </c>
      <c r="L1105" s="39" t="s">
        <v>167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90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821">
        <v>4</v>
      </c>
    </row>
    <row r="1106" spans="1:31" s="211" customFormat="1" ht="15.75" hidden="1" customHeight="1">
      <c r="A1106" s="204">
        <f>IF(B1106&lt;&gt;"",IF(AND(B1106&gt;=_TM1,B1106&lt;=_TM2,OR(TH!L1106="1111",TH!M1106="1111")),TH!D1106,""),"")</f>
        <v>0</v>
      </c>
      <c r="B1106" s="36">
        <f t="shared" si="70"/>
        <v>10</v>
      </c>
      <c r="C1106" s="191">
        <f t="shared" si="71"/>
        <v>41936</v>
      </c>
      <c r="D1106" s="191"/>
      <c r="E1106" s="37">
        <v>41936</v>
      </c>
      <c r="F1106" s="192" t="s">
        <v>1011</v>
      </c>
      <c r="G1106" s="468" t="s">
        <v>1059</v>
      </c>
      <c r="H1106" s="7" t="s">
        <v>1010</v>
      </c>
      <c r="I1106" s="256"/>
      <c r="J1106" s="256"/>
      <c r="K1106" s="568">
        <v>226000</v>
      </c>
      <c r="L1106" s="39" t="s">
        <v>9</v>
      </c>
      <c r="M1106" s="39" t="s">
        <v>47</v>
      </c>
      <c r="N1106" s="52" t="str">
        <f>IF(AND('331-CT'!$E$7=TH!H1106,OR(L1106="331",M1106="331")),"331",IF(AND(OR(L1106="131",M1106="131"),H1106='131-CT'!$E$7),"131",""))</f>
        <v/>
      </c>
      <c r="O1106" s="90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821">
        <v>4</v>
      </c>
    </row>
    <row r="1107" spans="1:31" s="211" customFormat="1" ht="15.75" hidden="1" customHeight="1">
      <c r="A1107" s="204">
        <f>IF(B1107&lt;&gt;"",IF(AND(B1107&gt;=_TM1,B1107&lt;=_TM2,OR(TH!L1107="1111",TH!M1107="1111")),TH!D1107,""),"")</f>
        <v>0</v>
      </c>
      <c r="B1107" s="36">
        <f t="shared" si="70"/>
        <v>10</v>
      </c>
      <c r="C1107" s="191">
        <f t="shared" si="71"/>
        <v>41940</v>
      </c>
      <c r="D1107" s="191"/>
      <c r="E1107" s="37">
        <v>41940</v>
      </c>
      <c r="F1107" s="40" t="s">
        <v>1041</v>
      </c>
      <c r="G1107" s="467" t="s">
        <v>831</v>
      </c>
      <c r="H1107" s="7" t="s">
        <v>1060</v>
      </c>
      <c r="I1107" s="756"/>
      <c r="J1107" s="756"/>
      <c r="K1107" s="568">
        <v>788636</v>
      </c>
      <c r="L1107" s="39" t="s">
        <v>83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90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>x</v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821">
        <v>4</v>
      </c>
    </row>
    <row r="1108" spans="1:31" s="211" customFormat="1" ht="15.75" hidden="1" customHeight="1">
      <c r="A1108" s="204">
        <f>IF(B1108&lt;&gt;"",IF(AND(B1108&gt;=_TM1,B1108&lt;=_TM2,OR(TH!L1108="1111",TH!M1108="1111")),TH!D1108,""),"")</f>
        <v>0</v>
      </c>
      <c r="B1108" s="36">
        <f t="shared" si="70"/>
        <v>10</v>
      </c>
      <c r="C1108" s="191">
        <f t="shared" si="71"/>
        <v>41940</v>
      </c>
      <c r="D1108" s="191"/>
      <c r="E1108" s="37">
        <v>41940</v>
      </c>
      <c r="F1108" s="40" t="s">
        <v>1042</v>
      </c>
      <c r="G1108" s="467" t="s">
        <v>831</v>
      </c>
      <c r="H1108" s="7" t="s">
        <v>1060</v>
      </c>
      <c r="I1108" s="756"/>
      <c r="J1108" s="756"/>
      <c r="K1108" s="568">
        <v>78864</v>
      </c>
      <c r="L1108" s="39" t="s">
        <v>9</v>
      </c>
      <c r="M1108" s="39" t="s">
        <v>47</v>
      </c>
      <c r="N1108" s="52" t="str">
        <f>IF(AND('331-CT'!$E$7=TH!H1108,OR(L1108="331",M1108="331")),"331",IF(AND(OR(L1108="131",M1108="131"),H1108='131-CT'!$E$7),"131",""))</f>
        <v/>
      </c>
      <c r="O1108" s="90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821">
        <v>4</v>
      </c>
    </row>
    <row r="1109" spans="1:31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70"/>
        <v>10</v>
      </c>
      <c r="C1109" s="37">
        <f t="shared" si="71"/>
        <v>41941</v>
      </c>
      <c r="D1109" s="191" t="s">
        <v>1224</v>
      </c>
      <c r="E1109" s="37">
        <v>41941</v>
      </c>
      <c r="F1109" s="296" t="s">
        <v>1089</v>
      </c>
      <c r="G1109" s="467" t="s">
        <v>1131</v>
      </c>
      <c r="H1109" s="7" t="s">
        <v>1130</v>
      </c>
      <c r="I1109" s="256">
        <v>2342</v>
      </c>
      <c r="J1109" s="256">
        <v>7200</v>
      </c>
      <c r="K1109" s="568">
        <f>ROUND(I1109*J1109,0)</f>
        <v>16862400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90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821">
        <v>4</v>
      </c>
      <c r="AC1109" s="211" t="str">
        <f>IF(H1109=VLOOKUP(H1109,DSKH,1,0),"","x")</f>
        <v/>
      </c>
    </row>
    <row r="1110" spans="1:31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70"/>
        <v>10</v>
      </c>
      <c r="C1110" s="37">
        <f t="shared" si="71"/>
        <v>41941</v>
      </c>
      <c r="D1110" s="191" t="s">
        <v>1224</v>
      </c>
      <c r="E1110" s="37">
        <v>41941</v>
      </c>
      <c r="F1110" s="40" t="s">
        <v>1062</v>
      </c>
      <c r="G1110" s="467" t="s">
        <v>1131</v>
      </c>
      <c r="H1110" s="7" t="s">
        <v>1130</v>
      </c>
      <c r="I1110" s="256"/>
      <c r="J1110" s="256"/>
      <c r="K1110" s="568">
        <v>1686240</v>
      </c>
      <c r="L1110" s="39" t="s">
        <v>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90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821">
        <v>4</v>
      </c>
      <c r="AC1110" s="211" t="str">
        <f>IF(H1110=VLOOKUP(H1110,DSKH,1,0),"","x")</f>
        <v/>
      </c>
    </row>
    <row r="1111" spans="1:31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70"/>
        <v>10</v>
      </c>
      <c r="C1111" s="191">
        <f t="shared" si="71"/>
        <v>41943</v>
      </c>
      <c r="D1111" s="191" t="s">
        <v>1246</v>
      </c>
      <c r="E1111" s="37">
        <v>41943</v>
      </c>
      <c r="F1111" s="189" t="s">
        <v>330</v>
      </c>
      <c r="G1111" s="468" t="s">
        <v>1061</v>
      </c>
      <c r="H1111" s="7" t="s">
        <v>352</v>
      </c>
      <c r="I1111" s="256">
        <v>24</v>
      </c>
      <c r="J1111" s="256">
        <v>45000</v>
      </c>
      <c r="K1111" s="568">
        <f>ROUND(I1111*J1111,0)</f>
        <v>1080000</v>
      </c>
      <c r="L1111" s="39" t="s">
        <v>161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90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821">
        <v>4</v>
      </c>
      <c r="AC1111" s="211" t="str">
        <f>IF(H1111=VLOOKUP(H1111,DSKH,1,0),"","x")</f>
        <v/>
      </c>
    </row>
    <row r="1112" spans="1:31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70"/>
        <v>10</v>
      </c>
      <c r="C1112" s="191">
        <f t="shared" si="71"/>
        <v>41943</v>
      </c>
      <c r="D1112" s="191" t="s">
        <v>1246</v>
      </c>
      <c r="E1112" s="37">
        <v>41943</v>
      </c>
      <c r="F1112" s="189" t="s">
        <v>1020</v>
      </c>
      <c r="G1112" s="468" t="s">
        <v>1061</v>
      </c>
      <c r="H1112" s="7" t="s">
        <v>352</v>
      </c>
      <c r="I1112" s="256"/>
      <c r="J1112" s="256"/>
      <c r="K1112" s="568">
        <v>108000</v>
      </c>
      <c r="L1112" s="39" t="s">
        <v>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90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821">
        <v>4</v>
      </c>
      <c r="AC1112" s="211" t="str">
        <f>IF(H1112=VLOOKUP(H1112,DSKH,1,0),"","x")</f>
        <v/>
      </c>
    </row>
    <row r="1113" spans="1:31" s="211" customFormat="1" ht="15.75" customHeight="1">
      <c r="A1113" s="204">
        <f>IF(B1113&lt;&gt;"",IF(AND(B1113&gt;=_TM1,B1113&lt;=_TM2,OR(TH!L1113="1111",TH!M1113="1111")),TH!D1113,""),"")</f>
        <v>0</v>
      </c>
      <c r="B1113" s="36">
        <f t="shared" si="70"/>
        <v>10</v>
      </c>
      <c r="C1113" s="191">
        <f t="shared" si="71"/>
        <v>41943</v>
      </c>
      <c r="D1113" s="191"/>
      <c r="E1113" s="37">
        <v>41943</v>
      </c>
      <c r="F1113" s="189" t="s">
        <v>903</v>
      </c>
      <c r="G1113" s="468" t="s">
        <v>1061</v>
      </c>
      <c r="H1113" s="7" t="s">
        <v>352</v>
      </c>
      <c r="I1113" s="256"/>
      <c r="J1113" s="256"/>
      <c r="K1113" s="568">
        <v>1188000</v>
      </c>
      <c r="L1113" s="39" t="s">
        <v>8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90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821"/>
    </row>
    <row r="1114" spans="1:31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70"/>
        <v>11</v>
      </c>
      <c r="C1114" s="191">
        <f t="shared" si="71"/>
        <v>41946</v>
      </c>
      <c r="D1114" s="191" t="s">
        <v>1225</v>
      </c>
      <c r="E1114" s="37">
        <v>41946</v>
      </c>
      <c r="F1114" s="296" t="s">
        <v>1089</v>
      </c>
      <c r="G1114" s="467" t="s">
        <v>669</v>
      </c>
      <c r="H1114" s="7" t="s">
        <v>1063</v>
      </c>
      <c r="I1114" s="756">
        <v>2300</v>
      </c>
      <c r="J1114" s="756">
        <v>7800</v>
      </c>
      <c r="K1114" s="568">
        <f>ROUND(I1114*J1114,0)</f>
        <v>17940000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90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821">
        <v>4</v>
      </c>
      <c r="AC1114" s="211" t="str">
        <f>IF(H1114=VLOOKUP(H1114,DSKH,1,0),"","x")</f>
        <v/>
      </c>
    </row>
    <row r="1115" spans="1:31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ref="B1115:B1158" si="74">IF(C1115&lt;&gt;"",MONTH(C1115),"")</f>
        <v>11</v>
      </c>
      <c r="C1115" s="191">
        <f t="shared" ref="C1115:C1158" si="75">E1115</f>
        <v>41946</v>
      </c>
      <c r="D1115" s="191" t="s">
        <v>1225</v>
      </c>
      <c r="E1115" s="37">
        <v>41946</v>
      </c>
      <c r="F1115" s="296" t="s">
        <v>1062</v>
      </c>
      <c r="G1115" s="467" t="s">
        <v>669</v>
      </c>
      <c r="H1115" s="7" t="s">
        <v>1063</v>
      </c>
      <c r="I1115" s="756"/>
      <c r="J1115" s="756"/>
      <c r="K1115" s="568">
        <v>1794000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90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821">
        <v>4</v>
      </c>
      <c r="AC1115" s="211" t="str">
        <f>IF(H1115=VLOOKUP(H1115,DSKH,1,0),"","x")</f>
        <v/>
      </c>
    </row>
    <row r="1116" spans="1:31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74"/>
        <v>11</v>
      </c>
      <c r="C1116" s="37">
        <f t="shared" si="75"/>
        <v>41949</v>
      </c>
      <c r="D1116" s="191" t="s">
        <v>1226</v>
      </c>
      <c r="E1116" s="829">
        <v>41949</v>
      </c>
      <c r="F1116" s="296" t="s">
        <v>1089</v>
      </c>
      <c r="G1116" s="467" t="s">
        <v>681</v>
      </c>
      <c r="H1116" s="7" t="s">
        <v>1063</v>
      </c>
      <c r="I1116" s="256">
        <v>2220</v>
      </c>
      <c r="J1116" s="256">
        <v>7800</v>
      </c>
      <c r="K1116" s="568">
        <f>ROUND(I1116*J1116,0)</f>
        <v>17316000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90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821">
        <v>4</v>
      </c>
      <c r="AC1116" s="211" t="str">
        <f>IF(H1116=VLOOKUP(H1116,DSKH,1,0),"","x")</f>
        <v/>
      </c>
    </row>
    <row r="1117" spans="1:31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74"/>
        <v>11</v>
      </c>
      <c r="C1117" s="37">
        <f t="shared" si="75"/>
        <v>41949</v>
      </c>
      <c r="D1117" s="191" t="s">
        <v>1226</v>
      </c>
      <c r="E1117" s="829">
        <v>41949</v>
      </c>
      <c r="F1117" s="40" t="s">
        <v>1062</v>
      </c>
      <c r="G1117" s="467" t="s">
        <v>681</v>
      </c>
      <c r="H1117" s="7" t="s">
        <v>1063</v>
      </c>
      <c r="I1117" s="256"/>
      <c r="J1117" s="256"/>
      <c r="K1117" s="568">
        <v>1731600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90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821">
        <v>4</v>
      </c>
      <c r="AC1117" s="211" t="str">
        <f>IF(H1117=VLOOKUP(H1117,DSKH,1,0),"","x")</f>
        <v/>
      </c>
    </row>
    <row r="1118" spans="1:31" s="211" customFormat="1" ht="15.75" hidden="1" customHeight="1">
      <c r="A1118" s="204">
        <f>IF(B1118&lt;&gt;"",IF(AND(B1118&gt;=_TM1,B1118&lt;=_TM2,OR(TH!L1118="1111",TH!M1118="1111")),TH!D1118,""),"")</f>
        <v>0</v>
      </c>
      <c r="B1118" s="36">
        <f t="shared" si="74"/>
        <v>11</v>
      </c>
      <c r="C1118" s="191">
        <f t="shared" si="75"/>
        <v>41950</v>
      </c>
      <c r="D1118" s="191"/>
      <c r="E1118" s="37">
        <v>41950</v>
      </c>
      <c r="F1118" s="189" t="s">
        <v>1001</v>
      </c>
      <c r="G1118" s="468" t="s">
        <v>1070</v>
      </c>
      <c r="H1118" s="7" t="s">
        <v>1000</v>
      </c>
      <c r="I1118" s="256"/>
      <c r="J1118" s="256"/>
      <c r="K1118" s="568">
        <f>205000+818930+139022</f>
        <v>1162952</v>
      </c>
      <c r="L1118" s="39" t="s">
        <v>83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90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>x</v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821"/>
    </row>
    <row r="1119" spans="1:31" s="211" customFormat="1" ht="15.75" hidden="1" customHeight="1">
      <c r="A1119" s="204">
        <f>IF(B1119&lt;&gt;"",IF(AND(B1119&gt;=_TM1,B1119&lt;=_TM2,OR(TH!L1119="1111",TH!M1119="1111")),TH!D1119,""),"")</f>
        <v>0</v>
      </c>
      <c r="B1119" s="36">
        <f t="shared" si="74"/>
        <v>11</v>
      </c>
      <c r="C1119" s="191">
        <f t="shared" si="75"/>
        <v>41950</v>
      </c>
      <c r="D1119" s="184"/>
      <c r="E1119" s="37">
        <v>41950</v>
      </c>
      <c r="F1119" s="189" t="s">
        <v>1002</v>
      </c>
      <c r="G1119" s="468" t="s">
        <v>1070</v>
      </c>
      <c r="H1119" s="7" t="s">
        <v>1000</v>
      </c>
      <c r="I1119" s="256"/>
      <c r="J1119" s="256"/>
      <c r="K1119" s="568">
        <f>20500+81893+13901</f>
        <v>116294</v>
      </c>
      <c r="L1119" s="849" t="s">
        <v>9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90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821">
        <v>4</v>
      </c>
      <c r="AC1119" s="560"/>
      <c r="AD1119" s="560"/>
      <c r="AE1119" s="560"/>
    </row>
    <row r="1120" spans="1:31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74"/>
        <v>11</v>
      </c>
      <c r="C1120" s="37">
        <f t="shared" si="75"/>
        <v>41951</v>
      </c>
      <c r="D1120" s="191" t="s">
        <v>1227</v>
      </c>
      <c r="E1120" s="37">
        <v>41951</v>
      </c>
      <c r="F1120" s="296" t="s">
        <v>1089</v>
      </c>
      <c r="G1120" s="467" t="s">
        <v>687</v>
      </c>
      <c r="H1120" s="7" t="s">
        <v>1063</v>
      </c>
      <c r="I1120" s="256">
        <v>1850</v>
      </c>
      <c r="J1120" s="256">
        <v>7800</v>
      </c>
      <c r="K1120" s="568">
        <f>ROUND(I1120*J1120,0)</f>
        <v>14430000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90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821">
        <v>4</v>
      </c>
      <c r="AC1120" s="211" t="str">
        <f>IF(H1120=VLOOKUP(H1120,DSKH,1,0),"","x")</f>
        <v/>
      </c>
    </row>
    <row r="1121" spans="1:29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74"/>
        <v>11</v>
      </c>
      <c r="C1121" s="37">
        <f t="shared" si="75"/>
        <v>41951</v>
      </c>
      <c r="D1121" s="191" t="s">
        <v>1227</v>
      </c>
      <c r="E1121" s="37">
        <v>41951</v>
      </c>
      <c r="F1121" s="40" t="s">
        <v>1062</v>
      </c>
      <c r="G1121" s="467" t="s">
        <v>687</v>
      </c>
      <c r="H1121" s="7" t="s">
        <v>1063</v>
      </c>
      <c r="I1121" s="256"/>
      <c r="J1121" s="256"/>
      <c r="K1121" s="568">
        <v>1443000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90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821">
        <v>4</v>
      </c>
      <c r="AC1121" s="211" t="str">
        <f>IF(H1121=VLOOKUP(H1121,DSKH,1,0),"","x")</f>
        <v/>
      </c>
    </row>
    <row r="1122" spans="1:29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74"/>
        <v>11</v>
      </c>
      <c r="C1122" s="191">
        <f t="shared" si="75"/>
        <v>41952</v>
      </c>
      <c r="D1122" s="191" t="s">
        <v>1247</v>
      </c>
      <c r="E1122" s="37">
        <v>41952</v>
      </c>
      <c r="F1122" s="189" t="s">
        <v>1065</v>
      </c>
      <c r="G1122" s="467" t="s">
        <v>606</v>
      </c>
      <c r="H1122" s="7" t="s">
        <v>1064</v>
      </c>
      <c r="I1122" s="756">
        <v>1500</v>
      </c>
      <c r="J1122" s="756">
        <v>9800</v>
      </c>
      <c r="K1122" s="568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90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821">
        <v>4</v>
      </c>
      <c r="AC1122" s="211" t="str">
        <f>IF(H1122=VLOOKUP(H1122,DSKH,1,0),"","x")</f>
        <v/>
      </c>
    </row>
    <row r="1123" spans="1:29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74"/>
        <v>11</v>
      </c>
      <c r="C1123" s="191">
        <f t="shared" si="75"/>
        <v>41952</v>
      </c>
      <c r="D1123" s="191" t="s">
        <v>1247</v>
      </c>
      <c r="E1123" s="37">
        <v>41952</v>
      </c>
      <c r="F1123" s="189" t="s">
        <v>1066</v>
      </c>
      <c r="G1123" s="467" t="s">
        <v>606</v>
      </c>
      <c r="H1123" s="7" t="s">
        <v>1064</v>
      </c>
      <c r="I1123" s="756"/>
      <c r="J1123" s="756"/>
      <c r="K1123" s="568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90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821">
        <v>4</v>
      </c>
      <c r="AC1123" s="211" t="str">
        <f>IF(H1123=VLOOKUP(H1123,DSKH,1,0),"","x")</f>
        <v/>
      </c>
    </row>
    <row r="1124" spans="1:29" s="211" customFormat="1" ht="15.75" customHeight="1">
      <c r="A1124" s="204">
        <f>IF(B1124&lt;&gt;"",IF(AND(B1124&gt;=_TM1,B1124&lt;=_TM2,OR(TH!L1124="1111",TH!M1124="1111")),TH!D1124,""),"")</f>
        <v>0</v>
      </c>
      <c r="B1124" s="36">
        <f t="shared" si="74"/>
        <v>11</v>
      </c>
      <c r="C1124" s="191">
        <f t="shared" si="75"/>
        <v>41952</v>
      </c>
      <c r="D1124" s="191"/>
      <c r="E1124" s="37">
        <v>41952</v>
      </c>
      <c r="F1124" s="189" t="s">
        <v>903</v>
      </c>
      <c r="G1124" s="467" t="s">
        <v>606</v>
      </c>
      <c r="H1124" s="7" t="s">
        <v>1064</v>
      </c>
      <c r="I1124" s="756"/>
      <c r="J1124" s="756"/>
      <c r="K1124" s="568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90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821"/>
    </row>
    <row r="1125" spans="1:29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74"/>
        <v>11</v>
      </c>
      <c r="C1125" s="191">
        <f t="shared" si="75"/>
        <v>41953</v>
      </c>
      <c r="D1125" s="191" t="s">
        <v>1248</v>
      </c>
      <c r="E1125" s="37">
        <v>41953</v>
      </c>
      <c r="F1125" s="189" t="s">
        <v>1065</v>
      </c>
      <c r="G1125" s="467" t="s">
        <v>608</v>
      </c>
      <c r="H1125" s="7" t="s">
        <v>1064</v>
      </c>
      <c r="I1125" s="756">
        <v>1500</v>
      </c>
      <c r="J1125" s="756">
        <v>9800</v>
      </c>
      <c r="K1125" s="568">
        <f>ROUND(I1125*J1125,0)</f>
        <v>14700000</v>
      </c>
      <c r="L1125" s="39" t="s">
        <v>161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90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821">
        <v>4</v>
      </c>
      <c r="AC1125" s="211" t="str">
        <f>IF(H1125=VLOOKUP(H1125,DSKH,1,0),"","x")</f>
        <v/>
      </c>
    </row>
    <row r="1126" spans="1:29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74"/>
        <v>11</v>
      </c>
      <c r="C1126" s="191">
        <f t="shared" si="75"/>
        <v>41953</v>
      </c>
      <c r="D1126" s="191" t="s">
        <v>1248</v>
      </c>
      <c r="E1126" s="37">
        <v>41953</v>
      </c>
      <c r="F1126" s="189" t="s">
        <v>1066</v>
      </c>
      <c r="G1126" s="467" t="s">
        <v>608</v>
      </c>
      <c r="H1126" s="7" t="s">
        <v>1064</v>
      </c>
      <c r="I1126" s="756"/>
      <c r="J1126" s="756"/>
      <c r="K1126" s="568">
        <v>1470000</v>
      </c>
      <c r="L1126" s="39" t="s">
        <v>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90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821">
        <v>4</v>
      </c>
      <c r="AC1126" s="211" t="str">
        <f>IF(H1126=VLOOKUP(H1126,DSKH,1,0),"","x")</f>
        <v/>
      </c>
    </row>
    <row r="1127" spans="1:29" s="211" customFormat="1" ht="15.75" customHeight="1">
      <c r="A1127" s="204">
        <f>IF(B1127&lt;&gt;"",IF(AND(B1127&gt;=_TM1,B1127&lt;=_TM2,OR(TH!L1127="1111",TH!M1127="1111")),TH!D1127,""),"")</f>
        <v>0</v>
      </c>
      <c r="B1127" s="36">
        <f t="shared" si="74"/>
        <v>11</v>
      </c>
      <c r="C1127" s="191">
        <f t="shared" si="75"/>
        <v>41953</v>
      </c>
      <c r="D1127" s="191"/>
      <c r="E1127" s="37">
        <v>41953</v>
      </c>
      <c r="F1127" s="189" t="s">
        <v>903</v>
      </c>
      <c r="G1127" s="467" t="s">
        <v>608</v>
      </c>
      <c r="H1127" s="7" t="s">
        <v>1064</v>
      </c>
      <c r="I1127" s="756"/>
      <c r="J1127" s="756"/>
      <c r="K1127" s="568">
        <v>16170000</v>
      </c>
      <c r="L1127" s="39" t="s">
        <v>8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90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821"/>
    </row>
    <row r="1128" spans="1:29" s="211" customFormat="1" ht="15.75" hidden="1" customHeight="1">
      <c r="A1128" s="204">
        <f>IF(B1128&lt;&gt;"",IF(AND(B1128&gt;=_TM1,B1128&lt;=_TM2,OR(TH!L1128="1111",TH!M1128="1111")),TH!D1128,""),"")</f>
        <v>0</v>
      </c>
      <c r="B1128" s="36">
        <f t="shared" si="74"/>
        <v>11</v>
      </c>
      <c r="C1128" s="191">
        <f t="shared" si="75"/>
        <v>41954</v>
      </c>
      <c r="D1128" s="191"/>
      <c r="E1128" s="37">
        <v>41954</v>
      </c>
      <c r="F1128" s="189" t="s">
        <v>1001</v>
      </c>
      <c r="G1128" s="468" t="s">
        <v>1067</v>
      </c>
      <c r="H1128" s="7" t="s">
        <v>1000</v>
      </c>
      <c r="I1128" s="256"/>
      <c r="J1128" s="256"/>
      <c r="K1128" s="568">
        <f>136364</f>
        <v>136364</v>
      </c>
      <c r="L1128" s="39" t="s">
        <v>83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90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>x</v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821">
        <v>4</v>
      </c>
    </row>
    <row r="1129" spans="1:29" s="211" customFormat="1" ht="15.75" hidden="1" customHeight="1">
      <c r="A1129" s="204">
        <f>IF(B1129&lt;&gt;"",IF(AND(B1129&gt;=_TM1,B1129&lt;=_TM2,OR(TH!L1129="1111",TH!M1129="1111")),TH!D1129,""),"")</f>
        <v>0</v>
      </c>
      <c r="B1129" s="36">
        <f t="shared" si="74"/>
        <v>11</v>
      </c>
      <c r="C1129" s="191">
        <f t="shared" si="75"/>
        <v>41954</v>
      </c>
      <c r="D1129" s="191"/>
      <c r="E1129" s="37">
        <v>41954</v>
      </c>
      <c r="F1129" s="189" t="s">
        <v>1002</v>
      </c>
      <c r="G1129" s="468" t="s">
        <v>1067</v>
      </c>
      <c r="H1129" s="7" t="s">
        <v>1000</v>
      </c>
      <c r="I1129" s="256"/>
      <c r="J1129" s="256"/>
      <c r="K1129" s="568">
        <f>13636</f>
        <v>13636</v>
      </c>
      <c r="L1129" s="39" t="s">
        <v>9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90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821">
        <v>4</v>
      </c>
    </row>
    <row r="1130" spans="1:29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74"/>
        <v>11</v>
      </c>
      <c r="C1130" s="37">
        <f t="shared" si="75"/>
        <v>41957</v>
      </c>
      <c r="D1130" s="191" t="s">
        <v>1249</v>
      </c>
      <c r="E1130" s="37">
        <v>41957</v>
      </c>
      <c r="F1130" s="189" t="s">
        <v>351</v>
      </c>
      <c r="G1130" s="467" t="s">
        <v>1142</v>
      </c>
      <c r="H1130" s="7" t="s">
        <v>1143</v>
      </c>
      <c r="I1130" s="256">
        <v>100</v>
      </c>
      <c r="J1130" s="256">
        <v>21000</v>
      </c>
      <c r="K1130" s="568">
        <f>ROUND(I1130*J1130,0)</f>
        <v>2100000</v>
      </c>
      <c r="L1130" s="39" t="s">
        <v>161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90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>x</v>
      </c>
      <c r="AA1130" s="52" t="str">
        <f>IF(AND(B1130&lt;=NKC!$N$8,B1130&gt;=NKC!$M$8),"x","")</f>
        <v/>
      </c>
      <c r="AB1130" s="821">
        <v>4</v>
      </c>
      <c r="AC1130" s="211" t="str">
        <f>IF(H1130=VLOOKUP(H1130,DSKH,1,0),"","x")</f>
        <v/>
      </c>
    </row>
    <row r="1131" spans="1:29" s="211" customFormat="1" ht="15.75" customHeight="1">
      <c r="A1131" s="204" t="str">
        <f>IF(B1131&lt;&gt;"",IF(AND(B1131&gt;=_TM1,B1131&lt;=_TM2,OR(TH!L1131="1111",TH!M1131="1111")),TH!D1131,""),"")</f>
        <v>VL/N05</v>
      </c>
      <c r="B1131" s="36">
        <f t="shared" si="74"/>
        <v>11</v>
      </c>
      <c r="C1131" s="37">
        <f t="shared" si="75"/>
        <v>41957</v>
      </c>
      <c r="D1131" s="191" t="s">
        <v>1249</v>
      </c>
      <c r="E1131" s="37">
        <v>41957</v>
      </c>
      <c r="F1131" s="189" t="s">
        <v>903</v>
      </c>
      <c r="G1131" s="467" t="s">
        <v>1142</v>
      </c>
      <c r="H1131" s="7" t="s">
        <v>1143</v>
      </c>
      <c r="I1131" s="256"/>
      <c r="J1131" s="256"/>
      <c r="K1131" s="568">
        <v>2100000</v>
      </c>
      <c r="L1131" s="39" t="s">
        <v>8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90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821"/>
    </row>
    <row r="1132" spans="1:29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74"/>
        <v>11</v>
      </c>
      <c r="C1132" s="37">
        <f t="shared" si="75"/>
        <v>41963</v>
      </c>
      <c r="D1132" s="191" t="s">
        <v>1228</v>
      </c>
      <c r="E1132" s="37">
        <v>41963</v>
      </c>
      <c r="F1132" s="296" t="s">
        <v>1089</v>
      </c>
      <c r="G1132" s="467" t="s">
        <v>712</v>
      </c>
      <c r="H1132" s="7" t="s">
        <v>1063</v>
      </c>
      <c r="I1132" s="256">
        <v>17859</v>
      </c>
      <c r="J1132" s="256">
        <v>7800</v>
      </c>
      <c r="K1132" s="568">
        <f>ROUND(I1132*J1132,0)</f>
        <v>139300200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90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821">
        <v>4</v>
      </c>
      <c r="AC1132" s="211" t="str">
        <f t="shared" ref="AC1132:AC1137" si="76">IF(H1132=VLOOKUP(H1132,DSKH,1,0),"","x")</f>
        <v/>
      </c>
    </row>
    <row r="1133" spans="1:29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74"/>
        <v>11</v>
      </c>
      <c r="C1133" s="37">
        <f t="shared" si="75"/>
        <v>41963</v>
      </c>
      <c r="D1133" s="191" t="s">
        <v>1228</v>
      </c>
      <c r="E1133" s="37">
        <v>41963</v>
      </c>
      <c r="F1133" s="40" t="s">
        <v>1062</v>
      </c>
      <c r="G1133" s="467" t="s">
        <v>712</v>
      </c>
      <c r="H1133" s="7" t="s">
        <v>1063</v>
      </c>
      <c r="I1133" s="256"/>
      <c r="J1133" s="256"/>
      <c r="K1133" s="568">
        <v>13930020</v>
      </c>
      <c r="L1133" s="39" t="s">
        <v>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90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821">
        <v>4</v>
      </c>
      <c r="AC1133" s="211" t="str">
        <f t="shared" si="76"/>
        <v/>
      </c>
    </row>
    <row r="1134" spans="1:29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74"/>
        <v>12</v>
      </c>
      <c r="C1134" s="37">
        <f t="shared" si="75"/>
        <v>41977</v>
      </c>
      <c r="D1134" s="191" t="s">
        <v>1229</v>
      </c>
      <c r="E1134" s="37">
        <v>41977</v>
      </c>
      <c r="F1134" s="296" t="s">
        <v>1089</v>
      </c>
      <c r="G1134" s="467" t="s">
        <v>1132</v>
      </c>
      <c r="H1134" s="7" t="s">
        <v>1130</v>
      </c>
      <c r="I1134" s="256">
        <v>2322</v>
      </c>
      <c r="J1134" s="256">
        <v>7300</v>
      </c>
      <c r="K1134" s="568">
        <f>ROUND(I1134*J1134,0)</f>
        <v>16950600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90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821">
        <v>4</v>
      </c>
      <c r="AC1134" s="211" t="str">
        <f t="shared" si="76"/>
        <v/>
      </c>
    </row>
    <row r="1135" spans="1:29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74"/>
        <v>12</v>
      </c>
      <c r="C1135" s="37">
        <f t="shared" si="75"/>
        <v>41977</v>
      </c>
      <c r="D1135" s="191" t="s">
        <v>1229</v>
      </c>
      <c r="E1135" s="37">
        <v>41977</v>
      </c>
      <c r="F1135" s="40" t="s">
        <v>1062</v>
      </c>
      <c r="G1135" s="467" t="s">
        <v>1132</v>
      </c>
      <c r="H1135" s="7" t="s">
        <v>1130</v>
      </c>
      <c r="I1135" s="256"/>
      <c r="J1135" s="256"/>
      <c r="K1135" s="568">
        <v>1695060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90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821">
        <v>4</v>
      </c>
      <c r="AC1135" s="211" t="str">
        <f t="shared" si="76"/>
        <v/>
      </c>
    </row>
    <row r="1136" spans="1:29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74"/>
        <v>12</v>
      </c>
      <c r="C1136" s="37">
        <f t="shared" si="75"/>
        <v>41982</v>
      </c>
      <c r="D1136" s="191" t="s">
        <v>1230</v>
      </c>
      <c r="E1136" s="184">
        <v>41982</v>
      </c>
      <c r="F1136" s="296" t="s">
        <v>1089</v>
      </c>
      <c r="G1136" s="628" t="s">
        <v>1133</v>
      </c>
      <c r="H1136" s="7" t="s">
        <v>1130</v>
      </c>
      <c r="I1136" s="256">
        <v>2399</v>
      </c>
      <c r="J1136" s="256">
        <v>7300</v>
      </c>
      <c r="K1136" s="568">
        <f>ROUND(I1136*J1136,0)</f>
        <v>17512700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90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821">
        <v>4</v>
      </c>
      <c r="AC1136" s="211" t="str">
        <f t="shared" si="76"/>
        <v/>
      </c>
    </row>
    <row r="1137" spans="1:31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74"/>
        <v>12</v>
      </c>
      <c r="C1137" s="37">
        <f t="shared" si="75"/>
        <v>41982</v>
      </c>
      <c r="D1137" s="191" t="s">
        <v>1230</v>
      </c>
      <c r="E1137" s="184">
        <v>41982</v>
      </c>
      <c r="F1137" s="40" t="s">
        <v>1062</v>
      </c>
      <c r="G1137" s="628" t="s">
        <v>1133</v>
      </c>
      <c r="H1137" s="7" t="s">
        <v>1130</v>
      </c>
      <c r="I1137" s="256"/>
      <c r="J1137" s="256"/>
      <c r="K1137" s="568">
        <v>1751270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90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821">
        <v>4</v>
      </c>
      <c r="AC1137" s="211" t="str">
        <f t="shared" si="76"/>
        <v/>
      </c>
    </row>
    <row r="1138" spans="1:31" s="211" customFormat="1" ht="15.75" hidden="1" customHeight="1">
      <c r="A1138" s="204">
        <f>IF(B1138&lt;&gt;"",IF(AND(B1138&gt;=_TM1,B1138&lt;=_TM2,OR(TH!L1138="1111",TH!M1138="1111")),TH!D1138,""),"")</f>
        <v>0</v>
      </c>
      <c r="B1138" s="36">
        <f t="shared" si="74"/>
        <v>12</v>
      </c>
      <c r="C1138" s="191">
        <f t="shared" si="75"/>
        <v>41983</v>
      </c>
      <c r="D1138" s="184"/>
      <c r="E1138" s="191">
        <v>41983</v>
      </c>
      <c r="F1138" s="189" t="s">
        <v>1001</v>
      </c>
      <c r="G1138" s="468" t="s">
        <v>1071</v>
      </c>
      <c r="H1138" s="7" t="s">
        <v>1000</v>
      </c>
      <c r="I1138" s="256"/>
      <c r="J1138" s="256"/>
      <c r="K1138" s="568">
        <f>212092+275198+446313</f>
        <v>933603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90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>x</v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821">
        <v>4</v>
      </c>
      <c r="AC1138" s="560"/>
      <c r="AD1138" s="560"/>
      <c r="AE1138" s="560"/>
    </row>
    <row r="1139" spans="1:31" s="211" customFormat="1" ht="15.75" hidden="1" customHeight="1">
      <c r="A1139" s="204">
        <f>IF(B1139&lt;&gt;"",IF(AND(B1139&gt;=_TM1,B1139&lt;=_TM2,OR(TH!L1139="1111",TH!M1139="1111")),TH!D1139,""),"")</f>
        <v>0</v>
      </c>
      <c r="B1139" s="36">
        <f t="shared" si="74"/>
        <v>12</v>
      </c>
      <c r="C1139" s="191">
        <f t="shared" si="75"/>
        <v>41983</v>
      </c>
      <c r="D1139" s="184"/>
      <c r="E1139" s="191">
        <v>41983</v>
      </c>
      <c r="F1139" s="189" t="s">
        <v>1002</v>
      </c>
      <c r="G1139" s="468" t="s">
        <v>1070</v>
      </c>
      <c r="H1139" s="7" t="s">
        <v>1000</v>
      </c>
      <c r="I1139" s="256"/>
      <c r="J1139" s="256"/>
      <c r="K1139" s="568">
        <f>21209+27520+44633</f>
        <v>93362</v>
      </c>
      <c r="L1139" s="849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90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821">
        <v>4</v>
      </c>
      <c r="AE1139" s="560"/>
    </row>
    <row r="1140" spans="1:31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74"/>
        <v>12</v>
      </c>
      <c r="C1140" s="37">
        <f t="shared" si="75"/>
        <v>41986</v>
      </c>
      <c r="D1140" s="191" t="s">
        <v>1231</v>
      </c>
      <c r="E1140" s="191">
        <v>41986</v>
      </c>
      <c r="F1140" s="296" t="s">
        <v>1089</v>
      </c>
      <c r="G1140" s="468" t="s">
        <v>1117</v>
      </c>
      <c r="H1140" s="7" t="s">
        <v>1130</v>
      </c>
      <c r="I1140" s="256">
        <v>2159</v>
      </c>
      <c r="J1140" s="256">
        <v>7300</v>
      </c>
      <c r="K1140" s="568">
        <f>ROUND(I1140*J1140,0)</f>
        <v>15760700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90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821">
        <v>4</v>
      </c>
      <c r="AC1140" s="211" t="str">
        <f>IF(H1140=VLOOKUP(H1140,DSKH,1,0),"","x")</f>
        <v/>
      </c>
    </row>
    <row r="1141" spans="1:31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74"/>
        <v>12</v>
      </c>
      <c r="C1141" s="37">
        <f t="shared" si="75"/>
        <v>41986</v>
      </c>
      <c r="D1141" s="191" t="s">
        <v>1231</v>
      </c>
      <c r="E1141" s="191">
        <v>41986</v>
      </c>
      <c r="F1141" s="40" t="s">
        <v>1062</v>
      </c>
      <c r="G1141" s="468" t="s">
        <v>1117</v>
      </c>
      <c r="H1141" s="7" t="s">
        <v>1130</v>
      </c>
      <c r="I1141" s="256"/>
      <c r="J1141" s="256"/>
      <c r="K1141" s="568">
        <v>1576070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90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821">
        <v>4</v>
      </c>
      <c r="AC1141" s="211" t="str">
        <f>IF(H1141=VLOOKUP(H1141,DSKH,1,0),"","x")</f>
        <v/>
      </c>
    </row>
    <row r="1142" spans="1:31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74"/>
        <v>12</v>
      </c>
      <c r="C1142" s="37">
        <f t="shared" si="75"/>
        <v>41988</v>
      </c>
      <c r="D1142" s="191" t="s">
        <v>1232</v>
      </c>
      <c r="E1142" s="191">
        <v>41988</v>
      </c>
      <c r="F1142" s="296" t="s">
        <v>1089</v>
      </c>
      <c r="G1142" s="468" t="s">
        <v>759</v>
      </c>
      <c r="H1142" s="7" t="s">
        <v>1063</v>
      </c>
      <c r="I1142" s="256">
        <v>16434</v>
      </c>
      <c r="J1142" s="256">
        <v>7800</v>
      </c>
      <c r="K1142" s="568">
        <f>ROUND(I1142*J1142,0)</f>
        <v>128185200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90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821">
        <v>4</v>
      </c>
      <c r="AC1142" s="211" t="str">
        <f>IF(H1142=VLOOKUP(H1142,DSKH,1,0),"","x")</f>
        <v/>
      </c>
    </row>
    <row r="1143" spans="1:31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74"/>
        <v>12</v>
      </c>
      <c r="C1143" s="37">
        <f t="shared" si="75"/>
        <v>41988</v>
      </c>
      <c r="D1143" s="191" t="s">
        <v>1232</v>
      </c>
      <c r="E1143" s="191">
        <v>41988</v>
      </c>
      <c r="F1143" s="40" t="s">
        <v>1062</v>
      </c>
      <c r="G1143" s="468" t="s">
        <v>759</v>
      </c>
      <c r="H1143" s="7" t="s">
        <v>1063</v>
      </c>
      <c r="I1143" s="256"/>
      <c r="J1143" s="256"/>
      <c r="K1143" s="568">
        <v>12818520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90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821">
        <v>4</v>
      </c>
      <c r="AC1143" s="211" t="str">
        <f>IF(H1143=VLOOKUP(H1143,DSKH,1,0),"","x")</f>
        <v/>
      </c>
    </row>
    <row r="1144" spans="1:31" s="211" customFormat="1" ht="15.75" hidden="1" customHeight="1">
      <c r="A1144" s="204">
        <f>IF(B1144&lt;&gt;"",IF(AND(B1144&gt;=_TM1,B1144&lt;=_TM2,OR(TH!L1144="1111",TH!M1144="1111")),TH!D1144,""),"")</f>
        <v>0</v>
      </c>
      <c r="B1144" s="36">
        <f t="shared" si="74"/>
        <v>12</v>
      </c>
      <c r="C1144" s="191">
        <f t="shared" si="75"/>
        <v>41989</v>
      </c>
      <c r="D1144" s="191"/>
      <c r="E1144" s="37">
        <v>41989</v>
      </c>
      <c r="F1144" s="192" t="s">
        <v>377</v>
      </c>
      <c r="G1144" s="468" t="s">
        <v>1068</v>
      </c>
      <c r="H1144" s="7" t="s">
        <v>1010</v>
      </c>
      <c r="I1144" s="256"/>
      <c r="J1144" s="256"/>
      <c r="K1144" s="568">
        <v>7900000</v>
      </c>
      <c r="L1144" s="39" t="s">
        <v>167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90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821">
        <v>4</v>
      </c>
    </row>
    <row r="1145" spans="1:31" s="211" customFormat="1" ht="15.75" hidden="1" customHeight="1">
      <c r="A1145" s="204">
        <f>IF(B1145&lt;&gt;"",IF(AND(B1145&gt;=_TM1,B1145&lt;=_TM2,OR(TH!L1145="1111",TH!M1145="1111")),TH!D1145,""),"")</f>
        <v>0</v>
      </c>
      <c r="B1145" s="36">
        <f t="shared" si="74"/>
        <v>12</v>
      </c>
      <c r="C1145" s="191">
        <f t="shared" si="75"/>
        <v>41989</v>
      </c>
      <c r="D1145" s="191"/>
      <c r="E1145" s="37">
        <v>41989</v>
      </c>
      <c r="F1145" s="192" t="s">
        <v>1011</v>
      </c>
      <c r="G1145" s="468" t="s">
        <v>1068</v>
      </c>
      <c r="H1145" s="7" t="s">
        <v>1010</v>
      </c>
      <c r="I1145" s="256"/>
      <c r="J1145" s="256"/>
      <c r="K1145" s="568">
        <v>790000</v>
      </c>
      <c r="L1145" s="39" t="s">
        <v>9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90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821">
        <v>4</v>
      </c>
    </row>
    <row r="1146" spans="1:31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74"/>
        <v>12</v>
      </c>
      <c r="C1146" s="37">
        <f t="shared" si="75"/>
        <v>41992</v>
      </c>
      <c r="D1146" s="191" t="s">
        <v>1233</v>
      </c>
      <c r="E1146" s="191">
        <v>41992</v>
      </c>
      <c r="F1146" s="296" t="s">
        <v>1089</v>
      </c>
      <c r="G1146" s="468" t="s">
        <v>1134</v>
      </c>
      <c r="H1146" s="7" t="s">
        <v>1130</v>
      </c>
      <c r="I1146" s="256">
        <v>1985</v>
      </c>
      <c r="J1146" s="256">
        <v>7300</v>
      </c>
      <c r="K1146" s="568">
        <f>ROUND(I1146*J1146,0)</f>
        <v>14490500</v>
      </c>
      <c r="L1146" s="39" t="s">
        <v>159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90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821">
        <v>4</v>
      </c>
      <c r="AC1146" s="211" t="str">
        <f>IF(H1146=VLOOKUP(H1146,DSKH,1,0),"","x")</f>
        <v/>
      </c>
    </row>
    <row r="1147" spans="1:31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74"/>
        <v>12</v>
      </c>
      <c r="C1147" s="37">
        <f t="shared" si="75"/>
        <v>41992</v>
      </c>
      <c r="D1147" s="191" t="s">
        <v>1233</v>
      </c>
      <c r="E1147" s="191">
        <v>41992</v>
      </c>
      <c r="F1147" s="40" t="s">
        <v>1062</v>
      </c>
      <c r="G1147" s="468" t="s">
        <v>1134</v>
      </c>
      <c r="H1147" s="7" t="s">
        <v>1130</v>
      </c>
      <c r="I1147" s="256"/>
      <c r="J1147" s="256"/>
      <c r="K1147" s="568">
        <v>1449050</v>
      </c>
      <c r="L1147" s="39" t="s">
        <v>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90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821">
        <v>4</v>
      </c>
      <c r="AC1147" s="211" t="str">
        <f>IF(H1147=VLOOKUP(H1147,DSKH,1,0),"","x")</f>
        <v/>
      </c>
    </row>
    <row r="1148" spans="1:31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74"/>
        <v>12</v>
      </c>
      <c r="C1148" s="37">
        <f t="shared" si="75"/>
        <v>41993</v>
      </c>
      <c r="D1148" s="191" t="s">
        <v>1250</v>
      </c>
      <c r="E1148" s="191">
        <v>41993</v>
      </c>
      <c r="F1148" s="189" t="s">
        <v>330</v>
      </c>
      <c r="G1148" s="468" t="s">
        <v>1135</v>
      </c>
      <c r="H1148" s="7" t="s">
        <v>352</v>
      </c>
      <c r="I1148" s="256">
        <v>24</v>
      </c>
      <c r="J1148" s="256">
        <v>45000</v>
      </c>
      <c r="K1148" s="568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90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821">
        <v>4</v>
      </c>
      <c r="AC1148" s="211" t="str">
        <f>IF(H1148=VLOOKUP(H1148,DSKH,1,0),"","x")</f>
        <v/>
      </c>
    </row>
    <row r="1149" spans="1:31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74"/>
        <v>12</v>
      </c>
      <c r="C1149" s="37">
        <f t="shared" si="75"/>
        <v>41993</v>
      </c>
      <c r="D1149" s="191" t="s">
        <v>1250</v>
      </c>
      <c r="E1149" s="191">
        <v>41993</v>
      </c>
      <c r="F1149" s="189" t="s">
        <v>1020</v>
      </c>
      <c r="G1149" s="468" t="s">
        <v>1135</v>
      </c>
      <c r="H1149" s="7" t="s">
        <v>352</v>
      </c>
      <c r="I1149" s="256"/>
      <c r="J1149" s="256"/>
      <c r="K1149" s="568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90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821">
        <v>4</v>
      </c>
      <c r="AC1149" s="211" t="str">
        <f>IF(H1149=VLOOKUP(H1149,DSKH,1,0),"","x")</f>
        <v/>
      </c>
    </row>
    <row r="1150" spans="1:31" s="211" customFormat="1" ht="15.75" customHeight="1">
      <c r="A1150" s="204">
        <f>IF(B1150&lt;&gt;"",IF(AND(B1150&gt;=_TM1,B1150&lt;=_TM2,OR(TH!L1150="1111",TH!M1150="1111")),TH!D1150,""),"")</f>
        <v>0</v>
      </c>
      <c r="B1150" s="36">
        <f t="shared" si="74"/>
        <v>12</v>
      </c>
      <c r="C1150" s="37">
        <f t="shared" si="75"/>
        <v>41993</v>
      </c>
      <c r="D1150" s="37"/>
      <c r="E1150" s="191">
        <v>41993</v>
      </c>
      <c r="F1150" s="189" t="s">
        <v>903</v>
      </c>
      <c r="G1150" s="468" t="s">
        <v>1135</v>
      </c>
      <c r="H1150" s="7" t="s">
        <v>352</v>
      </c>
      <c r="I1150" s="256"/>
      <c r="J1150" s="256"/>
      <c r="K1150" s="568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90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21"/>
    </row>
    <row r="1151" spans="1:31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74"/>
        <v>12</v>
      </c>
      <c r="C1151" s="37">
        <f t="shared" si="75"/>
        <v>41996</v>
      </c>
      <c r="D1151" s="191" t="s">
        <v>1234</v>
      </c>
      <c r="E1151" s="731">
        <v>41996</v>
      </c>
      <c r="F1151" s="296" t="s">
        <v>1089</v>
      </c>
      <c r="G1151" s="468" t="s">
        <v>1136</v>
      </c>
      <c r="H1151" s="7" t="s">
        <v>1130</v>
      </c>
      <c r="I1151" s="256">
        <v>2356</v>
      </c>
      <c r="J1151" s="256">
        <v>7300</v>
      </c>
      <c r="K1151" s="568">
        <f>ROUND(I1151*J1151,0)</f>
        <v>17198800</v>
      </c>
      <c r="L1151" s="39" t="s">
        <v>159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90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21">
        <v>4</v>
      </c>
      <c r="AC1151" s="211" t="str">
        <f t="shared" ref="AC1151:AC1158" si="77">IF(H1151=VLOOKUP(H1151,DSKH,1,0),"","x")</f>
        <v/>
      </c>
    </row>
    <row r="1152" spans="1:31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74"/>
        <v>12</v>
      </c>
      <c r="C1152" s="37">
        <f t="shared" si="75"/>
        <v>41996</v>
      </c>
      <c r="D1152" s="191" t="s">
        <v>1234</v>
      </c>
      <c r="E1152" s="731">
        <v>41996</v>
      </c>
      <c r="F1152" s="40" t="s">
        <v>1062</v>
      </c>
      <c r="G1152" s="468" t="s">
        <v>1136</v>
      </c>
      <c r="H1152" s="7" t="s">
        <v>1130</v>
      </c>
      <c r="I1152" s="256"/>
      <c r="J1152" s="256"/>
      <c r="K1152" s="568">
        <v>1719880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90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21">
        <v>4</v>
      </c>
      <c r="AC1152" s="211" t="str">
        <f t="shared" si="77"/>
        <v/>
      </c>
    </row>
    <row r="1153" spans="1:29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74"/>
        <v>12</v>
      </c>
      <c r="C1153" s="37">
        <f t="shared" si="75"/>
        <v>41998</v>
      </c>
      <c r="D1153" s="191" t="s">
        <v>1235</v>
      </c>
      <c r="E1153" s="731">
        <v>41998</v>
      </c>
      <c r="F1153" s="296" t="s">
        <v>1089</v>
      </c>
      <c r="G1153" s="468" t="s">
        <v>1137</v>
      </c>
      <c r="H1153" s="7" t="s">
        <v>1130</v>
      </c>
      <c r="I1153" s="256">
        <v>2352</v>
      </c>
      <c r="J1153" s="256">
        <v>7300</v>
      </c>
      <c r="K1153" s="568">
        <f>ROUND(I1153*J1153,0)</f>
        <v>17169600</v>
      </c>
      <c r="L1153" s="39" t="s">
        <v>159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90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21">
        <v>4</v>
      </c>
      <c r="AC1153" s="211" t="str">
        <f t="shared" si="77"/>
        <v/>
      </c>
    </row>
    <row r="1154" spans="1:29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74"/>
        <v>12</v>
      </c>
      <c r="C1154" s="37">
        <f t="shared" si="75"/>
        <v>41998</v>
      </c>
      <c r="D1154" s="191" t="s">
        <v>1235</v>
      </c>
      <c r="E1154" s="731">
        <v>41998</v>
      </c>
      <c r="F1154" s="40" t="s">
        <v>1062</v>
      </c>
      <c r="G1154" s="468" t="s">
        <v>1137</v>
      </c>
      <c r="H1154" s="7" t="s">
        <v>1130</v>
      </c>
      <c r="I1154" s="256"/>
      <c r="J1154" s="256"/>
      <c r="K1154" s="568">
        <v>1716960</v>
      </c>
      <c r="L1154" s="39" t="s">
        <v>9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90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21">
        <v>4</v>
      </c>
      <c r="AC1154" s="211" t="str">
        <f t="shared" si="77"/>
        <v/>
      </c>
    </row>
    <row r="1155" spans="1:29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74"/>
        <v>12</v>
      </c>
      <c r="C1155" s="37">
        <f t="shared" si="75"/>
        <v>42002</v>
      </c>
      <c r="D1155" s="191" t="s">
        <v>1236</v>
      </c>
      <c r="E1155" s="731">
        <v>42002</v>
      </c>
      <c r="F1155" s="296" t="s">
        <v>1089</v>
      </c>
      <c r="G1155" s="467" t="s">
        <v>1138</v>
      </c>
      <c r="H1155" s="7" t="s">
        <v>1130</v>
      </c>
      <c r="I1155" s="256">
        <v>1272</v>
      </c>
      <c r="J1155" s="256">
        <v>7300</v>
      </c>
      <c r="K1155" s="568">
        <f>ROUND(I1155*J1155,0)</f>
        <v>9285600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90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21">
        <v>4</v>
      </c>
      <c r="AC1155" s="211" t="str">
        <f t="shared" si="77"/>
        <v/>
      </c>
    </row>
    <row r="1156" spans="1:29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74"/>
        <v>12</v>
      </c>
      <c r="C1156" s="37">
        <f t="shared" si="75"/>
        <v>42002</v>
      </c>
      <c r="D1156" s="191" t="s">
        <v>1236</v>
      </c>
      <c r="E1156" s="731">
        <v>42002</v>
      </c>
      <c r="F1156" s="40" t="s">
        <v>1062</v>
      </c>
      <c r="G1156" s="467" t="s">
        <v>1138</v>
      </c>
      <c r="H1156" s="7" t="s">
        <v>1130</v>
      </c>
      <c r="I1156" s="256"/>
      <c r="J1156" s="256"/>
      <c r="K1156" s="568">
        <v>928560</v>
      </c>
      <c r="L1156" s="39" t="s">
        <v>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90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21">
        <v>4</v>
      </c>
      <c r="AC1156" s="211" t="str">
        <f t="shared" si="77"/>
        <v/>
      </c>
    </row>
    <row r="1157" spans="1:29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74"/>
        <v>12</v>
      </c>
      <c r="C1157" s="37">
        <f t="shared" si="75"/>
        <v>42003</v>
      </c>
      <c r="D1157" s="191" t="s">
        <v>1237</v>
      </c>
      <c r="E1157" s="37">
        <v>42003</v>
      </c>
      <c r="F1157" s="296" t="s">
        <v>1089</v>
      </c>
      <c r="G1157" s="467" t="s">
        <v>1139</v>
      </c>
      <c r="H1157" s="7" t="s">
        <v>1130</v>
      </c>
      <c r="I1157" s="256">
        <v>2259</v>
      </c>
      <c r="J1157" s="256">
        <v>7300</v>
      </c>
      <c r="K1157" s="568">
        <f>ROUND(I1157*J1157,0)</f>
        <v>16490700</v>
      </c>
      <c r="L1157" s="39" t="s">
        <v>159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90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21">
        <v>4</v>
      </c>
      <c r="AC1157" s="211" t="str">
        <f t="shared" si="77"/>
        <v/>
      </c>
    </row>
    <row r="1158" spans="1:29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74"/>
        <v>12</v>
      </c>
      <c r="C1158" s="37">
        <f t="shared" si="75"/>
        <v>42003</v>
      </c>
      <c r="D1158" s="191" t="s">
        <v>1237</v>
      </c>
      <c r="E1158" s="37">
        <v>42003</v>
      </c>
      <c r="F1158" s="40" t="s">
        <v>1062</v>
      </c>
      <c r="G1158" s="467" t="s">
        <v>1139</v>
      </c>
      <c r="H1158" s="7" t="s">
        <v>1130</v>
      </c>
      <c r="I1158" s="256"/>
      <c r="J1158" s="256"/>
      <c r="K1158" s="568">
        <v>1649070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90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21">
        <v>4</v>
      </c>
      <c r="AC1158" s="211" t="str">
        <f t="shared" si="77"/>
        <v/>
      </c>
    </row>
    <row r="1159" spans="1:29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ref="B1159:B1208" si="78">IF(C1159&lt;&gt;"",MONTH(C1159),"")</f>
        <v>3</v>
      </c>
      <c r="C1159" s="37">
        <f t="shared" ref="C1159:C1170" si="79">E1159</f>
        <v>41729</v>
      </c>
      <c r="D1159" s="184" t="s">
        <v>327</v>
      </c>
      <c r="E1159" s="184">
        <v>41729</v>
      </c>
      <c r="F1159" s="189" t="s">
        <v>1279</v>
      </c>
      <c r="G1159" s="570"/>
      <c r="H1159" s="193" t="s">
        <v>1278</v>
      </c>
      <c r="I1159" s="256"/>
      <c r="J1159" s="256"/>
      <c r="K1159" s="568">
        <v>13732353</v>
      </c>
      <c r="L1159" s="569" t="s">
        <v>9</v>
      </c>
      <c r="M1159" s="569" t="s">
        <v>17</v>
      </c>
      <c r="N1159" s="52" t="str">
        <f>IF(AND('331-CT'!$E$7=TH!H1159,OR(L1159="331",M1159="331")),"331",IF(AND(OR(L1159="131",M1159="131"),H1159='131-CT'!$E$7),"131",""))</f>
        <v/>
      </c>
      <c r="O1159" s="90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21">
        <v>1</v>
      </c>
    </row>
    <row r="1160" spans="1:29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78"/>
        <v>4</v>
      </c>
      <c r="C1160" s="37">
        <f t="shared" si="79"/>
        <v>41758</v>
      </c>
      <c r="D1160" s="37" t="s">
        <v>902</v>
      </c>
      <c r="E1160" s="37">
        <v>41758</v>
      </c>
      <c r="F1160" s="192" t="s">
        <v>1283</v>
      </c>
      <c r="G1160" s="40" t="s">
        <v>1281</v>
      </c>
      <c r="H1160" s="7"/>
      <c r="I1160" s="256"/>
      <c r="J1160" s="256"/>
      <c r="K1160" s="568">
        <v>1000000</v>
      </c>
      <c r="L1160" s="39" t="s">
        <v>24</v>
      </c>
      <c r="M1160" s="39" t="s">
        <v>47</v>
      </c>
      <c r="N1160" s="52" t="str">
        <f>IF(AND('331-CT'!$E$7=TH!H1160,OR(L1160="331",M1160="331")),"331",IF(AND(OR(L1160="131",M1160="131"),H1160='131-CT'!$E$7),"131",""))</f>
        <v/>
      </c>
      <c r="O1160" s="90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>x</v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>x</v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21"/>
    </row>
    <row r="1161" spans="1:29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78"/>
        <v>5</v>
      </c>
      <c r="C1161" s="37">
        <f t="shared" si="79"/>
        <v>41788</v>
      </c>
      <c r="D1161" s="37" t="s">
        <v>902</v>
      </c>
      <c r="E1161" s="37">
        <v>41788</v>
      </c>
      <c r="F1161" s="40" t="s">
        <v>1284</v>
      </c>
      <c r="G1161" s="40" t="s">
        <v>1281</v>
      </c>
      <c r="H1161" s="7" t="s">
        <v>1302</v>
      </c>
      <c r="I1161" s="256"/>
      <c r="J1161" s="256"/>
      <c r="K1161" s="568">
        <v>105000000</v>
      </c>
      <c r="L1161" s="39" t="s">
        <v>24</v>
      </c>
      <c r="M1161" s="39" t="s">
        <v>1287</v>
      </c>
      <c r="N1161" s="52" t="str">
        <f>IF(AND('331-CT'!$E$7=TH!H1161,OR(L1161="331",M1161="331")),"331",IF(AND(OR(L1161="131",M1161="131"),H1161='131-CT'!$E$7),"131",""))</f>
        <v/>
      </c>
      <c r="O1161" s="902" t="str">
        <f>IF(AND('341-CT'!$E$9=H1161,OR(LEFT(L1161,3)=$O$7,LEFT(M1161,3)=$O$7)),"x","")</f>
        <v>x</v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>x</v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21"/>
    </row>
    <row r="1162" spans="1:29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ref="B1162" si="80">IF(C1162&lt;&gt;"",MONTH(C1162),"")</f>
        <v>5</v>
      </c>
      <c r="C1162" s="37">
        <f t="shared" ref="C1162" si="81">E1162</f>
        <v>41784</v>
      </c>
      <c r="D1162" s="37" t="s">
        <v>909</v>
      </c>
      <c r="E1162" s="37">
        <v>41784</v>
      </c>
      <c r="F1162" s="40" t="s">
        <v>1331</v>
      </c>
      <c r="G1162" s="40" t="s">
        <v>1281</v>
      </c>
      <c r="H1162" s="7" t="s">
        <v>1315</v>
      </c>
      <c r="I1162" s="256"/>
      <c r="J1162" s="256"/>
      <c r="K1162" s="568">
        <v>1000000000</v>
      </c>
      <c r="L1162" s="39" t="s">
        <v>47</v>
      </c>
      <c r="M1162" s="39" t="s">
        <v>1285</v>
      </c>
      <c r="N1162" s="52" t="str">
        <f>IF(AND('331-CT'!$E$7=TH!H1162,OR(L1162="331",M1162="331")),"331",IF(AND(OR(L1162="131",M1162="131"),H1162='131-CT'!$E$7),"131",""))</f>
        <v/>
      </c>
      <c r="O1162" s="90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>x</v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21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8"/>
        <v>5</v>
      </c>
      <c r="C1163" s="37">
        <f t="shared" si="79"/>
        <v>41789</v>
      </c>
      <c r="D1163" s="37" t="s">
        <v>909</v>
      </c>
      <c r="E1163" s="37">
        <v>41789</v>
      </c>
      <c r="F1163" s="40" t="s">
        <v>903</v>
      </c>
      <c r="G1163" s="40" t="s">
        <v>1281</v>
      </c>
      <c r="H1163" s="7" t="s">
        <v>1153</v>
      </c>
      <c r="I1163" s="256"/>
      <c r="J1163" s="256"/>
      <c r="K1163" s="568">
        <v>49591616</v>
      </c>
      <c r="L1163" s="39" t="s">
        <v>8</v>
      </c>
      <c r="M1163" s="39" t="s">
        <v>24</v>
      </c>
      <c r="N1163" s="52" t="str">
        <f>IF(AND('331-CT'!$E$7=TH!H1163,OR(L1163="331",M1163="331")),"331",IF(AND(OR(L1163="131",M1163="131"),H1163='131-CT'!$E$7),"131",""))</f>
        <v/>
      </c>
      <c r="O1163" s="90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>x</v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21"/>
    </row>
    <row r="1164" spans="1:29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78"/>
        <v>5</v>
      </c>
      <c r="C1164" s="37">
        <f t="shared" si="79"/>
        <v>41789</v>
      </c>
      <c r="D1164" s="37" t="s">
        <v>909</v>
      </c>
      <c r="E1164" s="37">
        <v>41789</v>
      </c>
      <c r="F1164" s="40" t="s">
        <v>1307</v>
      </c>
      <c r="G1164" s="40" t="s">
        <v>1281</v>
      </c>
      <c r="H1164" s="7"/>
      <c r="I1164" s="256"/>
      <c r="J1164" s="256"/>
      <c r="K1164" s="568">
        <v>30000</v>
      </c>
      <c r="L1164" s="39" t="s">
        <v>83</v>
      </c>
      <c r="M1164" s="39" t="s">
        <v>24</v>
      </c>
      <c r="N1164" s="52" t="str">
        <f>IF(AND('331-CT'!$E$7=TH!H1164,OR(L1164="331",M1164="331")),"331",IF(AND(OR(L1164="131",M1164="131"),H1164='131-CT'!$E$7),"131",""))</f>
        <v/>
      </c>
      <c r="O1164" s="90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>x</v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>642</v>
      </c>
      <c r="W1164" s="52" t="str">
        <f>IF(OR(TH!L1164=TH!$W$7,M1164=TH!$W$7),"x","")</f>
        <v>x</v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21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8"/>
        <v>5</v>
      </c>
      <c r="C1165" s="37">
        <f t="shared" si="79"/>
        <v>41789</v>
      </c>
      <c r="D1165" s="37" t="s">
        <v>909</v>
      </c>
      <c r="E1165" s="37">
        <v>41789</v>
      </c>
      <c r="F1165" s="40" t="s">
        <v>903</v>
      </c>
      <c r="G1165" s="40" t="s">
        <v>1281</v>
      </c>
      <c r="H1165" s="7" t="s">
        <v>1104</v>
      </c>
      <c r="I1165" s="256"/>
      <c r="J1165" s="256"/>
      <c r="K1165" s="568">
        <v>52920431</v>
      </c>
      <c r="L1165" s="39" t="s">
        <v>8</v>
      </c>
      <c r="M1165" s="39" t="s">
        <v>24</v>
      </c>
      <c r="N1165" s="52" t="str">
        <f>IF(AND('331-CT'!$E$7=TH!H1165,OR(L1165="331",M1165="331")),"331",IF(AND(OR(L1165="131",M1165="131"),H1165='131-CT'!$E$7),"131",""))</f>
        <v/>
      </c>
      <c r="O1165" s="90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>x</v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21"/>
    </row>
    <row r="1166" spans="1:29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78"/>
        <v>5</v>
      </c>
      <c r="C1166" s="37">
        <f t="shared" si="79"/>
        <v>41789</v>
      </c>
      <c r="D1166" s="37" t="s">
        <v>909</v>
      </c>
      <c r="E1166" s="37">
        <v>41789</v>
      </c>
      <c r="F1166" s="40" t="s">
        <v>1308</v>
      </c>
      <c r="G1166" s="40" t="s">
        <v>1281</v>
      </c>
      <c r="H1166" s="7" t="s">
        <v>1309</v>
      </c>
      <c r="I1166" s="256"/>
      <c r="J1166" s="256"/>
      <c r="K1166" s="568">
        <v>2000000</v>
      </c>
      <c r="L1166" s="39" t="s">
        <v>47</v>
      </c>
      <c r="M1166" s="39" t="s">
        <v>24</v>
      </c>
      <c r="N1166" s="52" t="str">
        <f>IF(AND('331-CT'!$E$7=TH!H1166,OR(L1166="331",M1166="331")),"331",IF(AND(OR(L1166="131",M1166="131"),H1166='131-CT'!$E$7),"131",""))</f>
        <v/>
      </c>
      <c r="O1166" s="90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>x</v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>x</v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21"/>
    </row>
    <row r="1167" spans="1:29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78"/>
        <v>5</v>
      </c>
      <c r="C1167" s="37">
        <f t="shared" si="79"/>
        <v>41789</v>
      </c>
      <c r="D1167" s="37" t="s">
        <v>909</v>
      </c>
      <c r="E1167" s="37">
        <v>41789</v>
      </c>
      <c r="F1167" s="40" t="s">
        <v>910</v>
      </c>
      <c r="G1167" s="40" t="s">
        <v>1281</v>
      </c>
      <c r="H1167" s="7"/>
      <c r="I1167" s="256"/>
      <c r="J1167" s="256"/>
      <c r="K1167" s="568">
        <v>11000</v>
      </c>
      <c r="L1167" s="39" t="s">
        <v>83</v>
      </c>
      <c r="M1167" s="39" t="s">
        <v>24</v>
      </c>
      <c r="N1167" s="52" t="str">
        <f>IF(AND('331-CT'!$E$7=TH!H1167,OR(L1167="331",M1167="331")),"331",IF(AND(OR(L1167="131",M1167="131"),H1167='131-CT'!$E$7),"131",""))</f>
        <v/>
      </c>
      <c r="O1167" s="90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>x</v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>642</v>
      </c>
      <c r="W1167" s="52" t="str">
        <f>IF(OR(TH!L1167=TH!$W$7,M1167=TH!$W$7),"x","")</f>
        <v>x</v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21"/>
    </row>
    <row r="1168" spans="1:29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78"/>
        <v>5</v>
      </c>
      <c r="C1168" s="37">
        <f t="shared" si="79"/>
        <v>41790</v>
      </c>
      <c r="D1168" s="37" t="s">
        <v>902</v>
      </c>
      <c r="E1168" s="37">
        <v>41790</v>
      </c>
      <c r="F1168" s="192" t="s">
        <v>905</v>
      </c>
      <c r="G1168" s="40" t="s">
        <v>1281</v>
      </c>
      <c r="H1168" s="7"/>
      <c r="I1168" s="256"/>
      <c r="J1168" s="256"/>
      <c r="K1168" s="568">
        <v>1900</v>
      </c>
      <c r="L1168" s="39" t="s">
        <v>24</v>
      </c>
      <c r="M1168" s="39" t="s">
        <v>40</v>
      </c>
      <c r="N1168" s="52" t="str">
        <f>IF(AND('331-CT'!$E$7=TH!H1168,OR(L1168="331",M1168="331")),"331",IF(AND(OR(L1168="131",M1168="131"),H1168='131-CT'!$E$7),"131",""))</f>
        <v/>
      </c>
      <c r="O1168" s="90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>x</v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21"/>
    </row>
    <row r="1169" spans="1:28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78"/>
        <v>6</v>
      </c>
      <c r="C1169" s="37">
        <f t="shared" si="79"/>
        <v>41801</v>
      </c>
      <c r="D1169" s="37" t="s">
        <v>909</v>
      </c>
      <c r="E1169" s="37">
        <v>41801</v>
      </c>
      <c r="F1169" s="40" t="s">
        <v>1310</v>
      </c>
      <c r="G1169" s="40" t="s">
        <v>1281</v>
      </c>
      <c r="H1169" s="7"/>
      <c r="I1169" s="256"/>
      <c r="J1169" s="256"/>
      <c r="K1169" s="568">
        <v>15000</v>
      </c>
      <c r="L1169" s="39" t="s">
        <v>83</v>
      </c>
      <c r="M1169" s="39" t="s">
        <v>24</v>
      </c>
      <c r="N1169" s="52" t="str">
        <f>IF(AND('331-CT'!$E$7=TH!H1169,OR(L1169="331",M1169="331")),"331",IF(AND(OR(L1169="131",M1169="131"),H1169='131-CT'!$E$7),"131",""))</f>
        <v/>
      </c>
      <c r="O1169" s="90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>x</v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>642</v>
      </c>
      <c r="W1169" s="52" t="str">
        <f>IF(OR(TH!L1169=TH!$W$7,M1169=TH!$W$7),"x","")</f>
        <v>x</v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21"/>
    </row>
    <row r="1170" spans="1:28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78"/>
        <v>6</v>
      </c>
      <c r="C1170" s="37">
        <f t="shared" si="79"/>
        <v>41801</v>
      </c>
      <c r="D1170" s="37" t="s">
        <v>902</v>
      </c>
      <c r="E1170" s="37">
        <v>41801</v>
      </c>
      <c r="F1170" s="40" t="s">
        <v>1311</v>
      </c>
      <c r="G1170" s="40" t="s">
        <v>1281</v>
      </c>
      <c r="H1170" s="7" t="s">
        <v>1312</v>
      </c>
      <c r="I1170" s="256"/>
      <c r="J1170" s="256"/>
      <c r="K1170" s="568">
        <v>98560000</v>
      </c>
      <c r="L1170" s="39" t="s">
        <v>24</v>
      </c>
      <c r="M1170" s="39" t="s">
        <v>1287</v>
      </c>
      <c r="N1170" s="52" t="str">
        <f>IF(AND('331-CT'!$E$7=TH!H1170,OR(L1170="331",M1170="331")),"331",IF(AND(OR(L1170="131",M1170="131"),H1170='131-CT'!$E$7),"131",""))</f>
        <v/>
      </c>
      <c r="O1170" s="90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>x</v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21"/>
    </row>
    <row r="1171" spans="1:28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78"/>
        <v>6</v>
      </c>
      <c r="C1171" s="37">
        <f t="shared" ref="C1171:C1176" si="82">E1171</f>
        <v>41801</v>
      </c>
      <c r="D1171" s="37" t="s">
        <v>909</v>
      </c>
      <c r="E1171" s="37">
        <v>41801</v>
      </c>
      <c r="F1171" s="40" t="s">
        <v>1308</v>
      </c>
      <c r="G1171" s="40" t="s">
        <v>1281</v>
      </c>
      <c r="H1171" s="7" t="s">
        <v>907</v>
      </c>
      <c r="I1171" s="256"/>
      <c r="J1171" s="256"/>
      <c r="K1171" s="568">
        <v>98560000</v>
      </c>
      <c r="L1171" s="39" t="s">
        <v>47</v>
      </c>
      <c r="M1171" s="39" t="s">
        <v>24</v>
      </c>
      <c r="N1171" s="52" t="str">
        <f>IF(AND('331-CT'!$E$7=TH!H1171,OR(L1171="331",M1171="331")),"331",IF(AND(OR(L1171="131",M1171="131"),H1171='131-CT'!$E$7),"131",""))</f>
        <v/>
      </c>
      <c r="O1171" s="90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>x</v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>x</v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21"/>
    </row>
    <row r="1172" spans="1:28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78"/>
        <v>6</v>
      </c>
      <c r="C1172" s="37">
        <f t="shared" si="82"/>
        <v>41801</v>
      </c>
      <c r="D1172" s="37" t="s">
        <v>909</v>
      </c>
      <c r="E1172" s="37">
        <v>41801</v>
      </c>
      <c r="F1172" s="40" t="s">
        <v>910</v>
      </c>
      <c r="G1172" s="40" t="s">
        <v>1281</v>
      </c>
      <c r="H1172" s="7"/>
      <c r="I1172" s="256"/>
      <c r="J1172" s="256"/>
      <c r="K1172" s="568">
        <v>11000</v>
      </c>
      <c r="L1172" s="39" t="s">
        <v>83</v>
      </c>
      <c r="M1172" s="39" t="s">
        <v>24</v>
      </c>
      <c r="N1172" s="52" t="str">
        <f>IF(AND('331-CT'!$E$7=TH!H1172,OR(L1172="331",M1172="331")),"331",IF(AND(OR(L1172="131",M1172="131"),H1172='131-CT'!$E$7),"131",""))</f>
        <v/>
      </c>
      <c r="O1172" s="90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>x</v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>642</v>
      </c>
      <c r="W1172" s="52" t="str">
        <f>IF(OR(TH!L1172=TH!$W$7,M1172=TH!$W$7),"x","")</f>
        <v>x</v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21"/>
    </row>
    <row r="1173" spans="1:28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78"/>
        <v>6</v>
      </c>
      <c r="C1173" s="37">
        <f t="shared" si="82"/>
        <v>41815</v>
      </c>
      <c r="D1173" s="37" t="s">
        <v>902</v>
      </c>
      <c r="E1173" s="191">
        <v>41815</v>
      </c>
      <c r="F1173" s="192" t="s">
        <v>1283</v>
      </c>
      <c r="G1173" s="40" t="s">
        <v>1281</v>
      </c>
      <c r="H1173" s="193" t="s">
        <v>1313</v>
      </c>
      <c r="I1173" s="256"/>
      <c r="J1173" s="256"/>
      <c r="K1173" s="568">
        <v>11704000</v>
      </c>
      <c r="L1173" s="39" t="s">
        <v>24</v>
      </c>
      <c r="M1173" s="194" t="s">
        <v>47</v>
      </c>
      <c r="N1173" s="52" t="str">
        <f>IF(AND('331-CT'!$E$7=TH!H1173,OR(L1173="331",M1173="331")),"331",IF(AND(OR(L1173="131",M1173="131"),H1173='131-CT'!$E$7),"131",""))</f>
        <v/>
      </c>
      <c r="O1173" s="90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>x</v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>x</v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21"/>
    </row>
    <row r="1174" spans="1:28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78"/>
        <v>6</v>
      </c>
      <c r="C1174" s="37">
        <f t="shared" si="82"/>
        <v>41815</v>
      </c>
      <c r="D1174" s="37" t="s">
        <v>909</v>
      </c>
      <c r="E1174" s="191">
        <v>41815</v>
      </c>
      <c r="F1174" s="192" t="s">
        <v>1314</v>
      </c>
      <c r="G1174" s="40" t="s">
        <v>1281</v>
      </c>
      <c r="H1174" s="7" t="s">
        <v>1302</v>
      </c>
      <c r="I1174" s="257"/>
      <c r="J1174" s="257"/>
      <c r="K1174" s="568">
        <v>939167</v>
      </c>
      <c r="L1174" s="39" t="s">
        <v>81</v>
      </c>
      <c r="M1174" s="194" t="s">
        <v>24</v>
      </c>
      <c r="N1174" s="52" t="str">
        <f>IF(AND('331-CT'!$E$7=TH!H1174,OR(L1174="331",M1174="331")),"331",IF(AND(OR(L1174="131",M1174="131"),H1174='131-CT'!$E$7),"131",""))</f>
        <v/>
      </c>
      <c r="O1174" s="90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>x</v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21"/>
    </row>
    <row r="1175" spans="1:28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78"/>
        <v>6</v>
      </c>
      <c r="C1175" s="37">
        <f t="shared" si="82"/>
        <v>41815</v>
      </c>
      <c r="D1175" s="37" t="s">
        <v>909</v>
      </c>
      <c r="E1175" s="191">
        <v>41815</v>
      </c>
      <c r="F1175" s="192" t="s">
        <v>1314</v>
      </c>
      <c r="G1175" s="40" t="s">
        <v>1281</v>
      </c>
      <c r="H1175" s="7" t="s">
        <v>1315</v>
      </c>
      <c r="I1175" s="256"/>
      <c r="J1175" s="256"/>
      <c r="K1175" s="568">
        <v>10763889</v>
      </c>
      <c r="L1175" s="39" t="s">
        <v>81</v>
      </c>
      <c r="M1175" s="194" t="s">
        <v>24</v>
      </c>
      <c r="N1175" s="52" t="str">
        <f>IF(AND('331-CT'!$E$7=TH!H1175,OR(L1175="331",M1175="331")),"331",IF(AND(OR(L1175="131",M1175="131"),H1175='131-CT'!$E$7),"131",""))</f>
        <v/>
      </c>
      <c r="O1175" s="90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>x</v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21"/>
    </row>
    <row r="1176" spans="1:28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78"/>
        <v>6</v>
      </c>
      <c r="C1176" s="37">
        <f t="shared" si="82"/>
        <v>41820</v>
      </c>
      <c r="D1176" s="37" t="s">
        <v>902</v>
      </c>
      <c r="E1176" s="191">
        <v>41820</v>
      </c>
      <c r="F1176" s="192" t="s">
        <v>905</v>
      </c>
      <c r="G1176" s="40" t="s">
        <v>1281</v>
      </c>
      <c r="H1176" s="7"/>
      <c r="I1176" s="256"/>
      <c r="J1176" s="256"/>
      <c r="K1176" s="568">
        <v>600</v>
      </c>
      <c r="L1176" s="39" t="s">
        <v>24</v>
      </c>
      <c r="M1176" s="39" t="s">
        <v>40</v>
      </c>
      <c r="N1176" s="52" t="str">
        <f>IF(AND('331-CT'!$E$7=TH!H1176,OR(L1176="331",M1176="331")),"331",IF(AND(OR(L1176="131",M1176="131"),H1176='131-CT'!$E$7),"131",""))</f>
        <v/>
      </c>
      <c r="O1176" s="90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>x</v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21"/>
    </row>
    <row r="1177" spans="1:28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78"/>
        <v>7</v>
      </c>
      <c r="C1177" s="37">
        <f t="shared" ref="C1177:C1236" si="83">E1177</f>
        <v>41845</v>
      </c>
      <c r="D1177" s="37" t="s">
        <v>902</v>
      </c>
      <c r="E1177" s="191">
        <v>41845</v>
      </c>
      <c r="F1177" s="192" t="s">
        <v>1283</v>
      </c>
      <c r="G1177" s="40" t="s">
        <v>1281</v>
      </c>
      <c r="H1177" s="193" t="s">
        <v>1313</v>
      </c>
      <c r="I1177" s="256"/>
      <c r="J1177" s="256"/>
      <c r="K1177" s="568">
        <v>12841000</v>
      </c>
      <c r="L1177" s="39" t="s">
        <v>24</v>
      </c>
      <c r="M1177" s="194" t="s">
        <v>47</v>
      </c>
      <c r="N1177" s="52" t="str">
        <f>IF(AND('331-CT'!$E$7=TH!H1177,OR(L1177="331",M1177="331")),"331",IF(AND(OR(L1177="131",M1177="131"),H1177='131-CT'!$E$7),"131",""))</f>
        <v/>
      </c>
      <c r="O1177" s="902" t="str">
        <f>IF(AND('341-CT'!$E$9=H1177,OR(LEFT(L1177,3)=$O$7,LEFT(M1177,3)=$O$7)),"x","")</f>
        <v/>
      </c>
      <c r="P1177" s="52" t="str">
        <f>IF(AND($B1177&gt;='111'!$N$11,$B1177&lt;='111'!$O$11,OR($L1177=$P$7,$M1177=$P$7)),"x","")</f>
        <v>x</v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>x</v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21"/>
    </row>
    <row r="1178" spans="1:28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78"/>
        <v>7</v>
      </c>
      <c r="C1178" s="37">
        <f t="shared" si="83"/>
        <v>41845</v>
      </c>
      <c r="D1178" s="37" t="s">
        <v>909</v>
      </c>
      <c r="E1178" s="191">
        <v>41845</v>
      </c>
      <c r="F1178" s="192" t="s">
        <v>1314</v>
      </c>
      <c r="G1178" s="40" t="s">
        <v>1281</v>
      </c>
      <c r="H1178" s="7" t="s">
        <v>1312</v>
      </c>
      <c r="I1178" s="257"/>
      <c r="J1178" s="257"/>
      <c r="K1178" s="568">
        <v>1416800</v>
      </c>
      <c r="L1178" s="39" t="s">
        <v>81</v>
      </c>
      <c r="M1178" s="194" t="s">
        <v>24</v>
      </c>
      <c r="N1178" s="52" t="str">
        <f>IF(AND('331-CT'!$E$7=TH!H1178,OR(L1178="331",M1178="331")),"331",IF(AND(OR(L1178="131",M1178="131"),H1178='131-CT'!$E$7),"131",""))</f>
        <v/>
      </c>
      <c r="O1178" s="90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>x</v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21"/>
    </row>
    <row r="1179" spans="1:28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78"/>
        <v>7</v>
      </c>
      <c r="C1179" s="37">
        <f t="shared" si="83"/>
        <v>41845</v>
      </c>
      <c r="D1179" s="37" t="s">
        <v>909</v>
      </c>
      <c r="E1179" s="191">
        <v>41845</v>
      </c>
      <c r="F1179" s="192" t="s">
        <v>1314</v>
      </c>
      <c r="G1179" s="40" t="s">
        <v>1281</v>
      </c>
      <c r="H1179" s="7" t="s">
        <v>1302</v>
      </c>
      <c r="I1179" s="256"/>
      <c r="J1179" s="256"/>
      <c r="K1179" s="568">
        <v>1006250</v>
      </c>
      <c r="L1179" s="39" t="s">
        <v>81</v>
      </c>
      <c r="M1179" s="194" t="s">
        <v>24</v>
      </c>
      <c r="N1179" s="52" t="str">
        <f>IF(AND('331-CT'!$E$7=TH!H1179,OR(L1179="331",M1179="331")),"331",IF(AND(OR(L1179="131",M1179="131"),H1179='131-CT'!$E$7),"131",""))</f>
        <v/>
      </c>
      <c r="O1179" s="90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>x</v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21"/>
    </row>
    <row r="1180" spans="1:28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78"/>
        <v>7</v>
      </c>
      <c r="C1180" s="37">
        <f t="shared" si="83"/>
        <v>41845</v>
      </c>
      <c r="D1180" s="37" t="s">
        <v>909</v>
      </c>
      <c r="E1180" s="191">
        <v>41845</v>
      </c>
      <c r="F1180" s="192" t="s">
        <v>1314</v>
      </c>
      <c r="G1180" s="40" t="s">
        <v>1281</v>
      </c>
      <c r="H1180" s="7" t="s">
        <v>1315</v>
      </c>
      <c r="I1180" s="257"/>
      <c r="J1180" s="257"/>
      <c r="K1180" s="568">
        <v>10416666</v>
      </c>
      <c r="L1180" s="39" t="s">
        <v>81</v>
      </c>
      <c r="M1180" s="194" t="s">
        <v>24</v>
      </c>
      <c r="N1180" s="52" t="str">
        <f>IF(AND('331-CT'!$E$7=TH!H1180,OR(L1180="331",M1180="331")),"331",IF(AND(OR(L1180="131",M1180="131"),H1180='131-CT'!$E$7),"131",""))</f>
        <v/>
      </c>
      <c r="O1180" s="90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>x</v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21"/>
    </row>
    <row r="1181" spans="1:28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78"/>
        <v>7</v>
      </c>
      <c r="C1181" s="37">
        <f t="shared" si="83"/>
        <v>41851</v>
      </c>
      <c r="D1181" s="37" t="s">
        <v>902</v>
      </c>
      <c r="E1181" s="191">
        <v>41851</v>
      </c>
      <c r="F1181" s="192" t="s">
        <v>1283</v>
      </c>
      <c r="G1181" s="40" t="s">
        <v>1281</v>
      </c>
      <c r="H1181" s="193" t="s">
        <v>1316</v>
      </c>
      <c r="I1181" s="256"/>
      <c r="J1181" s="256"/>
      <c r="K1181" s="568">
        <v>100000000</v>
      </c>
      <c r="L1181" s="39" t="s">
        <v>24</v>
      </c>
      <c r="M1181" s="194" t="s">
        <v>47</v>
      </c>
      <c r="N1181" s="52" t="str">
        <f>IF(AND('331-CT'!$E$7=TH!H1181,OR(L1181="331",M1181="331")),"331",IF(AND(OR(L1181="131",M1181="131"),H1181='131-CT'!$E$7),"131",""))</f>
        <v/>
      </c>
      <c r="O1181" s="902" t="str">
        <f>IF(AND('341-CT'!$E$9=H1181,OR(LEFT(L1181,3)=$O$7,LEFT(M1181,3)=$O$7)),"x","")</f>
        <v/>
      </c>
      <c r="P1181" s="52" t="str">
        <f>IF(AND($B1181&gt;='111'!$N$11,$B1181&lt;='111'!$O$11,OR($L1181=$P$7,$M1181=$P$7)),"x","")</f>
        <v>x</v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>x</v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21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8"/>
        <v>7</v>
      </c>
      <c r="C1182" s="37">
        <f t="shared" si="83"/>
        <v>41851</v>
      </c>
      <c r="D1182" s="37" t="s">
        <v>909</v>
      </c>
      <c r="E1182" s="191">
        <v>41851</v>
      </c>
      <c r="F1182" s="40" t="s">
        <v>903</v>
      </c>
      <c r="G1182" s="40" t="s">
        <v>1281</v>
      </c>
      <c r="H1182" s="7" t="s">
        <v>1022</v>
      </c>
      <c r="I1182" s="256"/>
      <c r="J1182" s="256"/>
      <c r="K1182" s="568">
        <v>30000000</v>
      </c>
      <c r="L1182" s="39" t="s">
        <v>8</v>
      </c>
      <c r="M1182" s="39" t="s">
        <v>24</v>
      </c>
      <c r="N1182" s="52" t="str">
        <f>IF(AND('331-CT'!$E$7=TH!H1182,OR(L1182="331",M1182="331")),"331",IF(AND(OR(L1182="131",M1182="131"),H1182='131-CT'!$E$7),"131",""))</f>
        <v>331</v>
      </c>
      <c r="O1182" s="90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>x</v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21"/>
    </row>
    <row r="1183" spans="1:28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ref="B1183" si="84">IF(C1183&lt;&gt;"",MONTH(C1183),"")</f>
        <v>7</v>
      </c>
      <c r="C1183" s="37">
        <f t="shared" si="83"/>
        <v>41851</v>
      </c>
      <c r="D1183" s="37" t="s">
        <v>909</v>
      </c>
      <c r="E1183" s="191">
        <v>41851</v>
      </c>
      <c r="F1183" s="40" t="s">
        <v>910</v>
      </c>
      <c r="G1183" s="40" t="s">
        <v>1281</v>
      </c>
      <c r="H1183" s="7"/>
      <c r="I1183" s="256"/>
      <c r="J1183" s="256"/>
      <c r="K1183" s="568">
        <v>11000</v>
      </c>
      <c r="L1183" s="39" t="s">
        <v>83</v>
      </c>
      <c r="M1183" s="39" t="s">
        <v>24</v>
      </c>
      <c r="N1183" s="52" t="str">
        <f>IF(AND('331-CT'!$E$7=TH!H1183,OR(L1183="331",M1183="331")),"331",IF(AND(OR(L1183="131",M1183="131"),H1183='131-CT'!$E$7),"131",""))</f>
        <v/>
      </c>
      <c r="O1183" s="90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>x</v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>x</v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21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8"/>
        <v>7</v>
      </c>
      <c r="C1184" s="37">
        <f t="shared" si="83"/>
        <v>41851</v>
      </c>
      <c r="D1184" s="37" t="s">
        <v>909</v>
      </c>
      <c r="E1184" s="191">
        <v>41851</v>
      </c>
      <c r="F1184" s="40" t="s">
        <v>903</v>
      </c>
      <c r="G1184" s="40" t="s">
        <v>1281</v>
      </c>
      <c r="H1184" s="7" t="s">
        <v>1087</v>
      </c>
      <c r="I1184" s="256"/>
      <c r="J1184" s="256"/>
      <c r="K1184" s="568">
        <v>50000000</v>
      </c>
      <c r="L1184" s="39" t="s">
        <v>8</v>
      </c>
      <c r="M1184" s="39" t="s">
        <v>24</v>
      </c>
      <c r="N1184" s="52" t="str">
        <f>IF(AND('331-CT'!$E$7=TH!H1184,OR(L1184="331",M1184="331")),"331",IF(AND(OR(L1184="131",M1184="131"),H1184='131-CT'!$E$7),"131",""))</f>
        <v/>
      </c>
      <c r="O1184" s="90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>x</v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21"/>
    </row>
    <row r="1185" spans="1:28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78"/>
        <v>7</v>
      </c>
      <c r="C1185" s="37">
        <f t="shared" ref="C1185" si="85">E1185</f>
        <v>41851</v>
      </c>
      <c r="D1185" s="37" t="s">
        <v>909</v>
      </c>
      <c r="E1185" s="191">
        <v>41851</v>
      </c>
      <c r="F1185" s="40" t="s">
        <v>910</v>
      </c>
      <c r="G1185" s="40" t="s">
        <v>1281</v>
      </c>
      <c r="H1185" s="7"/>
      <c r="I1185" s="256"/>
      <c r="J1185" s="256"/>
      <c r="K1185" s="568">
        <v>11000</v>
      </c>
      <c r="L1185" s="39" t="s">
        <v>83</v>
      </c>
      <c r="M1185" s="39" t="s">
        <v>24</v>
      </c>
      <c r="N1185" s="52" t="str">
        <f>IF(AND('331-CT'!$E$7=TH!H1185,OR(L1185="331",M1185="331")),"331",IF(AND(OR(L1185="131",M1185="131"),H1185='131-CT'!$E$7),"131",""))</f>
        <v/>
      </c>
      <c r="O1185" s="90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>x</v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>x</v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21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8"/>
        <v>7</v>
      </c>
      <c r="C1186" s="37">
        <f t="shared" si="83"/>
        <v>41851</v>
      </c>
      <c r="D1186" s="37" t="s">
        <v>909</v>
      </c>
      <c r="E1186" s="191">
        <v>41851</v>
      </c>
      <c r="F1186" s="40" t="s">
        <v>903</v>
      </c>
      <c r="G1186" s="40" t="s">
        <v>1281</v>
      </c>
      <c r="H1186" s="193" t="s">
        <v>1317</v>
      </c>
      <c r="I1186" s="256"/>
      <c r="J1186" s="256"/>
      <c r="K1186" s="568">
        <v>6000000</v>
      </c>
      <c r="L1186" s="39" t="s">
        <v>8</v>
      </c>
      <c r="M1186" s="39" t="s">
        <v>24</v>
      </c>
      <c r="N1186" s="52" t="str">
        <f>IF(AND('331-CT'!$E$7=TH!H1186,OR(L1186="331",M1186="331")),"331",IF(AND(OR(L1186="131",M1186="131"),H1186='131-CT'!$E$7),"131",""))</f>
        <v/>
      </c>
      <c r="O1186" s="90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>x</v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21"/>
    </row>
    <row r="1187" spans="1:28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78"/>
        <v>7</v>
      </c>
      <c r="C1187" s="37">
        <f t="shared" si="83"/>
        <v>41851</v>
      </c>
      <c r="D1187" s="37" t="s">
        <v>909</v>
      </c>
      <c r="E1187" s="191">
        <v>41851</v>
      </c>
      <c r="F1187" s="40" t="s">
        <v>910</v>
      </c>
      <c r="G1187" s="40" t="s">
        <v>1281</v>
      </c>
      <c r="H1187" s="193"/>
      <c r="I1187" s="256"/>
      <c r="J1187" s="256"/>
      <c r="K1187" s="568">
        <v>11000</v>
      </c>
      <c r="L1187" s="39" t="s">
        <v>83</v>
      </c>
      <c r="M1187" s="39" t="s">
        <v>24</v>
      </c>
      <c r="N1187" s="52" t="str">
        <f>IF(AND('331-CT'!$E$7=TH!H1187,OR(L1187="331",M1187="331")),"331",IF(AND(OR(L1187="131",M1187="131"),H1187='131-CT'!$E$7),"131",""))</f>
        <v/>
      </c>
      <c r="O1187" s="90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>x</v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>x</v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21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78"/>
        <v>7</v>
      </c>
      <c r="C1188" s="37">
        <f t="shared" si="83"/>
        <v>41851</v>
      </c>
      <c r="D1188" s="37" t="s">
        <v>909</v>
      </c>
      <c r="E1188" s="191">
        <v>41851</v>
      </c>
      <c r="F1188" s="40" t="s">
        <v>903</v>
      </c>
      <c r="G1188" s="40" t="s">
        <v>1281</v>
      </c>
      <c r="H1188" s="7" t="s">
        <v>1153</v>
      </c>
      <c r="I1188" s="256"/>
      <c r="J1188" s="256"/>
      <c r="K1188" s="568">
        <v>14000000</v>
      </c>
      <c r="L1188" s="39" t="s">
        <v>8</v>
      </c>
      <c r="M1188" s="39" t="s">
        <v>24</v>
      </c>
      <c r="N1188" s="52" t="str">
        <f>IF(AND('331-CT'!$E$7=TH!H1188,OR(L1188="331",M1188="331")),"331",IF(AND(OR(L1188="131",M1188="131"),H1188='131-CT'!$E$7),"131",""))</f>
        <v/>
      </c>
      <c r="O1188" s="90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>x</v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21"/>
    </row>
    <row r="1189" spans="1:28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78"/>
        <v>7</v>
      </c>
      <c r="C1189" s="37">
        <f t="shared" si="83"/>
        <v>41851</v>
      </c>
      <c r="D1189" s="37" t="s">
        <v>909</v>
      </c>
      <c r="E1189" s="191">
        <v>41851</v>
      </c>
      <c r="F1189" s="40" t="s">
        <v>910</v>
      </c>
      <c r="G1189" s="40" t="s">
        <v>1281</v>
      </c>
      <c r="H1189" s="193"/>
      <c r="I1189" s="256"/>
      <c r="J1189" s="256"/>
      <c r="K1189" s="568">
        <v>22000</v>
      </c>
      <c r="L1189" s="39" t="s">
        <v>83</v>
      </c>
      <c r="M1189" s="39" t="s">
        <v>24</v>
      </c>
      <c r="N1189" s="52" t="str">
        <f>IF(AND('331-CT'!$E$7=TH!H1189,OR(L1189="331",M1189="331")),"331",IF(AND(OR(L1189="131",M1189="131"),H1189='131-CT'!$E$7),"131",""))</f>
        <v/>
      </c>
      <c r="O1189" s="90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>x</v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>x</v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21"/>
    </row>
    <row r="1190" spans="1:28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78"/>
        <v>7</v>
      </c>
      <c r="C1190" s="37">
        <f t="shared" si="83"/>
        <v>41851</v>
      </c>
      <c r="D1190" s="37" t="s">
        <v>909</v>
      </c>
      <c r="E1190" s="191">
        <v>41851</v>
      </c>
      <c r="F1190" s="192" t="s">
        <v>1318</v>
      </c>
      <c r="G1190" s="40" t="s">
        <v>1281</v>
      </c>
      <c r="H1190" s="193"/>
      <c r="I1190" s="256"/>
      <c r="J1190" s="256"/>
      <c r="K1190" s="568">
        <v>44000</v>
      </c>
      <c r="L1190" s="39" t="s">
        <v>83</v>
      </c>
      <c r="M1190" s="39" t="s">
        <v>24</v>
      </c>
      <c r="N1190" s="52" t="str">
        <f>IF(AND('331-CT'!$E$7=TH!H1190,OR(L1190="331",M1190="331")),"331",IF(AND(OR(L1190="131",M1190="131"),H1190='131-CT'!$E$7),"131",""))</f>
        <v/>
      </c>
      <c r="O1190" s="90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>x</v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>x</v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21"/>
    </row>
    <row r="1191" spans="1:28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78"/>
        <v>7</v>
      </c>
      <c r="C1191" s="37">
        <f t="shared" si="83"/>
        <v>41851</v>
      </c>
      <c r="D1191" s="37" t="s">
        <v>902</v>
      </c>
      <c r="E1191" s="191">
        <v>41851</v>
      </c>
      <c r="F1191" s="192" t="s">
        <v>905</v>
      </c>
      <c r="G1191" s="40" t="s">
        <v>1281</v>
      </c>
      <c r="H1191" s="7"/>
      <c r="I1191" s="256"/>
      <c r="J1191" s="256"/>
      <c r="K1191" s="568">
        <v>600</v>
      </c>
      <c r="L1191" s="39" t="s">
        <v>24</v>
      </c>
      <c r="M1191" s="39" t="s">
        <v>40</v>
      </c>
      <c r="N1191" s="52" t="str">
        <f>IF(AND('331-CT'!$E$7=TH!H1191,OR(L1191="331",M1191="331")),"331",IF(AND(OR(L1191="131",M1191="131"),H1191='131-CT'!$E$7),"131",""))</f>
        <v/>
      </c>
      <c r="O1191" s="90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>x</v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21"/>
    </row>
    <row r="1192" spans="1:28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78"/>
        <v>8</v>
      </c>
      <c r="C1192" s="37">
        <f t="shared" si="83"/>
        <v>41877</v>
      </c>
      <c r="D1192" s="37" t="s">
        <v>902</v>
      </c>
      <c r="E1192" s="191">
        <v>41877</v>
      </c>
      <c r="F1192" s="192" t="s">
        <v>1283</v>
      </c>
      <c r="G1192" s="40" t="s">
        <v>1281</v>
      </c>
      <c r="H1192" s="193" t="s">
        <v>1313</v>
      </c>
      <c r="I1192" s="256"/>
      <c r="J1192" s="256"/>
      <c r="K1192" s="568">
        <v>12780000</v>
      </c>
      <c r="L1192" s="39" t="s">
        <v>24</v>
      </c>
      <c r="M1192" s="194" t="s">
        <v>47</v>
      </c>
      <c r="N1192" s="52" t="str">
        <f>IF(AND('331-CT'!$E$7=TH!H1192,OR(L1192="331",M1192="331")),"331",IF(AND(OR(L1192="131",M1192="131"),H1192='131-CT'!$E$7),"131",""))</f>
        <v/>
      </c>
      <c r="O1192" s="902" t="str">
        <f>IF(AND('341-CT'!$E$9=H1192,OR(LEFT(L1192,3)=$O$7,LEFT(M1192,3)=$O$7)),"x","")</f>
        <v/>
      </c>
      <c r="P1192" s="52" t="str">
        <f>IF(AND($B1192&gt;='111'!$N$11,$B1192&lt;='111'!$O$11,OR($L1192=$P$7,$M1192=$P$7)),"x","")</f>
        <v>x</v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>x</v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21"/>
    </row>
    <row r="1193" spans="1:28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78"/>
        <v>8</v>
      </c>
      <c r="C1193" s="37">
        <f t="shared" si="83"/>
        <v>41877</v>
      </c>
      <c r="D1193" s="37" t="s">
        <v>909</v>
      </c>
      <c r="E1193" s="191">
        <v>41877</v>
      </c>
      <c r="F1193" s="192" t="s">
        <v>1314</v>
      </c>
      <c r="G1193" s="40" t="s">
        <v>1281</v>
      </c>
      <c r="H1193" s="7" t="s">
        <v>1312</v>
      </c>
      <c r="I1193" s="257"/>
      <c r="J1193" s="257"/>
      <c r="K1193" s="568">
        <v>976017</v>
      </c>
      <c r="L1193" s="39" t="s">
        <v>81</v>
      </c>
      <c r="M1193" s="194" t="s">
        <v>24</v>
      </c>
      <c r="N1193" s="52" t="str">
        <f>IF(AND('331-CT'!$E$7=TH!H1193,OR(L1193="331",M1193="331")),"331",IF(AND(OR(L1193="131",M1193="131"),H1193='131-CT'!$E$7),"131",""))</f>
        <v/>
      </c>
      <c r="O1193" s="90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>x</v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21"/>
    </row>
    <row r="1194" spans="1:28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78"/>
        <v>8</v>
      </c>
      <c r="C1194" s="37">
        <f t="shared" si="83"/>
        <v>41877</v>
      </c>
      <c r="D1194" s="37" t="s">
        <v>909</v>
      </c>
      <c r="E1194" s="191">
        <v>41877</v>
      </c>
      <c r="F1194" s="192" t="s">
        <v>1314</v>
      </c>
      <c r="G1194" s="40" t="s">
        <v>1281</v>
      </c>
      <c r="H1194" s="7" t="s">
        <v>1302</v>
      </c>
      <c r="I1194" s="256"/>
      <c r="J1194" s="256"/>
      <c r="K1194" s="568">
        <v>1039792</v>
      </c>
      <c r="L1194" s="39" t="s">
        <v>81</v>
      </c>
      <c r="M1194" s="194" t="s">
        <v>24</v>
      </c>
      <c r="N1194" s="52" t="str">
        <f>IF(AND('331-CT'!$E$7=TH!H1194,OR(L1194="331",M1194="331")),"331",IF(AND(OR(L1194="131",M1194="131"),H1194='131-CT'!$E$7),"131",""))</f>
        <v/>
      </c>
      <c r="O1194" s="90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>x</v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21"/>
    </row>
    <row r="1195" spans="1:28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78"/>
        <v>8</v>
      </c>
      <c r="C1195" s="37">
        <f t="shared" si="83"/>
        <v>41877</v>
      </c>
      <c r="D1195" s="37" t="s">
        <v>909</v>
      </c>
      <c r="E1195" s="191">
        <v>41877</v>
      </c>
      <c r="F1195" s="192" t="s">
        <v>1314</v>
      </c>
      <c r="G1195" s="40" t="s">
        <v>1281</v>
      </c>
      <c r="H1195" s="7" t="s">
        <v>1315</v>
      </c>
      <c r="I1195" s="257"/>
      <c r="J1195" s="257"/>
      <c r="K1195" s="568">
        <v>10763889</v>
      </c>
      <c r="L1195" s="39" t="s">
        <v>81</v>
      </c>
      <c r="M1195" s="194" t="s">
        <v>24</v>
      </c>
      <c r="N1195" s="52" t="str">
        <f>IF(AND('331-CT'!$E$7=TH!H1195,OR(L1195="331",M1195="331")),"331",IF(AND(OR(L1195="131",M1195="131"),H1195='131-CT'!$E$7),"131",""))</f>
        <v/>
      </c>
      <c r="O1195" s="90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>x</v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21"/>
    </row>
    <row r="1196" spans="1:28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78"/>
        <v>8</v>
      </c>
      <c r="C1196" s="37">
        <f t="shared" si="83"/>
        <v>41880</v>
      </c>
      <c r="D1196" s="37" t="s">
        <v>902</v>
      </c>
      <c r="E1196" s="191">
        <v>41880</v>
      </c>
      <c r="F1196" s="192" t="s">
        <v>905</v>
      </c>
      <c r="G1196" s="40" t="s">
        <v>1281</v>
      </c>
      <c r="H1196" s="7"/>
      <c r="I1196" s="256"/>
      <c r="J1196" s="256"/>
      <c r="K1196" s="568">
        <v>600</v>
      </c>
      <c r="L1196" s="39" t="s">
        <v>24</v>
      </c>
      <c r="M1196" s="39" t="s">
        <v>40</v>
      </c>
      <c r="N1196" s="52" t="str">
        <f>IF(AND('331-CT'!$E$7=TH!H1196,OR(L1196="331",M1196="331")),"331",IF(AND(OR(L1196="131",M1196="131"),H1196='131-CT'!$E$7),"131",""))</f>
        <v/>
      </c>
      <c r="O1196" s="90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>x</v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21"/>
    </row>
    <row r="1197" spans="1:28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78"/>
        <v>9</v>
      </c>
      <c r="C1197" s="37">
        <f t="shared" ref="C1197" si="86">E1197</f>
        <v>41891</v>
      </c>
      <c r="D1197" s="37" t="s">
        <v>909</v>
      </c>
      <c r="E1197" s="191">
        <v>41891</v>
      </c>
      <c r="F1197" s="192" t="s">
        <v>1332</v>
      </c>
      <c r="G1197" s="40" t="s">
        <v>1281</v>
      </c>
      <c r="H1197" s="7" t="s">
        <v>1320</v>
      </c>
      <c r="I1197" s="256"/>
      <c r="J1197" s="256"/>
      <c r="K1197" s="568">
        <v>99560000</v>
      </c>
      <c r="L1197" s="39" t="s">
        <v>24</v>
      </c>
      <c r="M1197" s="39" t="s">
        <v>1287</v>
      </c>
      <c r="N1197" s="52" t="str">
        <f>IF(AND('331-CT'!$E$7=TH!H1197,OR(L1197="331",M1197="331")),"331",IF(AND(OR(L1197="131",M1197="131"),H1197='131-CT'!$E$7),"131",""))</f>
        <v/>
      </c>
      <c r="O1197" s="90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>x</v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21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ref="B1198" si="87">IF(C1198&lt;&gt;"",MONTH(C1198),"")</f>
        <v>9</v>
      </c>
      <c r="C1198" s="37">
        <f t="shared" ref="C1198" si="88">E1198</f>
        <v>41891</v>
      </c>
      <c r="D1198" s="37" t="s">
        <v>909</v>
      </c>
      <c r="E1198" s="191">
        <v>41891</v>
      </c>
      <c r="F1198" s="40" t="s">
        <v>903</v>
      </c>
      <c r="G1198" s="40" t="s">
        <v>1281</v>
      </c>
      <c r="H1198" s="7"/>
      <c r="I1198" s="256"/>
      <c r="J1198" s="256"/>
      <c r="K1198" s="568">
        <v>99560000</v>
      </c>
      <c r="L1198" s="39" t="s">
        <v>8</v>
      </c>
      <c r="M1198" s="39" t="s">
        <v>24</v>
      </c>
      <c r="N1198" s="52" t="str">
        <f>IF(AND('331-CT'!$E$7=TH!H1198,OR(L1198="331",M1198="331")),"331",IF(AND(OR(L1198="131",M1198="131"),H1198='131-CT'!$E$7),"131",""))</f>
        <v/>
      </c>
      <c r="O1198" s="90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>x</v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21"/>
    </row>
    <row r="1199" spans="1:28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78"/>
        <v>9</v>
      </c>
      <c r="C1199" s="37">
        <f t="shared" si="83"/>
        <v>41908</v>
      </c>
      <c r="D1199" s="37" t="s">
        <v>902</v>
      </c>
      <c r="E1199" s="191">
        <v>41908</v>
      </c>
      <c r="F1199" s="192" t="s">
        <v>1283</v>
      </c>
      <c r="G1199" s="40" t="s">
        <v>1281</v>
      </c>
      <c r="H1199" s="193" t="s">
        <v>1313</v>
      </c>
      <c r="I1199" s="256"/>
      <c r="J1199" s="256"/>
      <c r="K1199" s="568">
        <v>2780000</v>
      </c>
      <c r="L1199" s="39" t="s">
        <v>24</v>
      </c>
      <c r="M1199" s="194" t="s">
        <v>47</v>
      </c>
      <c r="N1199" s="52" t="str">
        <f>IF(AND('331-CT'!$E$7=TH!H1199,OR(L1199="331",M1199="331")),"331",IF(AND(OR(L1199="131",M1199="131"),H1199='131-CT'!$E$7),"131",""))</f>
        <v/>
      </c>
      <c r="O1199" s="902" t="str">
        <f>IF(AND('341-CT'!$E$9=H1199,OR(LEFT(L1199,3)=$O$7,LEFT(M1199,3)=$O$7)),"x","")</f>
        <v/>
      </c>
      <c r="P1199" s="52" t="str">
        <f>IF(AND($B1199&gt;='111'!$N$11,$B1199&lt;='111'!$O$11,OR($L1199=$P$7,$M1199=$P$7)),"x","")</f>
        <v>x</v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>x</v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21"/>
    </row>
    <row r="1200" spans="1:28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78"/>
        <v>9</v>
      </c>
      <c r="C1200" s="37">
        <f t="shared" si="83"/>
        <v>41908</v>
      </c>
      <c r="D1200" s="37" t="s">
        <v>902</v>
      </c>
      <c r="E1200" s="191">
        <v>41908</v>
      </c>
      <c r="F1200" s="192" t="s">
        <v>1283</v>
      </c>
      <c r="G1200" s="40" t="s">
        <v>1281</v>
      </c>
      <c r="H1200" s="193" t="s">
        <v>1319</v>
      </c>
      <c r="I1200" s="256"/>
      <c r="J1200" s="256"/>
      <c r="K1200" s="568">
        <v>10000000</v>
      </c>
      <c r="L1200" s="39" t="s">
        <v>24</v>
      </c>
      <c r="M1200" s="194" t="s">
        <v>47</v>
      </c>
      <c r="N1200" s="52" t="str">
        <f>IF(AND('331-CT'!$E$7=TH!H1200,OR(L1200="331",M1200="331")),"331",IF(AND(OR(L1200="131",M1200="131"),H1200='131-CT'!$E$7),"131",""))</f>
        <v/>
      </c>
      <c r="O1200" s="902" t="str">
        <f>IF(AND('341-CT'!$E$9=H1200,OR(LEFT(L1200,3)=$O$7,LEFT(M1200,3)=$O$7)),"x","")</f>
        <v/>
      </c>
      <c r="P1200" s="52" t="str">
        <f>IF(AND($B1200&gt;='111'!$N$11,$B1200&lt;='111'!$O$11,OR($L1200=$P$7,$M1200=$P$7)),"x","")</f>
        <v>x</v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>x</v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21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78"/>
        <v>9</v>
      </c>
      <c r="C1201" s="37">
        <f t="shared" si="83"/>
        <v>41908</v>
      </c>
      <c r="D1201" s="37" t="s">
        <v>909</v>
      </c>
      <c r="E1201" s="191">
        <v>41908</v>
      </c>
      <c r="F1201" s="192" t="s">
        <v>1314</v>
      </c>
      <c r="G1201" s="40" t="s">
        <v>1281</v>
      </c>
      <c r="H1201" s="7" t="s">
        <v>1312</v>
      </c>
      <c r="I1201" s="257"/>
      <c r="J1201" s="257"/>
      <c r="K1201" s="568">
        <v>976017</v>
      </c>
      <c r="L1201" s="39" t="s">
        <v>81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90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>x</v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21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78"/>
        <v>9</v>
      </c>
      <c r="C1202" s="37">
        <f t="shared" si="83"/>
        <v>41908</v>
      </c>
      <c r="D1202" s="37" t="s">
        <v>909</v>
      </c>
      <c r="E1202" s="191">
        <v>41908</v>
      </c>
      <c r="F1202" s="192" t="s">
        <v>1314</v>
      </c>
      <c r="G1202" s="40" t="s">
        <v>1281</v>
      </c>
      <c r="H1202" s="7" t="s">
        <v>1302</v>
      </c>
      <c r="I1202" s="256"/>
      <c r="J1202" s="256"/>
      <c r="K1202" s="568">
        <v>1039792</v>
      </c>
      <c r="L1202" s="39" t="s">
        <v>81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90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>x</v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21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78"/>
        <v>9</v>
      </c>
      <c r="C1203" s="37">
        <f t="shared" si="83"/>
        <v>41908</v>
      </c>
      <c r="D1203" s="37" t="s">
        <v>909</v>
      </c>
      <c r="E1203" s="191">
        <v>41908</v>
      </c>
      <c r="F1203" s="192" t="s">
        <v>1314</v>
      </c>
      <c r="G1203" s="40" t="s">
        <v>1281</v>
      </c>
      <c r="H1203" s="7" t="s">
        <v>1315</v>
      </c>
      <c r="I1203" s="257"/>
      <c r="J1203" s="257"/>
      <c r="K1203" s="568">
        <v>10763889</v>
      </c>
      <c r="L1203" s="39" t="s">
        <v>81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90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>x</v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21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78"/>
        <v>9</v>
      </c>
      <c r="C1204" s="37">
        <f t="shared" si="83"/>
        <v>41912</v>
      </c>
      <c r="D1204" s="37" t="s">
        <v>902</v>
      </c>
      <c r="E1204" s="191">
        <v>41912</v>
      </c>
      <c r="F1204" s="192" t="s">
        <v>905</v>
      </c>
      <c r="G1204" s="40" t="s">
        <v>1281</v>
      </c>
      <c r="H1204" s="7"/>
      <c r="I1204" s="256"/>
      <c r="J1204" s="256"/>
      <c r="K1204" s="568">
        <v>700</v>
      </c>
      <c r="L1204" s="39" t="s">
        <v>24</v>
      </c>
      <c r="M1204" s="39" t="s">
        <v>40</v>
      </c>
      <c r="N1204" s="52" t="str">
        <f>IF(AND('331-CT'!$E$7=TH!H1204,OR(L1204="331",M1204="331")),"331",IF(AND(OR(L1204="131",M1204="131"),H1204='131-CT'!$E$7),"131",""))</f>
        <v/>
      </c>
      <c r="O1204" s="90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>x</v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21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>GBC</v>
      </c>
      <c r="B1205" s="36">
        <f t="shared" si="78"/>
        <v>10</v>
      </c>
      <c r="C1205" s="37">
        <f t="shared" si="83"/>
        <v>41939</v>
      </c>
      <c r="D1205" s="37" t="s">
        <v>902</v>
      </c>
      <c r="E1205" s="191">
        <v>41939</v>
      </c>
      <c r="F1205" s="192" t="s">
        <v>1283</v>
      </c>
      <c r="G1205" s="40" t="s">
        <v>1281</v>
      </c>
      <c r="H1205" s="193" t="s">
        <v>1313</v>
      </c>
      <c r="I1205" s="256"/>
      <c r="J1205" s="256"/>
      <c r="K1205" s="568">
        <v>13989447</v>
      </c>
      <c r="L1205" s="39" t="s">
        <v>24</v>
      </c>
      <c r="M1205" s="194" t="s">
        <v>47</v>
      </c>
      <c r="N1205" s="52" t="str">
        <f>IF(AND('331-CT'!$E$7=TH!H1205,OR(L1205="331",M1205="331")),"331",IF(AND(OR(L1205="131",M1205="131"),H1205='131-CT'!$E$7),"131",""))</f>
        <v/>
      </c>
      <c r="O1205" s="90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21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78"/>
        <v>10</v>
      </c>
      <c r="C1206" s="37">
        <f t="shared" si="83"/>
        <v>41940</v>
      </c>
      <c r="D1206" s="37" t="s">
        <v>909</v>
      </c>
      <c r="E1206" s="191">
        <v>41940</v>
      </c>
      <c r="F1206" s="192" t="s">
        <v>1314</v>
      </c>
      <c r="G1206" s="40" t="s">
        <v>1281</v>
      </c>
      <c r="H1206" s="7" t="s">
        <v>1312</v>
      </c>
      <c r="I1206" s="257"/>
      <c r="J1206" s="257"/>
      <c r="K1206" s="568">
        <v>944533</v>
      </c>
      <c r="L1206" s="39" t="s">
        <v>81</v>
      </c>
      <c r="M1206" s="194" t="s">
        <v>24</v>
      </c>
      <c r="N1206" s="52" t="str">
        <f>IF(AND('331-CT'!$E$7=TH!H1206,OR(L1206="331",M1206="331")),"331",IF(AND(OR(L1206="131",M1206="131"),H1206='131-CT'!$E$7),"131",""))</f>
        <v/>
      </c>
      <c r="O1206" s="90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21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78"/>
        <v>10</v>
      </c>
      <c r="C1207" s="37">
        <f t="shared" si="83"/>
        <v>41940</v>
      </c>
      <c r="D1207" s="37" t="s">
        <v>909</v>
      </c>
      <c r="E1207" s="191">
        <v>41940</v>
      </c>
      <c r="F1207" s="192" t="s">
        <v>1314</v>
      </c>
      <c r="G1207" s="40" t="s">
        <v>1281</v>
      </c>
      <c r="H1207" s="7" t="s">
        <v>1302</v>
      </c>
      <c r="I1207" s="256"/>
      <c r="J1207" s="256"/>
      <c r="K1207" s="568">
        <v>1006250</v>
      </c>
      <c r="L1207" s="39" t="s">
        <v>81</v>
      </c>
      <c r="M1207" s="194" t="s">
        <v>24</v>
      </c>
      <c r="N1207" s="52" t="str">
        <f>IF(AND('331-CT'!$E$7=TH!H1207,OR(L1207="331",M1207="331")),"331",IF(AND(OR(L1207="131",M1207="131"),H1207='131-CT'!$E$7),"131",""))</f>
        <v/>
      </c>
      <c r="O1207" s="90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21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78"/>
        <v>10</v>
      </c>
      <c r="C1208" s="37">
        <f t="shared" si="83"/>
        <v>41940</v>
      </c>
      <c r="D1208" s="37" t="s">
        <v>909</v>
      </c>
      <c r="E1208" s="191">
        <v>41940</v>
      </c>
      <c r="F1208" s="192" t="s">
        <v>1314</v>
      </c>
      <c r="G1208" s="40" t="s">
        <v>1281</v>
      </c>
      <c r="H1208" s="7" t="s">
        <v>1315</v>
      </c>
      <c r="I1208" s="257"/>
      <c r="J1208" s="257"/>
      <c r="K1208" s="568">
        <v>10416666</v>
      </c>
      <c r="L1208" s="39" t="s">
        <v>81</v>
      </c>
      <c r="M1208" s="194" t="s">
        <v>24</v>
      </c>
      <c r="N1208" s="52" t="str">
        <f>IF(AND('331-CT'!$E$7=TH!H1208,OR(L1208="331",M1208="331")),"331",IF(AND(OR(L1208="131",M1208="131"),H1208='131-CT'!$E$7),"131",""))</f>
        <v/>
      </c>
      <c r="O1208" s="90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21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ref="B1209:B1272" si="89">IF(C1209&lt;&gt;"",MONTH(C1209),"")</f>
        <v>10</v>
      </c>
      <c r="C1209" s="37">
        <f t="shared" si="83"/>
        <v>41940</v>
      </c>
      <c r="D1209" s="37" t="s">
        <v>909</v>
      </c>
      <c r="E1209" s="191">
        <v>41940</v>
      </c>
      <c r="F1209" s="192" t="s">
        <v>1314</v>
      </c>
      <c r="G1209" s="40" t="s">
        <v>1281</v>
      </c>
      <c r="H1209" s="7" t="s">
        <v>1320</v>
      </c>
      <c r="I1209" s="256"/>
      <c r="J1209" s="256"/>
      <c r="K1209" s="568">
        <v>1621998</v>
      </c>
      <c r="L1209" s="39" t="s">
        <v>81</v>
      </c>
      <c r="M1209" s="194" t="s">
        <v>24</v>
      </c>
      <c r="N1209" s="52" t="str">
        <f>IF(AND('331-CT'!$E$7=TH!H1209,OR(L1209="331",M1209="331")),"331",IF(AND(OR(L1209="131",M1209="131"),H1209='131-CT'!$E$7),"131",""))</f>
        <v/>
      </c>
      <c r="O1209" s="90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21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89"/>
        <v>10</v>
      </c>
      <c r="C1210" s="37">
        <f t="shared" si="83"/>
        <v>41943</v>
      </c>
      <c r="D1210" s="37" t="s">
        <v>902</v>
      </c>
      <c r="E1210" s="191">
        <v>41943</v>
      </c>
      <c r="F1210" s="192" t="s">
        <v>905</v>
      </c>
      <c r="G1210" s="40" t="s">
        <v>1281</v>
      </c>
      <c r="H1210" s="7"/>
      <c r="I1210" s="256"/>
      <c r="J1210" s="256"/>
      <c r="K1210" s="568">
        <v>800</v>
      </c>
      <c r="L1210" s="39" t="s">
        <v>24</v>
      </c>
      <c r="M1210" s="39" t="s">
        <v>40</v>
      </c>
      <c r="N1210" s="52" t="str">
        <f>IF(AND('331-CT'!$E$7=TH!H1210,OR(L1210="331",M1210="331")),"331",IF(AND(OR(L1210="131",M1210="131"),H1210='131-CT'!$E$7),"131",""))</f>
        <v/>
      </c>
      <c r="O1210" s="90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21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89"/>
        <v>11</v>
      </c>
      <c r="C1211" s="37">
        <f t="shared" si="83"/>
        <v>41962</v>
      </c>
      <c r="D1211" s="37" t="s">
        <v>902</v>
      </c>
      <c r="E1211" s="191">
        <v>41962</v>
      </c>
      <c r="F1211" s="192" t="s">
        <v>905</v>
      </c>
      <c r="G1211" s="40" t="s">
        <v>1281</v>
      </c>
      <c r="H1211" s="7"/>
      <c r="I1211" s="256"/>
      <c r="J1211" s="256"/>
      <c r="K1211" s="568">
        <v>600</v>
      </c>
      <c r="L1211" s="39" t="s">
        <v>24</v>
      </c>
      <c r="M1211" s="39" t="s">
        <v>40</v>
      </c>
      <c r="N1211" s="52" t="str">
        <f>IF(AND('331-CT'!$E$7=TH!H1211,OR(L1211="331",M1211="331")),"331",IF(AND(OR(L1211="131",M1211="131"),H1211='131-CT'!$E$7),"131",""))</f>
        <v/>
      </c>
      <c r="O1211" s="90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21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>GBC</v>
      </c>
      <c r="B1212" s="36">
        <f t="shared" si="89"/>
        <v>12</v>
      </c>
      <c r="C1212" s="37">
        <f t="shared" si="83"/>
        <v>41974</v>
      </c>
      <c r="D1212" s="37" t="s">
        <v>902</v>
      </c>
      <c r="E1212" s="191">
        <v>41974</v>
      </c>
      <c r="F1212" s="192" t="s">
        <v>1283</v>
      </c>
      <c r="G1212" s="40" t="s">
        <v>1281</v>
      </c>
      <c r="H1212" s="193" t="s">
        <v>1313</v>
      </c>
      <c r="I1212" s="256"/>
      <c r="J1212" s="256"/>
      <c r="K1212" s="568">
        <v>13765619</v>
      </c>
      <c r="L1212" s="39" t="s">
        <v>24</v>
      </c>
      <c r="M1212" s="194" t="s">
        <v>47</v>
      </c>
      <c r="N1212" s="52" t="str">
        <f>IF(AND('331-CT'!$E$7=TH!H1212,OR(L1212="331",M1212="331")),"331",IF(AND(OR(L1212="131",M1212="131"),H1212='131-CT'!$E$7),"131",""))</f>
        <v/>
      </c>
      <c r="O1212" s="90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21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89"/>
        <v>12</v>
      </c>
      <c r="C1213" s="37">
        <f t="shared" si="83"/>
        <v>41975</v>
      </c>
      <c r="D1213" s="37" t="s">
        <v>909</v>
      </c>
      <c r="E1213" s="191">
        <v>41975</v>
      </c>
      <c r="F1213" s="192" t="s">
        <v>1314</v>
      </c>
      <c r="G1213" s="40" t="s">
        <v>1281</v>
      </c>
      <c r="H1213" s="7" t="s">
        <v>1312</v>
      </c>
      <c r="I1213" s="257"/>
      <c r="J1213" s="257"/>
      <c r="K1213" s="568">
        <v>976017</v>
      </c>
      <c r="L1213" s="39" t="s">
        <v>81</v>
      </c>
      <c r="M1213" s="194" t="s">
        <v>24</v>
      </c>
      <c r="N1213" s="52" t="str">
        <f>IF(AND('331-CT'!$E$7=TH!H1213,OR(L1213="331",M1213="331")),"331",IF(AND(OR(L1213="131",M1213="131"),H1213='131-CT'!$E$7),"131",""))</f>
        <v/>
      </c>
      <c r="O1213" s="90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21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89"/>
        <v>12</v>
      </c>
      <c r="C1214" s="37">
        <f t="shared" si="83"/>
        <v>41975</v>
      </c>
      <c r="D1214" s="37" t="s">
        <v>909</v>
      </c>
      <c r="E1214" s="191">
        <v>41975</v>
      </c>
      <c r="F1214" s="192" t="s">
        <v>1314</v>
      </c>
      <c r="G1214" s="40" t="s">
        <v>1281</v>
      </c>
      <c r="H1214" s="7" t="s">
        <v>1302</v>
      </c>
      <c r="I1214" s="256"/>
      <c r="J1214" s="256"/>
      <c r="K1214" s="568">
        <v>1039792</v>
      </c>
      <c r="L1214" s="39" t="s">
        <v>81</v>
      </c>
      <c r="M1214" s="194" t="s">
        <v>24</v>
      </c>
      <c r="N1214" s="52" t="str">
        <f>IF(AND('331-CT'!$E$7=TH!H1214,OR(L1214="331",M1214="331")),"331",IF(AND(OR(L1214="131",M1214="131"),H1214='131-CT'!$E$7),"131",""))</f>
        <v/>
      </c>
      <c r="O1214" s="90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21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89"/>
        <v>12</v>
      </c>
      <c r="C1215" s="37">
        <f t="shared" si="83"/>
        <v>41975</v>
      </c>
      <c r="D1215" s="37" t="s">
        <v>909</v>
      </c>
      <c r="E1215" s="191">
        <v>41975</v>
      </c>
      <c r="F1215" s="192" t="s">
        <v>1314</v>
      </c>
      <c r="G1215" s="40" t="s">
        <v>1281</v>
      </c>
      <c r="H1215" s="7" t="s">
        <v>1315</v>
      </c>
      <c r="I1215" s="257"/>
      <c r="J1215" s="257"/>
      <c r="K1215" s="568">
        <v>10763889</v>
      </c>
      <c r="L1215" s="39" t="s">
        <v>81</v>
      </c>
      <c r="M1215" s="194" t="s">
        <v>24</v>
      </c>
      <c r="N1215" s="52" t="str">
        <f>IF(AND('331-CT'!$E$7=TH!H1215,OR(L1215="331",M1215="331")),"331",IF(AND(OR(L1215="131",M1215="131"),H1215='131-CT'!$E$7),"131",""))</f>
        <v/>
      </c>
      <c r="O1215" s="90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21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89"/>
        <v>12</v>
      </c>
      <c r="C1216" s="37">
        <f t="shared" si="83"/>
        <v>41975</v>
      </c>
      <c r="D1216" s="37" t="s">
        <v>909</v>
      </c>
      <c r="E1216" s="191">
        <v>41975</v>
      </c>
      <c r="F1216" s="192" t="s">
        <v>1314</v>
      </c>
      <c r="G1216" s="40" t="s">
        <v>1281</v>
      </c>
      <c r="H1216" s="7" t="s">
        <v>1320</v>
      </c>
      <c r="I1216" s="256"/>
      <c r="J1216" s="256"/>
      <c r="K1216" s="568">
        <v>985921</v>
      </c>
      <c r="L1216" s="39" t="s">
        <v>81</v>
      </c>
      <c r="M1216" s="194" t="s">
        <v>24</v>
      </c>
      <c r="N1216" s="52" t="str">
        <f>IF(AND('331-CT'!$E$7=TH!H1216,OR(L1216="331",M1216="331")),"331",IF(AND(OR(L1216="131",M1216="131"),H1216='131-CT'!$E$7),"131",""))</f>
        <v/>
      </c>
      <c r="O1216" s="90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21"/>
    </row>
    <row r="1217" spans="1:28" s="211" customFormat="1" ht="15.75" hidden="1" customHeight="1">
      <c r="A1217" s="204" t="str">
        <f>IF(B1217&lt;&gt;"",IF(AND(B1217&gt;=_TM1,B1217&lt;=_TM2,OR(TH!L1217="1111",TH!M1217="1111")),TH!D1217,""),"")</f>
        <v>GBC</v>
      </c>
      <c r="B1217" s="36">
        <f t="shared" si="89"/>
        <v>12</v>
      </c>
      <c r="C1217" s="37">
        <f t="shared" si="83"/>
        <v>41983</v>
      </c>
      <c r="D1217" s="37" t="s">
        <v>902</v>
      </c>
      <c r="E1217" s="191">
        <v>41983</v>
      </c>
      <c r="F1217" s="192" t="s">
        <v>1283</v>
      </c>
      <c r="G1217" s="40" t="s">
        <v>1281</v>
      </c>
      <c r="H1217" s="193" t="s">
        <v>1321</v>
      </c>
      <c r="I1217" s="256"/>
      <c r="J1217" s="256"/>
      <c r="K1217" s="568">
        <v>105700000</v>
      </c>
      <c r="L1217" s="39" t="s">
        <v>24</v>
      </c>
      <c r="M1217" s="194" t="s">
        <v>47</v>
      </c>
      <c r="N1217" s="52" t="str">
        <f>IF(AND('331-CT'!$E$7=TH!H1217,OR(L1217="331",M1217="331")),"331",IF(AND(OR(L1217="131",M1217="131"),H1217='131-CT'!$E$7),"131",""))</f>
        <v/>
      </c>
      <c r="O1217" s="90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21"/>
    </row>
    <row r="1218" spans="1:28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89"/>
        <v>12</v>
      </c>
      <c r="C1218" s="37">
        <f t="shared" si="83"/>
        <v>41983</v>
      </c>
      <c r="D1218" s="37" t="s">
        <v>909</v>
      </c>
      <c r="E1218" s="191">
        <v>41983</v>
      </c>
      <c r="F1218" s="192" t="s">
        <v>1325</v>
      </c>
      <c r="G1218" s="40" t="s">
        <v>1281</v>
      </c>
      <c r="H1218" s="7" t="s">
        <v>1302</v>
      </c>
      <c r="I1218" s="257"/>
      <c r="J1218" s="257"/>
      <c r="K1218" s="568">
        <v>105000000</v>
      </c>
      <c r="L1218" s="39" t="s">
        <v>1287</v>
      </c>
      <c r="M1218" s="194" t="s">
        <v>24</v>
      </c>
      <c r="N1218" s="52" t="str">
        <f>IF(AND('331-CT'!$E$7=TH!H1218,OR(L1218="331",M1218="331")),"331",IF(AND(OR(L1218="131",M1218="131"),H1218='131-CT'!$E$7),"131",""))</f>
        <v/>
      </c>
      <c r="O1218" s="902" t="str">
        <f>IF(AND('341-CT'!$E$9=H1218,OR(LEFT(L1218,3)=$O$7,LEFT(M1218,3)=$O$7)),"x","")</f>
        <v>x</v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21"/>
    </row>
    <row r="1219" spans="1:28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ref="B1219" si="90">IF(C1219&lt;&gt;"",MONTH(C1219),"")</f>
        <v>12</v>
      </c>
      <c r="C1219" s="37">
        <f t="shared" ref="C1219" si="91">E1219</f>
        <v>41983</v>
      </c>
      <c r="D1219" s="37" t="s">
        <v>909</v>
      </c>
      <c r="E1219" s="191">
        <v>41983</v>
      </c>
      <c r="F1219" s="192" t="s">
        <v>1314</v>
      </c>
      <c r="G1219" s="40" t="s">
        <v>1281</v>
      </c>
      <c r="H1219" s="7" t="s">
        <v>1302</v>
      </c>
      <c r="I1219" s="257"/>
      <c r="J1219" s="257"/>
      <c r="K1219" s="568">
        <v>620521</v>
      </c>
      <c r="L1219" s="39" t="s">
        <v>81</v>
      </c>
      <c r="M1219" s="194" t="s">
        <v>24</v>
      </c>
      <c r="N1219" s="52" t="str">
        <f>IF(AND('331-CT'!$E$7=TH!H1219,OR(L1219="331",M1219="331")),"331",IF(AND(OR(L1219="131",M1219="131"),H1219='131-CT'!$E$7),"131",""))</f>
        <v/>
      </c>
      <c r="O1219" s="90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21"/>
    </row>
    <row r="1220" spans="1:28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89"/>
        <v>12</v>
      </c>
      <c r="C1220" s="37">
        <f t="shared" si="83"/>
        <v>41983</v>
      </c>
      <c r="D1220" s="37" t="s">
        <v>902</v>
      </c>
      <c r="E1220" s="191">
        <v>41983</v>
      </c>
      <c r="F1220" s="7" t="s">
        <v>1323</v>
      </c>
      <c r="G1220" s="40" t="s">
        <v>1281</v>
      </c>
      <c r="H1220" s="7" t="s">
        <v>1322</v>
      </c>
      <c r="I1220" s="256"/>
      <c r="J1220" s="256"/>
      <c r="K1220" s="568">
        <v>99560000</v>
      </c>
      <c r="L1220" s="39" t="s">
        <v>24</v>
      </c>
      <c r="M1220" s="39" t="s">
        <v>1287</v>
      </c>
      <c r="N1220" s="52" t="str">
        <f>IF(AND('331-CT'!$E$7=TH!H1220,OR(L1220="331",M1220="331")),"331",IF(AND(OR(L1220="131",M1220="131"),H1220='131-CT'!$E$7),"131",""))</f>
        <v/>
      </c>
      <c r="O1220" s="90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21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>GBN</v>
      </c>
      <c r="B1221" s="36">
        <f t="shared" si="89"/>
        <v>12</v>
      </c>
      <c r="C1221" s="37">
        <f t="shared" si="83"/>
        <v>41985</v>
      </c>
      <c r="D1221" s="37" t="s">
        <v>909</v>
      </c>
      <c r="E1221" s="191">
        <v>41985</v>
      </c>
      <c r="F1221" s="192" t="s">
        <v>1308</v>
      </c>
      <c r="G1221" s="40" t="s">
        <v>1281</v>
      </c>
      <c r="H1221" s="193" t="s">
        <v>1321</v>
      </c>
      <c r="I1221" s="256"/>
      <c r="J1221" s="256"/>
      <c r="K1221" s="568">
        <v>100000000</v>
      </c>
      <c r="L1221" s="39" t="s">
        <v>47</v>
      </c>
      <c r="M1221" s="194" t="s">
        <v>24</v>
      </c>
      <c r="N1221" s="52" t="str">
        <f>IF(AND('331-CT'!$E$7=TH!H1221,OR(L1221="331",M1221="331")),"331",IF(AND(OR(L1221="131",M1221="131"),H1221='131-CT'!$E$7),"131",""))</f>
        <v/>
      </c>
      <c r="O1221" s="90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21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89"/>
        <v>12</v>
      </c>
      <c r="C1222" s="37">
        <f t="shared" si="83"/>
        <v>41985</v>
      </c>
      <c r="D1222" s="37" t="s">
        <v>909</v>
      </c>
      <c r="E1222" s="191">
        <v>41985</v>
      </c>
      <c r="F1222" s="192" t="s">
        <v>1324</v>
      </c>
      <c r="G1222" s="40" t="s">
        <v>1281</v>
      </c>
      <c r="H1222" s="193"/>
      <c r="I1222" s="256"/>
      <c r="J1222" s="256"/>
      <c r="K1222" s="568">
        <v>11000</v>
      </c>
      <c r="L1222" s="39" t="s">
        <v>83</v>
      </c>
      <c r="M1222" s="194" t="s">
        <v>24</v>
      </c>
      <c r="N1222" s="52" t="str">
        <f>IF(AND('331-CT'!$E$7=TH!H1222,OR(L1222="331",M1222="331")),"331",IF(AND(OR(L1222="131",M1222="131"),H1222='131-CT'!$E$7),"131",""))</f>
        <v/>
      </c>
      <c r="O1222" s="90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>x</v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21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>GBC</v>
      </c>
      <c r="B1223" s="36">
        <f t="shared" si="89"/>
        <v>12</v>
      </c>
      <c r="C1223" s="37">
        <f t="shared" si="83"/>
        <v>41995</v>
      </c>
      <c r="D1223" s="37" t="s">
        <v>902</v>
      </c>
      <c r="E1223" s="191">
        <v>41995</v>
      </c>
      <c r="F1223" s="192" t="s">
        <v>1283</v>
      </c>
      <c r="G1223" s="40" t="s">
        <v>1281</v>
      </c>
      <c r="H1223" s="193" t="s">
        <v>1316</v>
      </c>
      <c r="I1223" s="256"/>
      <c r="J1223" s="256"/>
      <c r="K1223" s="568">
        <v>96000000</v>
      </c>
      <c r="L1223" s="39" t="s">
        <v>24</v>
      </c>
      <c r="M1223" s="194" t="s">
        <v>47</v>
      </c>
      <c r="N1223" s="52" t="str">
        <f>IF(AND('331-CT'!$E$7=TH!H1223,OR(L1223="331",M1223="331")),"331",IF(AND(OR(L1223="131",M1223="131"),H1223='131-CT'!$E$7),"131",""))</f>
        <v/>
      </c>
      <c r="O1223" s="90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21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89"/>
        <v>12</v>
      </c>
      <c r="C1224" s="37">
        <f t="shared" si="83"/>
        <v>41995</v>
      </c>
      <c r="D1224" s="37" t="s">
        <v>909</v>
      </c>
      <c r="E1224" s="191">
        <v>41995</v>
      </c>
      <c r="F1224" s="192" t="s">
        <v>1325</v>
      </c>
      <c r="G1224" s="40" t="s">
        <v>1281</v>
      </c>
      <c r="H1224" s="7" t="s">
        <v>1312</v>
      </c>
      <c r="I1224" s="256"/>
      <c r="J1224" s="256"/>
      <c r="K1224" s="568">
        <v>95986643</v>
      </c>
      <c r="L1224" s="39" t="s">
        <v>1287</v>
      </c>
      <c r="M1224" s="194" t="s">
        <v>24</v>
      </c>
      <c r="N1224" s="52" t="str">
        <f>IF(AND('331-CT'!$E$7=TH!H1224,OR(L1224="331",M1224="331")),"331",IF(AND(OR(L1224="131",M1224="131"),H1224='131-CT'!$E$7),"131",""))</f>
        <v/>
      </c>
      <c r="O1224" s="90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21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>GBC</v>
      </c>
      <c r="B1225" s="36">
        <f t="shared" si="89"/>
        <v>12</v>
      </c>
      <c r="C1225" s="37">
        <f t="shared" si="83"/>
        <v>41996</v>
      </c>
      <c r="D1225" s="37" t="s">
        <v>902</v>
      </c>
      <c r="E1225" s="191">
        <v>41996</v>
      </c>
      <c r="F1225" s="192" t="s">
        <v>1283</v>
      </c>
      <c r="G1225" s="40" t="s">
        <v>1281</v>
      </c>
      <c r="H1225" s="193" t="s">
        <v>1326</v>
      </c>
      <c r="I1225" s="256"/>
      <c r="J1225" s="256"/>
      <c r="K1225" s="568">
        <v>4000000</v>
      </c>
      <c r="L1225" s="39" t="s">
        <v>24</v>
      </c>
      <c r="M1225" s="194" t="s">
        <v>47</v>
      </c>
      <c r="N1225" s="52" t="str">
        <f>IF(AND('331-CT'!$E$7=TH!H1225,OR(L1225="331",M1225="331")),"331",IF(AND(OR(L1225="131",M1225="131"),H1225='131-CT'!$E$7),"131",""))</f>
        <v/>
      </c>
      <c r="O1225" s="90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21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89"/>
        <v>12</v>
      </c>
      <c r="C1226" s="37">
        <f t="shared" si="83"/>
        <v>41996</v>
      </c>
      <c r="D1226" s="37" t="s">
        <v>909</v>
      </c>
      <c r="E1226" s="191">
        <v>41996</v>
      </c>
      <c r="F1226" s="192" t="s">
        <v>1325</v>
      </c>
      <c r="G1226" s="40" t="s">
        <v>1281</v>
      </c>
      <c r="H1226" s="7" t="s">
        <v>1312</v>
      </c>
      <c r="I1226" s="256"/>
      <c r="J1226" s="256"/>
      <c r="K1226" s="568">
        <v>2573357</v>
      </c>
      <c r="L1226" s="39" t="s">
        <v>1287</v>
      </c>
      <c r="M1226" s="194" t="s">
        <v>24</v>
      </c>
      <c r="N1226" s="52" t="str">
        <f>IF(AND('331-CT'!$E$7=TH!H1226,OR(L1226="331",M1226="331")),"331",IF(AND(OR(L1226="131",M1226="131"),H1226='131-CT'!$E$7),"131",""))</f>
        <v/>
      </c>
      <c r="O1226" s="90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21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89"/>
        <v>12</v>
      </c>
      <c r="C1227" s="37">
        <f t="shared" si="83"/>
        <v>41996</v>
      </c>
      <c r="D1227" s="37" t="s">
        <v>909</v>
      </c>
      <c r="E1227" s="191">
        <v>41996</v>
      </c>
      <c r="F1227" s="192" t="s">
        <v>1314</v>
      </c>
      <c r="G1227" s="40" t="s">
        <v>1281</v>
      </c>
      <c r="H1227" s="7" t="s">
        <v>1312</v>
      </c>
      <c r="I1227" s="257"/>
      <c r="J1227" s="257"/>
      <c r="K1227" s="568">
        <v>993466</v>
      </c>
      <c r="L1227" s="39" t="s">
        <v>81</v>
      </c>
      <c r="M1227" s="194" t="s">
        <v>24</v>
      </c>
      <c r="N1227" s="52" t="str">
        <f>IF(AND('331-CT'!$E$7=TH!H1227,OR(L1227="331",M1227="331")),"331",IF(AND(OR(L1227="131",M1227="131"),H1227='131-CT'!$E$7),"131",""))</f>
        <v/>
      </c>
      <c r="O1227" s="90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21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89"/>
        <v>12</v>
      </c>
      <c r="C1228" s="37">
        <f t="shared" si="83"/>
        <v>41997</v>
      </c>
      <c r="D1228" s="37" t="s">
        <v>902</v>
      </c>
      <c r="E1228" s="191">
        <v>41997</v>
      </c>
      <c r="F1228" s="7" t="s">
        <v>1327</v>
      </c>
      <c r="G1228" s="40" t="s">
        <v>1281</v>
      </c>
      <c r="H1228" s="7" t="s">
        <v>1328</v>
      </c>
      <c r="I1228" s="256"/>
      <c r="J1228" s="256"/>
      <c r="K1228" s="568">
        <v>99560000</v>
      </c>
      <c r="L1228" s="39" t="s">
        <v>24</v>
      </c>
      <c r="M1228" s="39" t="s">
        <v>1287</v>
      </c>
      <c r="N1228" s="52" t="str">
        <f>IF(AND('331-CT'!$E$7=TH!H1228,OR(L1228="331",M1228="331")),"331",IF(AND(OR(L1228="131",M1228="131"),H1228='131-CT'!$E$7),"131",""))</f>
        <v/>
      </c>
      <c r="O1228" s="90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21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>GBN</v>
      </c>
      <c r="B1229" s="36">
        <f t="shared" si="89"/>
        <v>12</v>
      </c>
      <c r="C1229" s="37">
        <f t="shared" si="83"/>
        <v>41997</v>
      </c>
      <c r="D1229" s="37" t="s">
        <v>909</v>
      </c>
      <c r="E1229" s="191">
        <v>41997</v>
      </c>
      <c r="F1229" s="192" t="s">
        <v>1308</v>
      </c>
      <c r="G1229" s="40" t="s">
        <v>1281</v>
      </c>
      <c r="H1229" s="193" t="s">
        <v>1321</v>
      </c>
      <c r="I1229" s="256"/>
      <c r="J1229" s="256"/>
      <c r="K1229" s="568">
        <v>100000000</v>
      </c>
      <c r="L1229" s="39" t="s">
        <v>47</v>
      </c>
      <c r="M1229" s="194" t="s">
        <v>24</v>
      </c>
      <c r="N1229" s="52" t="str">
        <f>IF(AND('331-CT'!$E$7=TH!H1229,OR(L1229="331",M1229="331")),"331",IF(AND(OR(L1229="131",M1229="131"),H1229='131-CT'!$E$7),"131",""))</f>
        <v/>
      </c>
      <c r="O1229" s="90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21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>GBC</v>
      </c>
      <c r="B1230" s="36">
        <f t="shared" si="89"/>
        <v>12</v>
      </c>
      <c r="C1230" s="37">
        <f t="shared" si="83"/>
        <v>42000</v>
      </c>
      <c r="D1230" s="37" t="s">
        <v>902</v>
      </c>
      <c r="E1230" s="191">
        <v>42000</v>
      </c>
      <c r="F1230" s="192" t="s">
        <v>1283</v>
      </c>
      <c r="G1230" s="40" t="s">
        <v>1281</v>
      </c>
      <c r="H1230" s="193" t="s">
        <v>1321</v>
      </c>
      <c r="I1230" s="256"/>
      <c r="J1230" s="256"/>
      <c r="K1230" s="568">
        <v>11380000</v>
      </c>
      <c r="L1230" s="39" t="s">
        <v>24</v>
      </c>
      <c r="M1230" s="194" t="s">
        <v>47</v>
      </c>
      <c r="N1230" s="52" t="str">
        <f>IF(AND('331-CT'!$E$7=TH!H1230,OR(L1230="331",M1230="331")),"331",IF(AND(OR(L1230="131",M1230="131"),H1230='131-CT'!$E$7),"131",""))</f>
        <v/>
      </c>
      <c r="O1230" s="90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21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89"/>
        <v>12</v>
      </c>
      <c r="C1231" s="37">
        <f t="shared" si="83"/>
        <v>42002</v>
      </c>
      <c r="D1231" s="37" t="s">
        <v>909</v>
      </c>
      <c r="E1231" s="191">
        <v>42002</v>
      </c>
      <c r="F1231" s="192" t="s">
        <v>1314</v>
      </c>
      <c r="G1231" s="40" t="s">
        <v>1281</v>
      </c>
      <c r="H1231" s="7" t="s">
        <v>1315</v>
      </c>
      <c r="I1231" s="257"/>
      <c r="J1231" s="257"/>
      <c r="K1231" s="568">
        <v>10416666</v>
      </c>
      <c r="L1231" s="39" t="s">
        <v>81</v>
      </c>
      <c r="M1231" s="194" t="s">
        <v>24</v>
      </c>
      <c r="N1231" s="52" t="str">
        <f>IF(AND('331-CT'!$E$7=TH!H1231,OR(L1231="331",M1231="331")),"331",IF(AND(OR(L1231="131",M1231="131"),H1231='131-CT'!$E$7),"131",""))</f>
        <v/>
      </c>
      <c r="O1231" s="90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21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89"/>
        <v>12</v>
      </c>
      <c r="C1232" s="37">
        <f t="shared" si="83"/>
        <v>42002</v>
      </c>
      <c r="D1232" s="37" t="s">
        <v>909</v>
      </c>
      <c r="E1232" s="191">
        <v>42002</v>
      </c>
      <c r="F1232" s="192" t="s">
        <v>1314</v>
      </c>
      <c r="G1232" s="40" t="s">
        <v>1281</v>
      </c>
      <c r="H1232" s="7" t="s">
        <v>1320</v>
      </c>
      <c r="I1232" s="256"/>
      <c r="J1232" s="256"/>
      <c r="K1232" s="568">
        <v>954117</v>
      </c>
      <c r="L1232" s="39" t="s">
        <v>81</v>
      </c>
      <c r="M1232" s="194" t="s">
        <v>24</v>
      </c>
      <c r="N1232" s="52" t="str">
        <f>IF(AND('331-CT'!$E$7=TH!H1232,OR(L1232="331",M1232="331")),"331",IF(AND(OR(L1232="131",M1232="131"),H1232='131-CT'!$E$7),"131",""))</f>
        <v/>
      </c>
      <c r="O1232" s="90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21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89"/>
        <v>12</v>
      </c>
      <c r="C1233" s="37">
        <f t="shared" si="83"/>
        <v>42002</v>
      </c>
      <c r="D1233" s="37" t="s">
        <v>902</v>
      </c>
      <c r="E1233" s="191">
        <v>42002</v>
      </c>
      <c r="F1233" s="7" t="s">
        <v>1329</v>
      </c>
      <c r="G1233" s="40" t="s">
        <v>1281</v>
      </c>
      <c r="H1233" s="7" t="s">
        <v>1330</v>
      </c>
      <c r="I1233" s="256"/>
      <c r="J1233" s="256"/>
      <c r="K1233" s="568">
        <v>97900000</v>
      </c>
      <c r="L1233" s="39" t="s">
        <v>24</v>
      </c>
      <c r="M1233" s="39" t="s">
        <v>1287</v>
      </c>
      <c r="N1233" s="52" t="str">
        <f>IF(AND('331-CT'!$E$7=TH!H1233,OR(L1233="331",M1233="331")),"331",IF(AND(OR(L1233="131",M1233="131"),H1233='131-CT'!$E$7),"131",""))</f>
        <v/>
      </c>
      <c r="O1233" s="90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21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>GBN</v>
      </c>
      <c r="B1234" s="36">
        <f t="shared" si="89"/>
        <v>12</v>
      </c>
      <c r="C1234" s="37">
        <f t="shared" si="83"/>
        <v>42002</v>
      </c>
      <c r="D1234" s="37" t="s">
        <v>909</v>
      </c>
      <c r="E1234" s="191">
        <v>42002</v>
      </c>
      <c r="F1234" s="192" t="s">
        <v>1308</v>
      </c>
      <c r="G1234" s="40" t="s">
        <v>1281</v>
      </c>
      <c r="H1234" s="193" t="s">
        <v>1321</v>
      </c>
      <c r="I1234" s="256"/>
      <c r="J1234" s="256"/>
      <c r="K1234" s="568">
        <v>97000000</v>
      </c>
      <c r="L1234" s="39" t="s">
        <v>47</v>
      </c>
      <c r="M1234" s="194" t="s">
        <v>24</v>
      </c>
      <c r="N1234" s="52" t="str">
        <f>IF(AND('331-CT'!$E$7=TH!H1234,OR(L1234="331",M1234="331")),"331",IF(AND(OR(L1234="131",M1234="131"),H1234='131-CT'!$E$7),"131",""))</f>
        <v/>
      </c>
      <c r="O1234" s="90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21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89"/>
        <v>12</v>
      </c>
      <c r="C1235" s="37">
        <f t="shared" si="83"/>
        <v>42002</v>
      </c>
      <c r="D1235" s="37" t="s">
        <v>909</v>
      </c>
      <c r="E1235" s="191">
        <v>42002</v>
      </c>
      <c r="F1235" s="192" t="s">
        <v>1324</v>
      </c>
      <c r="G1235" s="40" t="s">
        <v>1281</v>
      </c>
      <c r="H1235" s="193"/>
      <c r="I1235" s="256"/>
      <c r="J1235" s="256"/>
      <c r="K1235" s="568">
        <v>11000</v>
      </c>
      <c r="L1235" s="39" t="s">
        <v>83</v>
      </c>
      <c r="M1235" s="194" t="s">
        <v>24</v>
      </c>
      <c r="N1235" s="52" t="str">
        <f>IF(AND('331-CT'!$E$7=TH!H1235,OR(L1235="331",M1235="331")),"331",IF(AND(OR(L1235="131",M1235="131"),H1235='131-CT'!$E$7),"131",""))</f>
        <v/>
      </c>
      <c r="O1235" s="90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>x</v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21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89"/>
        <v>12</v>
      </c>
      <c r="C1236" s="37">
        <f t="shared" si="83"/>
        <v>42002</v>
      </c>
      <c r="D1236" s="37" t="s">
        <v>902</v>
      </c>
      <c r="E1236" s="191">
        <v>42002</v>
      </c>
      <c r="F1236" s="192" t="s">
        <v>905</v>
      </c>
      <c r="G1236" s="40" t="s">
        <v>1281</v>
      </c>
      <c r="H1236" s="7"/>
      <c r="I1236" s="256"/>
      <c r="J1236" s="256"/>
      <c r="K1236" s="568">
        <v>1000</v>
      </c>
      <c r="L1236" s="39" t="s">
        <v>24</v>
      </c>
      <c r="M1236" s="39" t="s">
        <v>40</v>
      </c>
      <c r="N1236" s="52" t="str">
        <f>IF(AND('331-CT'!$E$7=TH!H1236,OR(L1236="331",M1236="331")),"331",IF(AND(OR(L1236="131",M1236="131"),H1236='131-CT'!$E$7),"131",""))</f>
        <v/>
      </c>
      <c r="O1236" s="90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21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 t="str">
        <f t="shared" si="89"/>
        <v/>
      </c>
      <c r="C1237" s="37"/>
      <c r="D1237" s="37"/>
      <c r="E1237" s="191"/>
      <c r="F1237" s="192"/>
      <c r="G1237" s="40"/>
      <c r="H1237" s="193"/>
      <c r="I1237" s="256"/>
      <c r="J1237" s="256"/>
      <c r="K1237" s="568"/>
      <c r="L1237" s="39"/>
      <c r="M1237" s="39"/>
      <c r="N1237" s="52" t="str">
        <f>IF(AND('331-CT'!$E$7=TH!H1237,OR(L1237="331",M1237="331")),"331",IF(AND(OR(L1237="131",M1237="131"),H1237='131-CT'!$E$7),"131",""))</f>
        <v/>
      </c>
      <c r="O1237" s="90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21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 t="str">
        <f t="shared" si="89"/>
        <v/>
      </c>
      <c r="C1238" s="37"/>
      <c r="D1238" s="37"/>
      <c r="E1238" s="191"/>
      <c r="F1238" s="192"/>
      <c r="G1238" s="40"/>
      <c r="H1238" s="193"/>
      <c r="I1238" s="256"/>
      <c r="J1238" s="256"/>
      <c r="K1238" s="568"/>
      <c r="L1238" s="39"/>
      <c r="M1238" s="194"/>
      <c r="N1238" s="52" t="str">
        <f>IF(AND('331-CT'!$E$7=TH!H1238,OR(L1238="331",M1238="331")),"331",IF(AND(OR(L1238="131",M1238="131"),H1238='131-CT'!$E$7),"131",""))</f>
        <v/>
      </c>
      <c r="O1238" s="90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21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 t="str">
        <f t="shared" si="89"/>
        <v/>
      </c>
      <c r="C1239" s="37"/>
      <c r="D1239" s="37"/>
      <c r="E1239" s="191"/>
      <c r="F1239" s="192"/>
      <c r="G1239" s="40"/>
      <c r="H1239" s="193"/>
      <c r="I1239" s="256"/>
      <c r="J1239" s="256"/>
      <c r="K1239" s="568"/>
      <c r="L1239" s="39"/>
      <c r="M1239" s="194"/>
      <c r="N1239" s="52" t="str">
        <f>IF(AND('331-CT'!$E$7=TH!H1239,OR(L1239="331",M1239="331")),"331",IF(AND(OR(L1239="131",M1239="131"),H1239='131-CT'!$E$7),"131",""))</f>
        <v/>
      </c>
      <c r="O1239" s="90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21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 t="str">
        <f t="shared" si="89"/>
        <v/>
      </c>
      <c r="C1240" s="37"/>
      <c r="D1240" s="37"/>
      <c r="E1240" s="191"/>
      <c r="F1240" s="192"/>
      <c r="G1240" s="40"/>
      <c r="H1240" s="193"/>
      <c r="I1240" s="256"/>
      <c r="J1240" s="256"/>
      <c r="K1240" s="568"/>
      <c r="L1240" s="39"/>
      <c r="M1240" s="194"/>
      <c r="N1240" s="52" t="str">
        <f>IF(AND('331-CT'!$E$7=TH!H1240,OR(L1240="331",M1240="331")),"331",IF(AND(OR(L1240="131",M1240="131"),H1240='131-CT'!$E$7),"131",""))</f>
        <v/>
      </c>
      <c r="O1240" s="90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21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 t="str">
        <f t="shared" si="89"/>
        <v/>
      </c>
      <c r="C1241" s="37"/>
      <c r="D1241" s="37"/>
      <c r="E1241" s="785"/>
      <c r="F1241" s="40"/>
      <c r="G1241" s="40"/>
      <c r="H1241" s="7"/>
      <c r="I1241" s="256"/>
      <c r="J1241" s="256"/>
      <c r="K1241" s="568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90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21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 t="str">
        <f t="shared" si="89"/>
        <v/>
      </c>
      <c r="C1242" s="37"/>
      <c r="D1242" s="37"/>
      <c r="E1242" s="785"/>
      <c r="F1242" s="40"/>
      <c r="G1242" s="40"/>
      <c r="H1242" s="7"/>
      <c r="I1242" s="256"/>
      <c r="J1242" s="256"/>
      <c r="K1242" s="568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90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21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/>
      </c>
      <c r="B1243" s="36" t="str">
        <f t="shared" si="89"/>
        <v/>
      </c>
      <c r="C1243" s="37"/>
      <c r="D1243" s="37"/>
      <c r="E1243" s="785"/>
      <c r="F1243" s="40"/>
      <c r="G1243" s="40"/>
      <c r="H1243" s="7"/>
      <c r="I1243" s="256"/>
      <c r="J1243" s="256"/>
      <c r="K1243" s="568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90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21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 t="str">
        <f t="shared" si="89"/>
        <v/>
      </c>
      <c r="C1244" s="37"/>
      <c r="D1244" s="37"/>
      <c r="E1244" s="785"/>
      <c r="F1244" s="192"/>
      <c r="G1244" s="40"/>
      <c r="H1244" s="7"/>
      <c r="I1244" s="256"/>
      <c r="J1244" s="256"/>
      <c r="K1244" s="568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90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21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 t="str">
        <f t="shared" si="89"/>
        <v/>
      </c>
      <c r="C1245" s="37"/>
      <c r="D1245" s="37"/>
      <c r="E1245" s="785"/>
      <c r="F1245" s="40"/>
      <c r="G1245" s="40"/>
      <c r="H1245" s="7"/>
      <c r="I1245" s="256"/>
      <c r="J1245" s="256"/>
      <c r="K1245" s="568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90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21"/>
    </row>
    <row r="1246" spans="1:28" s="211" customFormat="1" ht="15.75" hidden="1" customHeight="1">
      <c r="A1246" s="204" t="str">
        <f>IF(B1246&lt;&gt;"",IF(AND(B1246&gt;=_TM1,B1246&lt;=_TM2,OR(TH!L1246="1111",TH!M1246="1111")),TH!D1246,""),"")</f>
        <v/>
      </c>
      <c r="B1246" s="36" t="str">
        <f t="shared" si="89"/>
        <v/>
      </c>
      <c r="C1246" s="37"/>
      <c r="D1246" s="37"/>
      <c r="E1246" s="37"/>
      <c r="F1246" s="40"/>
      <c r="G1246" s="40"/>
      <c r="H1246" s="7"/>
      <c r="I1246" s="256"/>
      <c r="J1246" s="256"/>
      <c r="K1246" s="568"/>
      <c r="L1246" s="39"/>
      <c r="M1246" s="39"/>
      <c r="N1246" s="52" t="str">
        <f>IF(AND('331-CT'!$E$7=TH!H1246,OR(L1246="331",M1246="331")),"331",IF(AND(OR(L1246="131",M1246="131"),H1246='131-CT'!$E$7),"131",""))</f>
        <v/>
      </c>
      <c r="O1246" s="90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21"/>
    </row>
    <row r="1247" spans="1:28" s="211" customFormat="1" ht="15.75" hidden="1" customHeight="1">
      <c r="A1247" s="204" t="str">
        <f>IF(B1247&lt;&gt;"",IF(AND(B1247&gt;=_TM1,B1247&lt;=_TM2,OR(TH!L1247="1111",TH!M1247="1111")),TH!D1247,""),"")</f>
        <v/>
      </c>
      <c r="B1247" s="36" t="str">
        <f t="shared" si="89"/>
        <v/>
      </c>
      <c r="C1247" s="37"/>
      <c r="D1247" s="37"/>
      <c r="E1247" s="37"/>
      <c r="F1247" s="40"/>
      <c r="G1247" s="40"/>
      <c r="H1247" s="7"/>
      <c r="I1247" s="256"/>
      <c r="J1247" s="256"/>
      <c r="K1247" s="568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90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21"/>
    </row>
    <row r="1248" spans="1:28" s="211" customFormat="1" ht="15.75" hidden="1" customHeight="1">
      <c r="A1248" s="204" t="str">
        <f>IF(B1248&lt;&gt;"",IF(AND(B1248&gt;=_TM1,B1248&lt;=_TM2,OR(TH!L1248="1111",TH!M1248="1111")),TH!D1248,""),"")</f>
        <v/>
      </c>
      <c r="B1248" s="36" t="str">
        <f t="shared" si="89"/>
        <v/>
      </c>
      <c r="C1248" s="37"/>
      <c r="D1248" s="37"/>
      <c r="E1248" s="37"/>
      <c r="F1248" s="40"/>
      <c r="G1248" s="40"/>
      <c r="H1248" s="7"/>
      <c r="I1248" s="256"/>
      <c r="J1248" s="256"/>
      <c r="K1248" s="568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90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21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 t="str">
        <f t="shared" si="89"/>
        <v/>
      </c>
      <c r="C1249" s="37"/>
      <c r="D1249" s="37"/>
      <c r="E1249" s="37"/>
      <c r="F1249" s="192"/>
      <c r="G1249" s="40"/>
      <c r="H1249" s="7"/>
      <c r="I1249" s="256"/>
      <c r="J1249" s="256"/>
      <c r="K1249" s="568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90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21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/>
      </c>
      <c r="B1250" s="36" t="str">
        <f t="shared" si="89"/>
        <v/>
      </c>
      <c r="C1250" s="37"/>
      <c r="D1250" s="37"/>
      <c r="E1250" s="37"/>
      <c r="F1250" s="40"/>
      <c r="G1250" s="40"/>
      <c r="H1250" s="7"/>
      <c r="I1250" s="256"/>
      <c r="J1250" s="256"/>
      <c r="K1250" s="568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90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21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 t="str">
        <f t="shared" si="89"/>
        <v/>
      </c>
      <c r="C1251" s="184"/>
      <c r="D1251" s="184"/>
      <c r="E1251" s="184"/>
      <c r="F1251" s="189"/>
      <c r="G1251" s="570"/>
      <c r="H1251" s="193"/>
      <c r="I1251" s="256"/>
      <c r="J1251" s="256"/>
      <c r="K1251" s="568"/>
      <c r="L1251" s="569"/>
      <c r="M1251" s="569"/>
      <c r="N1251" s="52" t="str">
        <f>IF(AND('331-CT'!$E$7=TH!H1251,OR(L1251="331",M1251="331")),"331",IF(AND(OR(L1251="131",M1251="131"),H1251='131-CT'!$E$7),"131",""))</f>
        <v/>
      </c>
      <c r="O1251" s="90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21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 t="str">
        <f t="shared" si="89"/>
        <v/>
      </c>
      <c r="C1252" s="191"/>
      <c r="D1252" s="191"/>
      <c r="E1252" s="191"/>
      <c r="F1252" s="192"/>
      <c r="G1252" s="468"/>
      <c r="H1252" s="193"/>
      <c r="I1252" s="256"/>
      <c r="J1252" s="256"/>
      <c r="K1252" s="568"/>
      <c r="L1252" s="194"/>
      <c r="M1252" s="194"/>
      <c r="N1252" s="52" t="str">
        <f>IF(AND('331-CT'!$E$7=TH!H1252,OR(L1252="331",M1252="331")),"331",IF(AND(OR(L1252="131",M1252="131"),H1252='131-CT'!$E$7),"131",""))</f>
        <v/>
      </c>
      <c r="O1252" s="90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21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 t="str">
        <f t="shared" si="89"/>
        <v/>
      </c>
      <c r="C1253" s="191"/>
      <c r="D1253" s="191"/>
      <c r="E1253" s="191"/>
      <c r="F1253" s="192"/>
      <c r="G1253" s="468"/>
      <c r="H1253" s="193"/>
      <c r="I1253" s="256"/>
      <c r="J1253" s="256"/>
      <c r="K1253" s="568"/>
      <c r="L1253" s="194"/>
      <c r="M1253" s="194"/>
      <c r="N1253" s="52" t="str">
        <f>IF(AND('331-CT'!$E$7=TH!H1253,OR(L1253="331",M1253="331")),"331",IF(AND(OR(L1253="131",M1253="131"),H1253='131-CT'!$E$7),"131",""))</f>
        <v/>
      </c>
      <c r="O1253" s="90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21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 t="str">
        <f t="shared" si="89"/>
        <v/>
      </c>
      <c r="C1254" s="191"/>
      <c r="D1254" s="191"/>
      <c r="E1254" s="191"/>
      <c r="F1254" s="192"/>
      <c r="G1254" s="468"/>
      <c r="H1254" s="193"/>
      <c r="I1254" s="256"/>
      <c r="J1254" s="256"/>
      <c r="K1254" s="568"/>
      <c r="L1254" s="194"/>
      <c r="M1254" s="194"/>
      <c r="N1254" s="52" t="str">
        <f>IF(AND('331-CT'!$E$7=TH!H1254,OR(L1254="331",M1254="331")),"331",IF(AND(OR(L1254="131",M1254="131"),H1254='131-CT'!$E$7),"131",""))</f>
        <v/>
      </c>
      <c r="O1254" s="90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21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/>
      </c>
      <c r="B1255" s="36" t="str">
        <f t="shared" si="89"/>
        <v/>
      </c>
      <c r="C1255" s="191"/>
      <c r="D1255" s="191"/>
      <c r="E1255" s="191"/>
      <c r="F1255" s="192"/>
      <c r="G1255" s="468"/>
      <c r="H1255" s="193"/>
      <c r="I1255" s="256"/>
      <c r="J1255" s="256"/>
      <c r="K1255" s="568"/>
      <c r="L1255" s="194"/>
      <c r="M1255" s="194"/>
      <c r="N1255" s="52" t="str">
        <f>IF(AND('331-CT'!$E$7=TH!H1255,OR(L1255="331",M1255="331")),"331",IF(AND(OR(L1255="131",M1255="131"),H1255='131-CT'!$E$7),"131",""))</f>
        <v/>
      </c>
      <c r="O1255" s="90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21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 t="str">
        <f t="shared" si="89"/>
        <v/>
      </c>
      <c r="C1256" s="37"/>
      <c r="D1256" s="37"/>
      <c r="E1256" s="37"/>
      <c r="F1256" s="40"/>
      <c r="G1256" s="40"/>
      <c r="H1256" s="7"/>
      <c r="I1256" s="256"/>
      <c r="J1256" s="256"/>
      <c r="K1256" s="568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90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21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 t="str">
        <f t="shared" si="89"/>
        <v/>
      </c>
      <c r="C1257" s="37"/>
      <c r="D1257" s="37"/>
      <c r="E1257" s="37"/>
      <c r="F1257" s="40"/>
      <c r="G1257" s="40"/>
      <c r="H1257" s="7"/>
      <c r="I1257" s="256"/>
      <c r="J1257" s="256"/>
      <c r="K1257" s="568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90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21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 t="str">
        <f t="shared" si="89"/>
        <v/>
      </c>
      <c r="C1258" s="37"/>
      <c r="D1258" s="37"/>
      <c r="E1258" s="37"/>
      <c r="F1258" s="40"/>
      <c r="G1258" s="40"/>
      <c r="H1258" s="7"/>
      <c r="I1258" s="256"/>
      <c r="J1258" s="256"/>
      <c r="K1258" s="568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90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21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/>
      </c>
      <c r="B1259" s="36" t="str">
        <f t="shared" si="89"/>
        <v/>
      </c>
      <c r="C1259" s="37"/>
      <c r="D1259" s="37"/>
      <c r="E1259" s="37"/>
      <c r="F1259" s="40"/>
      <c r="G1259" s="40"/>
      <c r="H1259" s="7"/>
      <c r="I1259" s="256"/>
      <c r="J1259" s="256"/>
      <c r="K1259" s="568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90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21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 t="str">
        <f t="shared" si="89"/>
        <v/>
      </c>
      <c r="C1260" s="37"/>
      <c r="D1260" s="37"/>
      <c r="E1260" s="37"/>
      <c r="F1260" s="40"/>
      <c r="G1260" s="40"/>
      <c r="H1260" s="7"/>
      <c r="I1260" s="256"/>
      <c r="J1260" s="256"/>
      <c r="K1260" s="568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90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21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/>
      </c>
      <c r="B1261" s="36" t="str">
        <f t="shared" si="89"/>
        <v/>
      </c>
      <c r="C1261" s="37"/>
      <c r="D1261" s="37"/>
      <c r="E1261" s="37"/>
      <c r="F1261" s="40"/>
      <c r="G1261" s="40"/>
      <c r="H1261" s="7"/>
      <c r="I1261" s="256"/>
      <c r="J1261" s="256"/>
      <c r="K1261" s="568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90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21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 t="str">
        <f t="shared" si="89"/>
        <v/>
      </c>
      <c r="C1262" s="191"/>
      <c r="D1262" s="191"/>
      <c r="E1262" s="191"/>
      <c r="F1262" s="192"/>
      <c r="G1262" s="468"/>
      <c r="H1262" s="193"/>
      <c r="I1262" s="256"/>
      <c r="J1262" s="256"/>
      <c r="K1262" s="568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90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21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/>
      </c>
      <c r="B1263" s="36" t="str">
        <f t="shared" si="89"/>
        <v/>
      </c>
      <c r="C1263" s="191"/>
      <c r="D1263" s="191"/>
      <c r="E1263" s="191"/>
      <c r="F1263" s="192"/>
      <c r="G1263" s="468"/>
      <c r="H1263" s="193"/>
      <c r="I1263" s="257"/>
      <c r="J1263" s="257"/>
      <c r="K1263" s="568"/>
      <c r="L1263" s="194"/>
      <c r="M1263" s="194"/>
      <c r="N1263" s="52" t="str">
        <f>IF(AND('331-CT'!$E$7=TH!H1263,OR(L1263="331",M1263="331")),"331",IF(AND(OR(L1263="131",M1263="131"),H1263='131-CT'!$E$7),"131",""))</f>
        <v/>
      </c>
      <c r="O1263" s="90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21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 t="str">
        <f t="shared" si="89"/>
        <v/>
      </c>
      <c r="C1264" s="37"/>
      <c r="D1264" s="37"/>
      <c r="E1264" s="37"/>
      <c r="F1264" s="40"/>
      <c r="G1264" s="40"/>
      <c r="H1264" s="7"/>
      <c r="I1264" s="256"/>
      <c r="J1264" s="256"/>
      <c r="K1264" s="568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90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21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 t="str">
        <f t="shared" si="89"/>
        <v/>
      </c>
      <c r="C1265" s="37"/>
      <c r="D1265" s="37"/>
      <c r="E1265" s="37"/>
      <c r="F1265" s="40"/>
      <c r="G1265" s="40"/>
      <c r="H1265" s="7"/>
      <c r="I1265" s="256"/>
      <c r="J1265" s="256"/>
      <c r="K1265" s="568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90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21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 t="str">
        <f t="shared" si="89"/>
        <v/>
      </c>
      <c r="C1266" s="184"/>
      <c r="D1266" s="184"/>
      <c r="E1266" s="191"/>
      <c r="F1266" s="189"/>
      <c r="G1266" s="570"/>
      <c r="H1266" s="7"/>
      <c r="I1266" s="256"/>
      <c r="J1266" s="256"/>
      <c r="K1266" s="568"/>
      <c r="L1266" s="569"/>
      <c r="M1266" s="569"/>
      <c r="N1266" s="52" t="str">
        <f>IF(AND('331-CT'!$E$7=TH!H1266,OR(L1266="331",M1266="331")),"331",IF(AND(OR(L1266="131",M1266="131"),H1266='131-CT'!$E$7),"131",""))</f>
        <v/>
      </c>
      <c r="O1266" s="90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21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/>
      </c>
      <c r="B1267" s="36" t="str">
        <f t="shared" si="89"/>
        <v/>
      </c>
      <c r="C1267" s="191"/>
      <c r="D1267" s="184"/>
      <c r="E1267" s="191"/>
      <c r="F1267" s="192"/>
      <c r="G1267" s="468"/>
      <c r="H1267" s="193"/>
      <c r="I1267" s="256"/>
      <c r="J1267" s="256"/>
      <c r="K1267" s="38"/>
      <c r="L1267" s="194"/>
      <c r="M1267" s="194"/>
      <c r="N1267" s="52" t="str">
        <f>IF(AND('331-CT'!$E$7=TH!H1267,OR(L1267="331",M1267="331")),"331",IF(AND(OR(L1267="131",M1267="131"),H1267='131-CT'!$E$7),"131",""))</f>
        <v/>
      </c>
      <c r="O1267" s="90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21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/>
      </c>
      <c r="B1268" s="36" t="str">
        <f t="shared" si="89"/>
        <v/>
      </c>
      <c r="C1268" s="191"/>
      <c r="D1268" s="184"/>
      <c r="E1268" s="191"/>
      <c r="F1268" s="192"/>
      <c r="G1268" s="468"/>
      <c r="H1268" s="193"/>
      <c r="I1268" s="256"/>
      <c r="J1268" s="256"/>
      <c r="K1268" s="38"/>
      <c r="L1268" s="194"/>
      <c r="M1268" s="194"/>
      <c r="N1268" s="52" t="str">
        <f>IF(AND('331-CT'!$E$7=TH!H1268,OR(L1268="331",M1268="331")),"331",IF(AND(OR(L1268="131",M1268="131"),H1268='131-CT'!$E$7),"131",""))</f>
        <v/>
      </c>
      <c r="O1268" s="90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21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 t="str">
        <f t="shared" si="89"/>
        <v/>
      </c>
      <c r="C1269" s="184"/>
      <c r="D1269" s="184"/>
      <c r="E1269" s="191"/>
      <c r="F1269" s="189"/>
      <c r="G1269" s="570"/>
      <c r="H1269" s="7"/>
      <c r="I1269" s="256"/>
      <c r="J1269" s="256"/>
      <c r="K1269" s="568"/>
      <c r="L1269" s="569"/>
      <c r="M1269" s="569"/>
      <c r="N1269" s="52" t="str">
        <f>IF(AND('331-CT'!$E$7=TH!H1269,OR(L1269="331",M1269="331")),"331",IF(AND(OR(L1269="131",M1269="131"),H1269='131-CT'!$E$7),"131",""))</f>
        <v/>
      </c>
      <c r="O1269" s="90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21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 t="str">
        <f t="shared" si="89"/>
        <v/>
      </c>
      <c r="C1270" s="184"/>
      <c r="D1270" s="184"/>
      <c r="E1270" s="191"/>
      <c r="F1270" s="189"/>
      <c r="G1270" s="570"/>
      <c r="H1270" s="7"/>
      <c r="I1270" s="256"/>
      <c r="J1270" s="256"/>
      <c r="K1270" s="568"/>
      <c r="L1270" s="569"/>
      <c r="M1270" s="569"/>
      <c r="N1270" s="52" t="str">
        <f>IF(AND('331-CT'!$E$7=TH!H1270,OR(L1270="331",M1270="331")),"331",IF(AND(OR(L1270="131",M1270="131"),H1270='131-CT'!$E$7),"131",""))</f>
        <v/>
      </c>
      <c r="O1270" s="90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21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 t="str">
        <f t="shared" si="89"/>
        <v/>
      </c>
      <c r="C1271" s="37"/>
      <c r="D1271" s="37"/>
      <c r="E1271" s="731"/>
      <c r="F1271" s="40"/>
      <c r="G1271" s="40"/>
      <c r="H1271" s="7"/>
      <c r="I1271" s="256"/>
      <c r="J1271" s="256"/>
      <c r="K1271" s="568"/>
      <c r="L1271" s="39"/>
      <c r="M1271" s="39"/>
      <c r="N1271" s="52" t="str">
        <f>IF(AND('331-CT'!$E$7=TH!H1271,OR(L1271="331",M1271="331")),"331",IF(AND(OR(L1271="131",M1271="131"),H1271='131-CT'!$E$7),"131",""))</f>
        <v/>
      </c>
      <c r="O1271" s="90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21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/>
      </c>
      <c r="B1272" s="36" t="str">
        <f t="shared" si="89"/>
        <v/>
      </c>
      <c r="C1272" s="191"/>
      <c r="D1272" s="184"/>
      <c r="E1272" s="751"/>
      <c r="F1272" s="192"/>
      <c r="G1272" s="468"/>
      <c r="H1272" s="193"/>
      <c r="I1272" s="256"/>
      <c r="J1272" s="256"/>
      <c r="K1272" s="38"/>
      <c r="L1272" s="194"/>
      <c r="M1272" s="194"/>
      <c r="N1272" s="52" t="str">
        <f>IF(AND('331-CT'!$E$7=TH!H1272,OR(L1272="331",M1272="331")),"331",IF(AND(OR(L1272="131",M1272="131"),H1272='131-CT'!$E$7),"131",""))</f>
        <v/>
      </c>
      <c r="O1272" s="90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21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 t="str">
        <f t="shared" ref="B1273:B1336" si="92">IF(C1273&lt;&gt;"",MONTH(C1273),"")</f>
        <v/>
      </c>
      <c r="C1273" s="191"/>
      <c r="D1273" s="184"/>
      <c r="E1273" s="751"/>
      <c r="F1273" s="192"/>
      <c r="G1273" s="468"/>
      <c r="H1273" s="193"/>
      <c r="I1273" s="256"/>
      <c r="J1273" s="256"/>
      <c r="K1273" s="38"/>
      <c r="L1273" s="194"/>
      <c r="M1273" s="194"/>
      <c r="N1273" s="52" t="str">
        <f>IF(AND('331-CT'!$E$7=TH!H1273,OR(L1273="331",M1273="331")),"331",IF(AND(OR(L1273="131",M1273="131"),H1273='131-CT'!$E$7),"131",""))</f>
        <v/>
      </c>
      <c r="O1273" s="90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21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 t="str">
        <f t="shared" si="92"/>
        <v/>
      </c>
      <c r="C1274" s="191"/>
      <c r="D1274" s="184"/>
      <c r="E1274" s="191"/>
      <c r="F1274" s="296"/>
      <c r="G1274" s="468"/>
      <c r="H1274" s="7"/>
      <c r="I1274" s="256"/>
      <c r="J1274" s="256"/>
      <c r="K1274" s="568"/>
      <c r="L1274" s="194"/>
      <c r="M1274" s="194"/>
      <c r="N1274" s="52" t="str">
        <f>IF(AND('331-CT'!$E$7=TH!H1274,OR(L1274="331",M1274="331")),"331",IF(AND(OR(L1274="131",M1274="131"),H1274='131-CT'!$E$7),"131",""))</f>
        <v/>
      </c>
      <c r="O1274" s="90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21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 t="str">
        <f t="shared" si="92"/>
        <v/>
      </c>
      <c r="C1275" s="191"/>
      <c r="D1275" s="184"/>
      <c r="E1275" s="191"/>
      <c r="F1275" s="296"/>
      <c r="G1275" s="468"/>
      <c r="H1275" s="7"/>
      <c r="I1275" s="256"/>
      <c r="J1275" s="256"/>
      <c r="K1275" s="38"/>
      <c r="L1275" s="194"/>
      <c r="M1275" s="194"/>
      <c r="N1275" s="52" t="str">
        <f>IF(AND('331-CT'!$E$7=TH!H1275,OR(L1275="331",M1275="331")),"331",IF(AND(OR(L1275="131",M1275="131"),H1275='131-CT'!$E$7),"131",""))</f>
        <v/>
      </c>
      <c r="O1275" s="90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21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 t="str">
        <f t="shared" si="92"/>
        <v/>
      </c>
      <c r="C1276" s="184"/>
      <c r="D1276" s="184"/>
      <c r="E1276" s="184"/>
      <c r="F1276" s="189"/>
      <c r="G1276" s="570"/>
      <c r="H1276" s="193"/>
      <c r="I1276" s="256"/>
      <c r="J1276" s="256"/>
      <c r="K1276" s="568"/>
      <c r="L1276" s="569"/>
      <c r="M1276" s="569"/>
      <c r="N1276" s="52" t="str">
        <f>IF(AND('331-CT'!$E$7=TH!H1276,OR(L1276="331",M1276="331")),"331",IF(AND(OR(L1276="131",M1276="131"),H1276='131-CT'!$E$7),"131",""))</f>
        <v/>
      </c>
      <c r="O1276" s="90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21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 t="str">
        <f t="shared" si="92"/>
        <v/>
      </c>
      <c r="C1277" s="37"/>
      <c r="D1277" s="37"/>
      <c r="E1277" s="731"/>
      <c r="F1277" s="189"/>
      <c r="G1277" s="40"/>
      <c r="H1277" s="7"/>
      <c r="I1277" s="256"/>
      <c r="J1277" s="256"/>
      <c r="K1277" s="568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90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21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 t="str">
        <f t="shared" si="92"/>
        <v/>
      </c>
      <c r="C1278" s="37"/>
      <c r="D1278" s="37"/>
      <c r="E1278" s="731"/>
      <c r="F1278" s="40"/>
      <c r="G1278" s="40"/>
      <c r="H1278" s="7"/>
      <c r="I1278" s="256"/>
      <c r="J1278" s="256"/>
      <c r="K1278" s="568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90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21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 t="str">
        <f t="shared" si="92"/>
        <v/>
      </c>
      <c r="C1279" s="37"/>
      <c r="D1279" s="37"/>
      <c r="E1279" s="731"/>
      <c r="F1279" s="189"/>
      <c r="G1279" s="40"/>
      <c r="H1279" s="7"/>
      <c r="I1279" s="256"/>
      <c r="J1279" s="256"/>
      <c r="K1279" s="568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90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21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 t="str">
        <f t="shared" si="92"/>
        <v/>
      </c>
      <c r="C1280" s="37"/>
      <c r="D1280" s="37"/>
      <c r="E1280" s="731"/>
      <c r="F1280" s="40"/>
      <c r="G1280" s="40"/>
      <c r="H1280" s="7"/>
      <c r="I1280" s="256"/>
      <c r="J1280" s="256"/>
      <c r="K1280" s="568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90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21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 t="str">
        <f t="shared" si="92"/>
        <v/>
      </c>
      <c r="C1281" s="37"/>
      <c r="D1281" s="37"/>
      <c r="E1281" s="731"/>
      <c r="F1281" s="189"/>
      <c r="G1281" s="40"/>
      <c r="H1281" s="7"/>
      <c r="I1281" s="256"/>
      <c r="J1281" s="256"/>
      <c r="K1281" s="568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90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21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 t="str">
        <f t="shared" si="92"/>
        <v/>
      </c>
      <c r="C1282" s="37"/>
      <c r="D1282" s="37"/>
      <c r="E1282" s="731"/>
      <c r="F1282" s="189"/>
      <c r="G1282" s="40"/>
      <c r="H1282" s="7"/>
      <c r="I1282" s="256"/>
      <c r="J1282" s="256"/>
      <c r="K1282" s="568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90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21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 t="str">
        <f t="shared" si="92"/>
        <v/>
      </c>
      <c r="C1283" s="37"/>
      <c r="D1283" s="37"/>
      <c r="E1283" s="731"/>
      <c r="F1283" s="189"/>
      <c r="G1283" s="40"/>
      <c r="H1283" s="7"/>
      <c r="I1283" s="256"/>
      <c r="J1283" s="256"/>
      <c r="K1283" s="568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90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21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 t="str">
        <f t="shared" si="92"/>
        <v/>
      </c>
      <c r="C1284" s="37"/>
      <c r="D1284" s="37"/>
      <c r="E1284" s="731"/>
      <c r="F1284" s="189"/>
      <c r="G1284" s="40"/>
      <c r="H1284" s="7"/>
      <c r="I1284" s="256"/>
      <c r="J1284" s="256"/>
      <c r="K1284" s="568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90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21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 t="str">
        <f t="shared" si="92"/>
        <v/>
      </c>
      <c r="C1285" s="37"/>
      <c r="D1285" s="37"/>
      <c r="E1285" s="731"/>
      <c r="F1285" s="189"/>
      <c r="G1285" s="40"/>
      <c r="H1285" s="7"/>
      <c r="I1285" s="256"/>
      <c r="J1285" s="256"/>
      <c r="K1285" s="568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90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21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 t="str">
        <f t="shared" si="92"/>
        <v/>
      </c>
      <c r="C1286" s="191"/>
      <c r="D1286" s="184"/>
      <c r="E1286" s="191"/>
      <c r="F1286" s="192"/>
      <c r="G1286" s="468"/>
      <c r="H1286" s="193"/>
      <c r="I1286" s="256"/>
      <c r="J1286" s="256"/>
      <c r="K1286" s="38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90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21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 t="str">
        <f t="shared" si="92"/>
        <v/>
      </c>
      <c r="C1287" s="191"/>
      <c r="D1287" s="184"/>
      <c r="E1287" s="191"/>
      <c r="F1287" s="192"/>
      <c r="G1287" s="468"/>
      <c r="H1287" s="193"/>
      <c r="I1287" s="256"/>
      <c r="J1287" s="256"/>
      <c r="K1287" s="38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90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21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 t="str">
        <f t="shared" si="92"/>
        <v/>
      </c>
      <c r="C1288" s="37"/>
      <c r="D1288" s="37"/>
      <c r="E1288" s="731"/>
      <c r="F1288" s="40"/>
      <c r="G1288" s="40"/>
      <c r="H1288" s="7"/>
      <c r="I1288" s="256"/>
      <c r="J1288" s="256"/>
      <c r="K1288" s="568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90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21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 t="str">
        <f t="shared" si="92"/>
        <v/>
      </c>
      <c r="C1289" s="37"/>
      <c r="D1289" s="37"/>
      <c r="E1289" s="731"/>
      <c r="F1289" s="189"/>
      <c r="G1289" s="40"/>
      <c r="H1289" s="7"/>
      <c r="I1289" s="256"/>
      <c r="J1289" s="256"/>
      <c r="K1289" s="568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90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21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92"/>
        <v/>
      </c>
      <c r="C1290" s="37"/>
      <c r="D1290" s="37"/>
      <c r="E1290" s="731"/>
      <c r="F1290" s="189"/>
      <c r="G1290" s="40"/>
      <c r="H1290" s="7"/>
      <c r="I1290" s="256"/>
      <c r="J1290" s="256"/>
      <c r="K1290" s="568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90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21"/>
    </row>
    <row r="1291" spans="1:28" s="211" customFormat="1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92"/>
        <v/>
      </c>
      <c r="C1291" s="37"/>
      <c r="D1291" s="37"/>
      <c r="E1291" s="731"/>
      <c r="F1291" s="189"/>
      <c r="G1291" s="40"/>
      <c r="H1291" s="7"/>
      <c r="I1291" s="256"/>
      <c r="J1291" s="256"/>
      <c r="K1291" s="568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90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21"/>
    </row>
    <row r="1292" spans="1:28" s="211" customFormat="1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92"/>
        <v/>
      </c>
      <c r="C1292" s="37"/>
      <c r="D1292" s="37"/>
      <c r="E1292" s="731"/>
      <c r="F1292" s="189"/>
      <c r="G1292" s="40"/>
      <c r="H1292" s="7"/>
      <c r="I1292" s="256"/>
      <c r="J1292" s="256"/>
      <c r="K1292" s="568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90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21"/>
    </row>
    <row r="1293" spans="1:28" s="211" customFormat="1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92"/>
        <v/>
      </c>
      <c r="C1293" s="37"/>
      <c r="D1293" s="37"/>
      <c r="E1293" s="731"/>
      <c r="F1293" s="189"/>
      <c r="G1293" s="40"/>
      <c r="H1293" s="7"/>
      <c r="I1293" s="256"/>
      <c r="J1293" s="256"/>
      <c r="K1293" s="568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90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21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92"/>
        <v/>
      </c>
      <c r="C1294" s="37"/>
      <c r="D1294" s="37"/>
      <c r="E1294" s="731"/>
      <c r="F1294" s="189"/>
      <c r="G1294" s="40"/>
      <c r="H1294" s="7"/>
      <c r="I1294" s="256"/>
      <c r="J1294" s="256"/>
      <c r="K1294" s="568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90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21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92"/>
        <v/>
      </c>
      <c r="C1295" s="37"/>
      <c r="D1295" s="37"/>
      <c r="E1295" s="731"/>
      <c r="F1295" s="189"/>
      <c r="G1295" s="40"/>
      <c r="H1295" s="7"/>
      <c r="I1295" s="256"/>
      <c r="J1295" s="256"/>
      <c r="K1295" s="568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90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21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92"/>
        <v/>
      </c>
      <c r="C1296" s="191"/>
      <c r="D1296" s="191"/>
      <c r="E1296" s="191"/>
      <c r="F1296" s="192"/>
      <c r="G1296" s="468"/>
      <c r="H1296" s="193"/>
      <c r="I1296" s="256"/>
      <c r="J1296" s="256"/>
      <c r="K1296" s="568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90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21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92"/>
        <v/>
      </c>
      <c r="C1297" s="191"/>
      <c r="D1297" s="191"/>
      <c r="E1297" s="191"/>
      <c r="F1297" s="192"/>
      <c r="G1297" s="468"/>
      <c r="H1297" s="193"/>
      <c r="I1297" s="256"/>
      <c r="J1297" s="256"/>
      <c r="K1297" s="568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90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21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92"/>
        <v/>
      </c>
      <c r="C1298" s="191"/>
      <c r="D1298" s="191"/>
      <c r="E1298" s="191"/>
      <c r="F1298" s="192"/>
      <c r="G1298" s="468"/>
      <c r="H1298" s="193"/>
      <c r="I1298" s="256"/>
      <c r="J1298" s="256"/>
      <c r="K1298" s="568"/>
      <c r="L1298" s="194"/>
      <c r="M1298" s="194"/>
      <c r="N1298" s="52" t="str">
        <f>IF(AND('331-CT'!$E$7=TH!H1298,OR(L1298="331",M1298="331")),"331",IF(AND(OR(L1298="131",M1298="131"),H1298='131-CT'!$E$7),"131",""))</f>
        <v/>
      </c>
      <c r="O1298" s="90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21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92"/>
        <v/>
      </c>
      <c r="C1299" s="37"/>
      <c r="D1299" s="37"/>
      <c r="E1299" s="37"/>
      <c r="F1299" s="40"/>
      <c r="G1299" s="40"/>
      <c r="H1299" s="7"/>
      <c r="I1299" s="256"/>
      <c r="J1299" s="256"/>
      <c r="K1299" s="568"/>
      <c r="L1299" s="39"/>
      <c r="M1299" s="39"/>
      <c r="N1299" s="52" t="str">
        <f>IF(AND('331-CT'!$E$7=TH!H1299,OR(L1299="331",M1299="331")),"331",IF(AND(OR(L1299="131",M1299="131"),H1299='131-CT'!$E$7),"131",""))</f>
        <v/>
      </c>
      <c r="O1299" s="90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21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92"/>
        <v/>
      </c>
      <c r="C1300" s="37"/>
      <c r="D1300" s="37"/>
      <c r="E1300" s="37"/>
      <c r="F1300" s="40"/>
      <c r="G1300" s="40"/>
      <c r="H1300" s="7"/>
      <c r="I1300" s="256"/>
      <c r="J1300" s="256"/>
      <c r="K1300" s="568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90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21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92"/>
        <v/>
      </c>
      <c r="C1301" s="184"/>
      <c r="D1301" s="184"/>
      <c r="E1301" s="184"/>
      <c r="F1301" s="189"/>
      <c r="G1301" s="570"/>
      <c r="H1301" s="7"/>
      <c r="I1301" s="256"/>
      <c r="J1301" s="256"/>
      <c r="K1301" s="568"/>
      <c r="L1301" s="569"/>
      <c r="M1301" s="569"/>
      <c r="N1301" s="52" t="str">
        <f>IF(AND('331-CT'!$E$7=TH!H1301,OR(L1301="331",M1301="331")),"331",IF(AND(OR(L1301="131",M1301="131"),H1301='131-CT'!$E$7),"131",""))</f>
        <v/>
      </c>
      <c r="O1301" s="90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21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92"/>
        <v/>
      </c>
      <c r="C1302" s="184"/>
      <c r="D1302" s="184"/>
      <c r="E1302" s="184"/>
      <c r="F1302" s="189"/>
      <c r="G1302" s="570"/>
      <c r="H1302" s="7"/>
      <c r="I1302" s="256"/>
      <c r="J1302" s="256"/>
      <c r="K1302" s="568"/>
      <c r="L1302" s="569"/>
      <c r="M1302" s="569"/>
      <c r="N1302" s="52" t="str">
        <f>IF(AND('331-CT'!$E$7=TH!H1302,OR(L1302="331",M1302="331")),"331",IF(AND(OR(L1302="131",M1302="131"),H1302='131-CT'!$E$7),"131",""))</f>
        <v/>
      </c>
      <c r="O1302" s="90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21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92"/>
        <v/>
      </c>
      <c r="C1303" s="184"/>
      <c r="D1303" s="184"/>
      <c r="E1303" s="184"/>
      <c r="F1303" s="189"/>
      <c r="G1303" s="570"/>
      <c r="H1303" s="7"/>
      <c r="I1303" s="256"/>
      <c r="J1303" s="256"/>
      <c r="K1303" s="568"/>
      <c r="L1303" s="569"/>
      <c r="M1303" s="569"/>
      <c r="N1303" s="52" t="str">
        <f>IF(AND('331-CT'!$E$7=TH!H1303,OR(L1303="331",M1303="331")),"331",IF(AND(OR(L1303="131",M1303="131"),H1303='131-CT'!$E$7),"131",""))</f>
        <v/>
      </c>
      <c r="O1303" s="90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21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92"/>
        <v/>
      </c>
      <c r="C1304" s="184"/>
      <c r="D1304" s="184"/>
      <c r="E1304" s="184"/>
      <c r="F1304" s="189"/>
      <c r="G1304" s="570"/>
      <c r="H1304" s="7"/>
      <c r="I1304" s="256"/>
      <c r="J1304" s="256"/>
      <c r="K1304" s="568"/>
      <c r="L1304" s="569"/>
      <c r="M1304" s="569"/>
      <c r="N1304" s="52" t="str">
        <f>IF(AND('331-CT'!$E$7=TH!H1304,OR(L1304="331",M1304="331")),"331",IF(AND(OR(L1304="131",M1304="131"),H1304='131-CT'!$E$7),"131",""))</f>
        <v/>
      </c>
      <c r="O1304" s="90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21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si="92"/>
        <v/>
      </c>
      <c r="C1305" s="184"/>
      <c r="D1305" s="184"/>
      <c r="E1305" s="184"/>
      <c r="F1305" s="189"/>
      <c r="G1305" s="570"/>
      <c r="H1305" s="193"/>
      <c r="I1305" s="256"/>
      <c r="J1305" s="256"/>
      <c r="K1305" s="568"/>
      <c r="L1305" s="569"/>
      <c r="M1305" s="569"/>
      <c r="N1305" s="52" t="str">
        <f>IF(AND('331-CT'!$E$7=TH!H1305,OR(L1305="331",M1305="331")),"331",IF(AND(OR(L1305="131",M1305="131"),H1305='131-CT'!$E$7),"131",""))</f>
        <v/>
      </c>
      <c r="O1305" s="90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21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92"/>
        <v/>
      </c>
      <c r="C1306" s="37"/>
      <c r="D1306" s="37"/>
      <c r="E1306" s="731"/>
      <c r="F1306" s="189"/>
      <c r="G1306" s="40"/>
      <c r="H1306" s="7"/>
      <c r="I1306" s="256"/>
      <c r="J1306" s="256"/>
      <c r="K1306" s="568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90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21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92"/>
        <v/>
      </c>
      <c r="C1307" s="37"/>
      <c r="D1307" s="37"/>
      <c r="E1307" s="731"/>
      <c r="F1307" s="189"/>
      <c r="G1307" s="40"/>
      <c r="H1307" s="7"/>
      <c r="I1307" s="256"/>
      <c r="J1307" s="256"/>
      <c r="K1307" s="568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90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21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92"/>
        <v/>
      </c>
      <c r="C1308" s="37"/>
      <c r="D1308" s="37"/>
      <c r="E1308" s="731"/>
      <c r="F1308" s="189"/>
      <c r="G1308" s="40"/>
      <c r="H1308" s="7"/>
      <c r="I1308" s="256"/>
      <c r="J1308" s="256"/>
      <c r="K1308" s="568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90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21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92"/>
        <v/>
      </c>
      <c r="C1309" s="37"/>
      <c r="D1309" s="37"/>
      <c r="E1309" s="731"/>
      <c r="F1309" s="189"/>
      <c r="G1309" s="40"/>
      <c r="H1309" s="7"/>
      <c r="I1309" s="256"/>
      <c r="J1309" s="256"/>
      <c r="K1309" s="568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90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21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92"/>
        <v/>
      </c>
      <c r="C1310" s="37"/>
      <c r="D1310" s="37"/>
      <c r="E1310" s="731"/>
      <c r="F1310" s="189"/>
      <c r="G1310" s="40"/>
      <c r="H1310" s="7"/>
      <c r="I1310" s="256"/>
      <c r="J1310" s="256"/>
      <c r="K1310" s="568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90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21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si="92"/>
        <v/>
      </c>
      <c r="C1311" s="37"/>
      <c r="D1311" s="37"/>
      <c r="E1311" s="731"/>
      <c r="F1311" s="189"/>
      <c r="G1311" s="40"/>
      <c r="H1311" s="7"/>
      <c r="I1311" s="256"/>
      <c r="J1311" s="256"/>
      <c r="K1311" s="568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90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21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92"/>
        <v/>
      </c>
      <c r="C1312" s="37"/>
      <c r="D1312" s="37"/>
      <c r="E1312" s="731"/>
      <c r="F1312" s="189"/>
      <c r="G1312" s="40"/>
      <c r="H1312" s="7"/>
      <c r="I1312" s="256"/>
      <c r="J1312" s="256"/>
      <c r="K1312" s="568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90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21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92"/>
        <v/>
      </c>
      <c r="C1313" s="37"/>
      <c r="D1313" s="37"/>
      <c r="E1313" s="731"/>
      <c r="F1313" s="296"/>
      <c r="G1313" s="40"/>
      <c r="H1313" s="7"/>
      <c r="I1313" s="256"/>
      <c r="J1313" s="256"/>
      <c r="K1313" s="568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90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21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92"/>
        <v/>
      </c>
      <c r="C1314" s="37"/>
      <c r="D1314" s="37"/>
      <c r="E1314" s="731"/>
      <c r="F1314" s="40"/>
      <c r="G1314" s="40"/>
      <c r="H1314" s="7"/>
      <c r="I1314" s="256"/>
      <c r="J1314" s="256"/>
      <c r="K1314" s="568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90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21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92"/>
        <v/>
      </c>
      <c r="C1315" s="37"/>
      <c r="D1315" s="37"/>
      <c r="E1315" s="731"/>
      <c r="F1315" s="189"/>
      <c r="G1315" s="40"/>
      <c r="H1315" s="7"/>
      <c r="I1315" s="256"/>
      <c r="J1315" s="256"/>
      <c r="K1315" s="568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90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21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92"/>
        <v/>
      </c>
      <c r="C1316" s="37"/>
      <c r="D1316" s="37"/>
      <c r="E1316" s="731"/>
      <c r="F1316" s="189"/>
      <c r="G1316" s="40"/>
      <c r="H1316" s="7"/>
      <c r="I1316" s="256"/>
      <c r="J1316" s="256"/>
      <c r="K1316" s="568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90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21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92"/>
        <v/>
      </c>
      <c r="C1317" s="37"/>
      <c r="D1317" s="37"/>
      <c r="E1317" s="731"/>
      <c r="F1317" s="189"/>
      <c r="G1317" s="40"/>
      <c r="H1317" s="7"/>
      <c r="I1317" s="256"/>
      <c r="J1317" s="256"/>
      <c r="K1317" s="568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90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21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92"/>
        <v/>
      </c>
      <c r="C1318" s="37"/>
      <c r="D1318" s="37"/>
      <c r="E1318" s="731"/>
      <c r="F1318" s="189"/>
      <c r="G1318" s="40"/>
      <c r="H1318" s="7"/>
      <c r="I1318" s="256"/>
      <c r="J1318" s="256"/>
      <c r="K1318" s="568"/>
      <c r="L1318" s="39"/>
      <c r="M1318" s="39"/>
      <c r="N1318" s="52" t="str">
        <f>IF(AND('331-CT'!$E$7=TH!H1318,OR(L1318="331",M1318="331")),"331",IF(AND(OR(L1318="131",M1318="131"),H1318='131-CT'!$E$7),"131",""))</f>
        <v/>
      </c>
      <c r="O1318" s="90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21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92"/>
        <v/>
      </c>
      <c r="C1319" s="37"/>
      <c r="D1319" s="37"/>
      <c r="E1319" s="731"/>
      <c r="F1319" s="40"/>
      <c r="G1319" s="40"/>
      <c r="H1319" s="7"/>
      <c r="I1319" s="256"/>
      <c r="J1319" s="256"/>
      <c r="K1319" s="568"/>
      <c r="L1319" s="39"/>
      <c r="M1319" s="39"/>
      <c r="N1319" s="52" t="str">
        <f>IF(AND('331-CT'!$E$7=TH!H1319,OR(L1319="331",M1319="331")),"331",IF(AND(OR(L1319="131",M1319="131"),H1319='131-CT'!$E$7),"131",""))</f>
        <v/>
      </c>
      <c r="O1319" s="90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21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92"/>
        <v/>
      </c>
      <c r="C1320" s="37"/>
      <c r="D1320" s="37"/>
      <c r="E1320" s="731"/>
      <c r="F1320" s="40"/>
      <c r="G1320" s="40"/>
      <c r="H1320" s="7"/>
      <c r="I1320" s="256"/>
      <c r="J1320" s="256"/>
      <c r="K1320" s="568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90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21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92"/>
        <v/>
      </c>
      <c r="C1321" s="37"/>
      <c r="D1321" s="37"/>
      <c r="E1321" s="731"/>
      <c r="F1321" s="189"/>
      <c r="G1321" s="40"/>
      <c r="H1321" s="7"/>
      <c r="I1321" s="256"/>
      <c r="J1321" s="256"/>
      <c r="K1321" s="568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90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21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92"/>
        <v/>
      </c>
      <c r="C1322" s="191"/>
      <c r="D1322" s="184"/>
      <c r="E1322" s="191"/>
      <c r="F1322" s="192"/>
      <c r="G1322" s="468"/>
      <c r="H1322" s="7"/>
      <c r="I1322" s="256"/>
      <c r="J1322" s="256"/>
      <c r="K1322" s="568"/>
      <c r="L1322" s="194"/>
      <c r="M1322" s="194"/>
      <c r="N1322" s="52" t="str">
        <f>IF(AND('331-CT'!$E$7=TH!H1322,OR(L1322="331",M1322="331")),"331",IF(AND(OR(L1322="131",M1322="131"),H1322='131-CT'!$E$7),"131",""))</f>
        <v/>
      </c>
      <c r="O1322" s="90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21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92"/>
        <v/>
      </c>
      <c r="C1323" s="191"/>
      <c r="D1323" s="184"/>
      <c r="E1323" s="191"/>
      <c r="F1323" s="192"/>
      <c r="G1323" s="468"/>
      <c r="H1323" s="7"/>
      <c r="I1323" s="256"/>
      <c r="J1323" s="256"/>
      <c r="K1323" s="38"/>
      <c r="L1323" s="194"/>
      <c r="M1323" s="194"/>
      <c r="N1323" s="52" t="str">
        <f>IF(AND('331-CT'!$E$7=TH!H1323,OR(L1323="331",M1323="331")),"331",IF(AND(OR(L1323="131",M1323="131"),H1323='131-CT'!$E$7),"131",""))</f>
        <v/>
      </c>
      <c r="O1323" s="90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21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92"/>
        <v/>
      </c>
      <c r="C1324" s="184"/>
      <c r="D1324" s="184"/>
      <c r="E1324" s="184"/>
      <c r="F1324" s="189"/>
      <c r="G1324" s="570"/>
      <c r="H1324" s="193"/>
      <c r="I1324" s="256"/>
      <c r="J1324" s="256"/>
      <c r="K1324" s="568"/>
      <c r="L1324" s="569"/>
      <c r="M1324" s="569"/>
      <c r="N1324" s="52" t="str">
        <f>IF(AND('331-CT'!$E$7=TH!H1324,OR(L1324="331",M1324="331")),"331",IF(AND(OR(L1324="131",M1324="131"),H1324='131-CT'!$E$7),"131",""))</f>
        <v/>
      </c>
      <c r="O1324" s="90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21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92"/>
        <v/>
      </c>
      <c r="C1325" s="191"/>
      <c r="D1325" s="191"/>
      <c r="E1325" s="191"/>
      <c r="F1325" s="192"/>
      <c r="G1325" s="468"/>
      <c r="H1325" s="193"/>
      <c r="I1325" s="256"/>
      <c r="J1325" s="256"/>
      <c r="K1325" s="568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90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21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92"/>
        <v/>
      </c>
      <c r="C1326" s="191"/>
      <c r="D1326" s="191"/>
      <c r="E1326" s="191"/>
      <c r="F1326" s="192"/>
      <c r="G1326" s="468"/>
      <c r="H1326" s="193"/>
      <c r="I1326" s="256"/>
      <c r="J1326" s="256"/>
      <c r="K1326" s="568"/>
      <c r="L1326" s="194"/>
      <c r="M1326" s="194"/>
      <c r="N1326" s="52" t="str">
        <f>IF(AND('331-CT'!$E$7=TH!H1326,OR(L1326="331",M1326="331")),"331",IF(AND(OR(L1326="131",M1326="131"),H1326='131-CT'!$E$7),"131",""))</f>
        <v/>
      </c>
      <c r="O1326" s="90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21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92"/>
        <v/>
      </c>
      <c r="C1327" s="191"/>
      <c r="D1327" s="191"/>
      <c r="E1327" s="191"/>
      <c r="F1327" s="192"/>
      <c r="G1327" s="468"/>
      <c r="H1327" s="193"/>
      <c r="I1327" s="256"/>
      <c r="J1327" s="256"/>
      <c r="K1327" s="568"/>
      <c r="L1327" s="194"/>
      <c r="M1327" s="194"/>
      <c r="N1327" s="52" t="str">
        <f>IF(AND('331-CT'!$E$7=TH!H1327,OR(L1327="331",M1327="331")),"331",IF(AND(OR(L1327="131",M1327="131"),H1327='131-CT'!$E$7),"131",""))</f>
        <v/>
      </c>
      <c r="O1327" s="90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21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92"/>
        <v/>
      </c>
      <c r="C1328" s="191"/>
      <c r="D1328" s="191"/>
      <c r="E1328" s="191"/>
      <c r="F1328" s="192"/>
      <c r="G1328" s="468"/>
      <c r="H1328" s="7"/>
      <c r="I1328" s="256"/>
      <c r="J1328" s="256"/>
      <c r="K1328" s="568"/>
      <c r="L1328" s="194"/>
      <c r="M1328" s="194"/>
      <c r="N1328" s="52" t="str">
        <f>IF(AND('331-CT'!$E$7=TH!H1328,OR(L1328="331",M1328="331")),"331",IF(AND(OR(L1328="131",M1328="131"),H1328='131-CT'!$E$7),"131",""))</f>
        <v/>
      </c>
      <c r="O1328" s="90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21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92"/>
        <v/>
      </c>
      <c r="C1329" s="191"/>
      <c r="D1329" s="191"/>
      <c r="E1329" s="191"/>
      <c r="F1329" s="192"/>
      <c r="G1329" s="468"/>
      <c r="H1329" s="7"/>
      <c r="I1329" s="256"/>
      <c r="J1329" s="256"/>
      <c r="K1329" s="568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90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21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92"/>
        <v/>
      </c>
      <c r="C1330" s="191"/>
      <c r="D1330" s="191"/>
      <c r="E1330" s="191"/>
      <c r="F1330" s="192"/>
      <c r="G1330" s="468"/>
      <c r="H1330" s="7"/>
      <c r="I1330" s="256"/>
      <c r="J1330" s="256"/>
      <c r="K1330" s="568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90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21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92"/>
        <v/>
      </c>
      <c r="C1331" s="191"/>
      <c r="D1331" s="191"/>
      <c r="E1331" s="191"/>
      <c r="F1331" s="192"/>
      <c r="G1331" s="468"/>
      <c r="H1331" s="7"/>
      <c r="I1331" s="256"/>
      <c r="J1331" s="256"/>
      <c r="K1331" s="568"/>
      <c r="L1331" s="194"/>
      <c r="M1331" s="194"/>
      <c r="N1331" s="52" t="str">
        <f>IF(AND('331-CT'!$E$7=TH!H1331,OR(L1331="331",M1331="331")),"331",IF(AND(OR(L1331="131",M1331="131"),H1331='131-CT'!$E$7),"131",""))</f>
        <v/>
      </c>
      <c r="O1331" s="90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21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si="92"/>
        <v/>
      </c>
      <c r="C1332" s="191"/>
      <c r="D1332" s="191"/>
      <c r="E1332" s="191"/>
      <c r="F1332" s="192"/>
      <c r="G1332" s="468"/>
      <c r="H1332" s="7"/>
      <c r="I1332" s="257"/>
      <c r="J1332" s="257"/>
      <c r="K1332" s="568"/>
      <c r="L1332" s="194"/>
      <c r="M1332" s="194"/>
      <c r="N1332" s="52" t="str">
        <f>IF(AND('331-CT'!$E$7=TH!H1332,OR(L1332="331",M1332="331")),"331",IF(AND(OR(L1332="131",M1332="131"),H1332='131-CT'!$E$7),"131",""))</f>
        <v/>
      </c>
      <c r="O1332" s="90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21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92"/>
        <v/>
      </c>
      <c r="C1333" s="191"/>
      <c r="D1333" s="191"/>
      <c r="E1333" s="191"/>
      <c r="F1333" s="192"/>
      <c r="G1333" s="468"/>
      <c r="H1333" s="7"/>
      <c r="I1333" s="256"/>
      <c r="J1333" s="256"/>
      <c r="K1333" s="568"/>
      <c r="L1333" s="194"/>
      <c r="M1333" s="194"/>
      <c r="N1333" s="52" t="str">
        <f>IF(AND('331-CT'!$E$7=TH!H1333,OR(L1333="331",M1333="331")),"331",IF(AND(OR(L1333="131",M1333="131"),H1333='131-CT'!$E$7),"131",""))</f>
        <v/>
      </c>
      <c r="O1333" s="90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21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92"/>
        <v/>
      </c>
      <c r="C1334" s="191"/>
      <c r="D1334" s="191"/>
      <c r="E1334" s="191"/>
      <c r="F1334" s="192"/>
      <c r="G1334" s="468"/>
      <c r="H1334" s="7"/>
      <c r="I1334" s="256"/>
      <c r="J1334" s="256"/>
      <c r="K1334" s="568"/>
      <c r="L1334" s="194"/>
      <c r="M1334" s="194"/>
      <c r="N1334" s="52" t="str">
        <f>IF(AND('331-CT'!$E$7=TH!H1334,OR(L1334="331",M1334="331")),"331",IF(AND(OR(L1334="131",M1334="131"),H1334='131-CT'!$E$7),"131",""))</f>
        <v/>
      </c>
      <c r="O1334" s="90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21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92"/>
        <v/>
      </c>
      <c r="C1335" s="191"/>
      <c r="D1335" s="191"/>
      <c r="E1335" s="191"/>
      <c r="F1335" s="192"/>
      <c r="G1335" s="468"/>
      <c r="H1335" s="7"/>
      <c r="I1335" s="256"/>
      <c r="J1335" s="256"/>
      <c r="K1335" s="568"/>
      <c r="L1335" s="194"/>
      <c r="M1335" s="194"/>
      <c r="N1335" s="52" t="str">
        <f>IF(AND('331-CT'!$E$7=TH!H1335,OR(L1335="331",M1335="331")),"331",IF(AND(OR(L1335="131",M1335="131"),H1335='131-CT'!$E$7),"131",""))</f>
        <v/>
      </c>
      <c r="O1335" s="90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21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92"/>
        <v/>
      </c>
      <c r="C1336" s="191"/>
      <c r="D1336" s="191"/>
      <c r="E1336" s="191"/>
      <c r="F1336" s="192"/>
      <c r="G1336" s="468"/>
      <c r="H1336" s="7"/>
      <c r="I1336" s="256"/>
      <c r="J1336" s="256"/>
      <c r="K1336" s="38"/>
      <c r="L1336" s="194"/>
      <c r="M1336" s="194"/>
      <c r="N1336" s="52" t="str">
        <f>IF(AND('331-CT'!$E$7=TH!H1336,OR(L1336="331",M1336="331")),"331",IF(AND(OR(L1336="131",M1336="131"),H1336='131-CT'!$E$7),"131",""))</f>
        <v/>
      </c>
      <c r="O1336" s="90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21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ref="B1337:B1400" si="93">IF(C1337&lt;&gt;"",MONTH(C1337),"")</f>
        <v/>
      </c>
      <c r="C1337" s="37"/>
      <c r="D1337" s="37"/>
      <c r="E1337" s="37"/>
      <c r="F1337" s="40"/>
      <c r="G1337" s="40"/>
      <c r="H1337" s="7"/>
      <c r="I1337" s="256"/>
      <c r="J1337" s="256"/>
      <c r="K1337" s="568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90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21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93"/>
        <v/>
      </c>
      <c r="C1338" s="37"/>
      <c r="D1338" s="37"/>
      <c r="E1338" s="37"/>
      <c r="F1338" s="40"/>
      <c r="G1338" s="40"/>
      <c r="H1338" s="7"/>
      <c r="I1338" s="256"/>
      <c r="J1338" s="256"/>
      <c r="K1338" s="568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90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21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93"/>
        <v/>
      </c>
      <c r="C1339" s="37"/>
      <c r="D1339" s="37"/>
      <c r="E1339" s="37"/>
      <c r="F1339" s="40"/>
      <c r="G1339" s="40"/>
      <c r="H1339" s="7"/>
      <c r="I1339" s="256"/>
      <c r="J1339" s="256"/>
      <c r="K1339" s="568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90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21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93"/>
        <v/>
      </c>
      <c r="C1340" s="37"/>
      <c r="D1340" s="37"/>
      <c r="E1340" s="37"/>
      <c r="F1340" s="40"/>
      <c r="G1340" s="40"/>
      <c r="H1340" s="7"/>
      <c r="I1340" s="256"/>
      <c r="J1340" s="256"/>
      <c r="K1340" s="568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90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21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93"/>
        <v/>
      </c>
      <c r="C1341" s="37"/>
      <c r="D1341" s="37"/>
      <c r="E1341" s="37"/>
      <c r="F1341" s="40"/>
      <c r="G1341" s="40"/>
      <c r="H1341" s="7"/>
      <c r="I1341" s="256"/>
      <c r="J1341" s="256"/>
      <c r="K1341" s="568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90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21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93"/>
        <v/>
      </c>
      <c r="C1342" s="37"/>
      <c r="D1342" s="37"/>
      <c r="E1342" s="37"/>
      <c r="F1342" s="40"/>
      <c r="G1342" s="40"/>
      <c r="H1342" s="7"/>
      <c r="I1342" s="256"/>
      <c r="J1342" s="256"/>
      <c r="K1342" s="568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90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21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93"/>
        <v/>
      </c>
      <c r="C1343" s="37"/>
      <c r="D1343" s="37"/>
      <c r="E1343" s="37"/>
      <c r="F1343" s="40"/>
      <c r="G1343" s="40"/>
      <c r="H1343" s="7"/>
      <c r="I1343" s="256"/>
      <c r="J1343" s="256"/>
      <c r="K1343" s="568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90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21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93"/>
        <v/>
      </c>
      <c r="C1344" s="37"/>
      <c r="D1344" s="37"/>
      <c r="E1344" s="37"/>
      <c r="F1344" s="40"/>
      <c r="G1344" s="40"/>
      <c r="H1344" s="7"/>
      <c r="I1344" s="256"/>
      <c r="J1344" s="256"/>
      <c r="K1344" s="568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90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21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93"/>
        <v/>
      </c>
      <c r="C1345" s="37"/>
      <c r="D1345" s="37"/>
      <c r="E1345" s="37"/>
      <c r="F1345" s="40"/>
      <c r="G1345" s="40"/>
      <c r="H1345" s="7"/>
      <c r="I1345" s="256"/>
      <c r="J1345" s="256"/>
      <c r="K1345" s="568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90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21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93"/>
        <v/>
      </c>
      <c r="C1346" s="37"/>
      <c r="D1346" s="37"/>
      <c r="E1346" s="37"/>
      <c r="F1346" s="40"/>
      <c r="G1346" s="40"/>
      <c r="H1346" s="7"/>
      <c r="I1346" s="256"/>
      <c r="J1346" s="256"/>
      <c r="K1346" s="568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90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21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93"/>
        <v/>
      </c>
      <c r="C1347" s="37"/>
      <c r="D1347" s="37"/>
      <c r="E1347" s="37"/>
      <c r="F1347" s="40"/>
      <c r="G1347" s="40"/>
      <c r="H1347" s="7"/>
      <c r="I1347" s="256"/>
      <c r="J1347" s="256"/>
      <c r="K1347" s="568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90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21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93"/>
        <v/>
      </c>
      <c r="C1348" s="37"/>
      <c r="D1348" s="37"/>
      <c r="E1348" s="37"/>
      <c r="F1348" s="40"/>
      <c r="G1348" s="40"/>
      <c r="H1348" s="7"/>
      <c r="I1348" s="256"/>
      <c r="J1348" s="256"/>
      <c r="K1348" s="568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90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21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93"/>
        <v/>
      </c>
      <c r="C1349" s="37"/>
      <c r="D1349" s="37"/>
      <c r="E1349" s="37"/>
      <c r="F1349" s="40"/>
      <c r="G1349" s="40"/>
      <c r="H1349" s="7"/>
      <c r="I1349" s="256"/>
      <c r="J1349" s="256"/>
      <c r="K1349" s="568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90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21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93"/>
        <v/>
      </c>
      <c r="C1350" s="37"/>
      <c r="D1350" s="37"/>
      <c r="E1350" s="37"/>
      <c r="F1350" s="40"/>
      <c r="G1350" s="40"/>
      <c r="H1350" s="7"/>
      <c r="I1350" s="256"/>
      <c r="J1350" s="256"/>
      <c r="K1350" s="568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90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21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93"/>
        <v/>
      </c>
      <c r="C1351" s="37"/>
      <c r="D1351" s="37"/>
      <c r="E1351" s="37"/>
      <c r="F1351" s="40"/>
      <c r="G1351" s="40"/>
      <c r="H1351" s="7"/>
      <c r="I1351" s="256"/>
      <c r="J1351" s="256"/>
      <c r="K1351" s="568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90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21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93"/>
        <v/>
      </c>
      <c r="C1352" s="37"/>
      <c r="D1352" s="37"/>
      <c r="E1352" s="37"/>
      <c r="F1352" s="40"/>
      <c r="G1352" s="40"/>
      <c r="H1352" s="7"/>
      <c r="I1352" s="256"/>
      <c r="J1352" s="256"/>
      <c r="K1352" s="568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90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21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93"/>
        <v/>
      </c>
      <c r="C1353" s="37"/>
      <c r="D1353" s="37"/>
      <c r="E1353" s="37"/>
      <c r="F1353" s="40"/>
      <c r="G1353" s="40"/>
      <c r="H1353" s="7"/>
      <c r="I1353" s="256"/>
      <c r="J1353" s="256"/>
      <c r="K1353" s="568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90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21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93"/>
        <v/>
      </c>
      <c r="C1354" s="37"/>
      <c r="D1354" s="37"/>
      <c r="E1354" s="37"/>
      <c r="F1354" s="40"/>
      <c r="G1354" s="40"/>
      <c r="H1354" s="7"/>
      <c r="I1354" s="256"/>
      <c r="J1354" s="256"/>
      <c r="K1354" s="568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90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21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93"/>
        <v/>
      </c>
      <c r="C1355" s="191"/>
      <c r="D1355" s="191"/>
      <c r="E1355" s="191"/>
      <c r="F1355" s="192"/>
      <c r="G1355" s="468"/>
      <c r="H1355" s="7"/>
      <c r="I1355" s="256"/>
      <c r="J1355" s="256"/>
      <c r="K1355" s="568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90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21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93"/>
        <v/>
      </c>
      <c r="C1356" s="191"/>
      <c r="D1356" s="191"/>
      <c r="E1356" s="191"/>
      <c r="F1356" s="192"/>
      <c r="G1356" s="468"/>
      <c r="H1356" s="7"/>
      <c r="I1356" s="256"/>
      <c r="J1356" s="256"/>
      <c r="K1356" s="568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90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21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93"/>
        <v/>
      </c>
      <c r="C1357" s="191"/>
      <c r="D1357" s="191"/>
      <c r="E1357" s="191"/>
      <c r="F1357" s="192"/>
      <c r="G1357" s="468"/>
      <c r="H1357" s="7"/>
      <c r="I1357" s="256"/>
      <c r="J1357" s="256"/>
      <c r="K1357" s="568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90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21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93"/>
        <v/>
      </c>
      <c r="C1358" s="191"/>
      <c r="D1358" s="191"/>
      <c r="E1358" s="191"/>
      <c r="F1358" s="192"/>
      <c r="G1358" s="468"/>
      <c r="H1358" s="7"/>
      <c r="I1358" s="256"/>
      <c r="J1358" s="256"/>
      <c r="K1358" s="568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90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21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93"/>
        <v/>
      </c>
      <c r="C1359" s="191"/>
      <c r="D1359" s="191"/>
      <c r="E1359" s="191"/>
      <c r="F1359" s="192"/>
      <c r="G1359" s="468"/>
      <c r="H1359" s="7"/>
      <c r="I1359" s="256"/>
      <c r="J1359" s="256"/>
      <c r="K1359" s="568"/>
      <c r="L1359" s="194"/>
      <c r="M1359" s="194"/>
      <c r="N1359" s="52" t="str">
        <f>IF(AND('331-CT'!$E$7=TH!H1359,OR(L1359="331",M1359="331")),"331",IF(AND(OR(L1359="131",M1359="131"),H1359='131-CT'!$E$7),"131",""))</f>
        <v/>
      </c>
      <c r="O1359" s="90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21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93"/>
        <v/>
      </c>
      <c r="C1360" s="191"/>
      <c r="D1360" s="191"/>
      <c r="E1360" s="191"/>
      <c r="F1360" s="192"/>
      <c r="G1360" s="468"/>
      <c r="H1360" s="7"/>
      <c r="I1360" s="256"/>
      <c r="J1360" s="256"/>
      <c r="K1360" s="568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90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21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93"/>
        <v/>
      </c>
      <c r="C1361" s="191"/>
      <c r="D1361" s="191"/>
      <c r="E1361" s="191"/>
      <c r="F1361" s="192"/>
      <c r="G1361" s="468"/>
      <c r="H1361" s="7"/>
      <c r="I1361" s="256"/>
      <c r="J1361" s="256"/>
      <c r="K1361" s="568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90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21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93"/>
        <v/>
      </c>
      <c r="C1362" s="191"/>
      <c r="D1362" s="191"/>
      <c r="E1362" s="191"/>
      <c r="F1362" s="189"/>
      <c r="G1362" s="468"/>
      <c r="H1362" s="7"/>
      <c r="I1362" s="256"/>
      <c r="J1362" s="256"/>
      <c r="K1362" s="568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90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21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93"/>
        <v/>
      </c>
      <c r="C1363" s="191"/>
      <c r="D1363" s="191"/>
      <c r="E1363" s="191"/>
      <c r="F1363" s="192"/>
      <c r="G1363" s="468"/>
      <c r="H1363" s="7"/>
      <c r="I1363" s="256"/>
      <c r="J1363" s="256"/>
      <c r="K1363" s="38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90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21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93"/>
        <v/>
      </c>
      <c r="C1364" s="37"/>
      <c r="D1364" s="37"/>
      <c r="E1364" s="37"/>
      <c r="F1364" s="40"/>
      <c r="G1364" s="40"/>
      <c r="H1364" s="7"/>
      <c r="I1364" s="256"/>
      <c r="J1364" s="256"/>
      <c r="K1364" s="568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90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21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93"/>
        <v/>
      </c>
      <c r="C1365" s="37"/>
      <c r="D1365" s="37"/>
      <c r="E1365" s="37"/>
      <c r="F1365" s="40"/>
      <c r="G1365" s="40"/>
      <c r="H1365" s="7"/>
      <c r="I1365" s="256"/>
      <c r="J1365" s="256"/>
      <c r="K1365" s="568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90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21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93"/>
        <v/>
      </c>
      <c r="C1366" s="37"/>
      <c r="D1366" s="37"/>
      <c r="E1366" s="37"/>
      <c r="F1366" s="40"/>
      <c r="G1366" s="40"/>
      <c r="H1366" s="7"/>
      <c r="I1366" s="256"/>
      <c r="J1366" s="256"/>
      <c r="K1366" s="568"/>
      <c r="L1366" s="39"/>
      <c r="M1366" s="39"/>
      <c r="N1366" s="52" t="str">
        <f>IF(AND('331-CT'!$E$7=TH!H1366,OR(L1366="331",M1366="331")),"331",IF(AND(OR(L1366="131",M1366="131"),H1366='131-CT'!$E$7),"131",""))</f>
        <v/>
      </c>
      <c r="O1366" s="90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21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93"/>
        <v/>
      </c>
      <c r="C1367" s="37"/>
      <c r="D1367" s="37"/>
      <c r="E1367" s="37"/>
      <c r="F1367" s="40"/>
      <c r="G1367" s="40"/>
      <c r="H1367" s="7"/>
      <c r="I1367" s="256"/>
      <c r="J1367" s="256"/>
      <c r="K1367" s="568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90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21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93"/>
        <v/>
      </c>
      <c r="C1368" s="37"/>
      <c r="D1368" s="37"/>
      <c r="E1368" s="37"/>
      <c r="F1368" s="40"/>
      <c r="G1368" s="40"/>
      <c r="H1368" s="7"/>
      <c r="I1368" s="256"/>
      <c r="J1368" s="256"/>
      <c r="K1368" s="568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90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21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si="93"/>
        <v/>
      </c>
      <c r="C1369" s="37"/>
      <c r="D1369" s="37"/>
      <c r="E1369" s="37"/>
      <c r="F1369" s="40"/>
      <c r="G1369" s="40"/>
      <c r="H1369" s="7"/>
      <c r="I1369" s="256"/>
      <c r="J1369" s="256"/>
      <c r="K1369" s="568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90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21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93"/>
        <v/>
      </c>
      <c r="C1370" s="37"/>
      <c r="D1370" s="37"/>
      <c r="E1370" s="37"/>
      <c r="F1370" s="40"/>
      <c r="G1370" s="40"/>
      <c r="H1370" s="7"/>
      <c r="I1370" s="256"/>
      <c r="J1370" s="256"/>
      <c r="K1370" s="568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90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21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93"/>
        <v/>
      </c>
      <c r="C1371" s="37"/>
      <c r="D1371" s="37"/>
      <c r="E1371" s="37"/>
      <c r="F1371" s="192"/>
      <c r="G1371" s="40"/>
      <c r="H1371" s="7"/>
      <c r="I1371" s="256"/>
      <c r="J1371" s="256"/>
      <c r="K1371" s="568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90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21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93"/>
        <v/>
      </c>
      <c r="C1372" s="37"/>
      <c r="D1372" s="37"/>
      <c r="E1372" s="37"/>
      <c r="F1372" s="40"/>
      <c r="G1372" s="40"/>
      <c r="H1372" s="7"/>
      <c r="I1372" s="256"/>
      <c r="J1372" s="256"/>
      <c r="K1372" s="568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90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21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93"/>
        <v/>
      </c>
      <c r="C1373" s="37"/>
      <c r="D1373" s="37"/>
      <c r="E1373" s="37"/>
      <c r="F1373" s="40"/>
      <c r="G1373" s="40"/>
      <c r="H1373" s="7"/>
      <c r="I1373" s="256"/>
      <c r="J1373" s="256"/>
      <c r="K1373" s="568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902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21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93"/>
        <v/>
      </c>
      <c r="C1374" s="37"/>
      <c r="D1374" s="37"/>
      <c r="E1374" s="37"/>
      <c r="F1374" s="40"/>
      <c r="G1374" s="40"/>
      <c r="H1374" s="7"/>
      <c r="I1374" s="256"/>
      <c r="J1374" s="256"/>
      <c r="K1374" s="568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90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21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si="93"/>
        <v/>
      </c>
      <c r="C1375" s="37"/>
      <c r="D1375" s="37"/>
      <c r="E1375" s="37"/>
      <c r="F1375" s="40"/>
      <c r="G1375" s="40"/>
      <c r="H1375" s="7"/>
      <c r="I1375" s="256"/>
      <c r="J1375" s="256"/>
      <c r="K1375" s="568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90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21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93"/>
        <v/>
      </c>
      <c r="C1376" s="37"/>
      <c r="D1376" s="37"/>
      <c r="E1376" s="37"/>
      <c r="F1376" s="40"/>
      <c r="G1376" s="40"/>
      <c r="H1376" s="7"/>
      <c r="I1376" s="256"/>
      <c r="J1376" s="256"/>
      <c r="K1376" s="568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902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21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93"/>
        <v/>
      </c>
      <c r="C1377" s="37"/>
      <c r="D1377" s="37"/>
      <c r="E1377" s="37"/>
      <c r="F1377" s="40"/>
      <c r="G1377" s="40"/>
      <c r="H1377" s="7"/>
      <c r="I1377" s="256"/>
      <c r="J1377" s="256"/>
      <c r="K1377" s="568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90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21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93"/>
        <v/>
      </c>
      <c r="C1378" s="37"/>
      <c r="D1378" s="37"/>
      <c r="E1378" s="37"/>
      <c r="F1378" s="40"/>
      <c r="G1378" s="40"/>
      <c r="H1378" s="7"/>
      <c r="I1378" s="256"/>
      <c r="J1378" s="256"/>
      <c r="K1378" s="568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90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21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93"/>
        <v/>
      </c>
      <c r="C1379" s="37"/>
      <c r="D1379" s="37"/>
      <c r="E1379" s="37"/>
      <c r="F1379" s="192"/>
      <c r="G1379" s="40"/>
      <c r="H1379" s="7"/>
      <c r="I1379" s="256"/>
      <c r="J1379" s="256"/>
      <c r="K1379" s="568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90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21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93"/>
        <v/>
      </c>
      <c r="C1380" s="191"/>
      <c r="D1380" s="184"/>
      <c r="E1380" s="191"/>
      <c r="F1380" s="192"/>
      <c r="G1380" s="468"/>
      <c r="H1380" s="45"/>
      <c r="I1380" s="256"/>
      <c r="J1380" s="256"/>
      <c r="K1380" s="568"/>
      <c r="L1380" s="194"/>
      <c r="M1380" s="194"/>
      <c r="N1380" s="52" t="str">
        <f>IF(AND('331-CT'!$E$7=TH!H1380,OR(L1380="331",M1380="331")),"331",IF(AND(OR(L1380="131",M1380="131"),H1380='131-CT'!$E$7),"131",""))</f>
        <v/>
      </c>
      <c r="O1380" s="90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21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93"/>
        <v/>
      </c>
      <c r="C1381" s="191"/>
      <c r="D1381" s="184"/>
      <c r="E1381" s="191"/>
      <c r="F1381" s="192"/>
      <c r="G1381" s="468"/>
      <c r="H1381" s="45"/>
      <c r="I1381" s="256"/>
      <c r="J1381" s="256"/>
      <c r="K1381" s="38"/>
      <c r="L1381" s="194"/>
      <c r="M1381" s="194"/>
      <c r="N1381" s="52" t="str">
        <f>IF(AND('331-CT'!$E$7=TH!H1381,OR(L1381="331",M1381="331")),"331",IF(AND(OR(L1381="131",M1381="131"),H1381='131-CT'!$E$7),"131",""))</f>
        <v/>
      </c>
      <c r="O1381" s="90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21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93"/>
        <v/>
      </c>
      <c r="C1382" s="191"/>
      <c r="D1382" s="184"/>
      <c r="E1382" s="191"/>
      <c r="F1382" s="192"/>
      <c r="G1382" s="465"/>
      <c r="H1382" s="45"/>
      <c r="I1382" s="257"/>
      <c r="J1382" s="256"/>
      <c r="K1382" s="38"/>
      <c r="L1382" s="194"/>
      <c r="M1382" s="569"/>
      <c r="N1382" s="52" t="str">
        <f>IF(AND('331-CT'!$E$7=TH!H1382,OR(L1382="331",M1382="331")),"331",IF(AND(OR(L1382="131",M1382="131"),H1382='131-CT'!$E$7),"131",""))</f>
        <v/>
      </c>
      <c r="O1382" s="90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21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93"/>
        <v/>
      </c>
      <c r="C1383" s="191"/>
      <c r="D1383" s="184"/>
      <c r="E1383" s="191"/>
      <c r="F1383" s="192"/>
      <c r="G1383" s="465"/>
      <c r="H1383" s="45"/>
      <c r="I1383" s="257"/>
      <c r="J1383" s="256"/>
      <c r="K1383" s="38"/>
      <c r="L1383" s="194"/>
      <c r="M1383" s="569"/>
      <c r="N1383" s="52" t="str">
        <f>IF(AND('331-CT'!$E$7=TH!H1383,OR(L1383="331",M1383="331")),"331",IF(AND(OR(L1383="131",M1383="131"),H1383='131-CT'!$E$7),"131",""))</f>
        <v/>
      </c>
      <c r="O1383" s="90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21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93"/>
        <v/>
      </c>
      <c r="C1384" s="37"/>
      <c r="D1384" s="37"/>
      <c r="E1384" s="731"/>
      <c r="F1384" s="40"/>
      <c r="G1384" s="40"/>
      <c r="H1384" s="7"/>
      <c r="I1384" s="256"/>
      <c r="J1384" s="256"/>
      <c r="K1384" s="568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90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21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93"/>
        <v/>
      </c>
      <c r="C1385" s="37"/>
      <c r="D1385" s="37"/>
      <c r="E1385" s="731"/>
      <c r="F1385" s="189"/>
      <c r="G1385" s="40"/>
      <c r="H1385" s="7"/>
      <c r="I1385" s="256"/>
      <c r="J1385" s="256"/>
      <c r="K1385" s="568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90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21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93"/>
        <v/>
      </c>
      <c r="C1386" s="37"/>
      <c r="D1386" s="37"/>
      <c r="E1386" s="731"/>
      <c r="F1386" s="189"/>
      <c r="G1386" s="40"/>
      <c r="H1386" s="7"/>
      <c r="I1386" s="256"/>
      <c r="J1386" s="256"/>
      <c r="K1386" s="568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90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21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93"/>
        <v/>
      </c>
      <c r="C1387" s="37"/>
      <c r="D1387" s="37"/>
      <c r="E1387" s="731"/>
      <c r="F1387" s="189"/>
      <c r="G1387" s="40"/>
      <c r="H1387" s="7"/>
      <c r="I1387" s="256"/>
      <c r="J1387" s="256"/>
      <c r="K1387" s="568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90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21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93"/>
        <v/>
      </c>
      <c r="C1388" s="37"/>
      <c r="D1388" s="37"/>
      <c r="E1388" s="731"/>
      <c r="F1388" s="189"/>
      <c r="G1388" s="40"/>
      <c r="H1388" s="7"/>
      <c r="I1388" s="256"/>
      <c r="J1388" s="256"/>
      <c r="K1388" s="568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90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21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93"/>
        <v/>
      </c>
      <c r="C1389" s="37"/>
      <c r="D1389" s="37"/>
      <c r="E1389" s="731"/>
      <c r="F1389" s="296"/>
      <c r="G1389" s="40"/>
      <c r="H1389" s="7"/>
      <c r="I1389" s="256"/>
      <c r="J1389" s="256"/>
      <c r="K1389" s="568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90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21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93"/>
        <v/>
      </c>
      <c r="C1390" s="37"/>
      <c r="D1390" s="37"/>
      <c r="E1390" s="731"/>
      <c r="F1390" s="296"/>
      <c r="G1390" s="40"/>
      <c r="H1390" s="7"/>
      <c r="I1390" s="256"/>
      <c r="J1390" s="256"/>
      <c r="K1390" s="568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90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21"/>
    </row>
    <row r="1391" spans="1:28" s="211" customFormat="1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93"/>
        <v/>
      </c>
      <c r="C1391" s="184"/>
      <c r="D1391" s="184"/>
      <c r="E1391" s="184"/>
      <c r="F1391" s="189"/>
      <c r="G1391" s="570"/>
      <c r="H1391" s="7"/>
      <c r="I1391" s="256"/>
      <c r="J1391" s="256"/>
      <c r="K1391" s="568"/>
      <c r="L1391" s="569"/>
      <c r="M1391" s="569"/>
      <c r="N1391" s="52" t="str">
        <f>IF(AND('331-CT'!$E$7=TH!H1391,OR(L1391="331",M1391="331")),"331",IF(AND(OR(L1391="131",M1391="131"),H1391='131-CT'!$E$7),"131",""))</f>
        <v/>
      </c>
      <c r="O1391" s="90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21"/>
    </row>
    <row r="1392" spans="1:28" s="211" customFormat="1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93"/>
        <v/>
      </c>
      <c r="C1392" s="191"/>
      <c r="D1392" s="191"/>
      <c r="E1392" s="191"/>
      <c r="F1392" s="192"/>
      <c r="G1392" s="468"/>
      <c r="H1392" s="193"/>
      <c r="I1392" s="256"/>
      <c r="J1392" s="256"/>
      <c r="K1392" s="568"/>
      <c r="L1392" s="194"/>
      <c r="M1392" s="194"/>
      <c r="N1392" s="52" t="str">
        <f>IF(AND('331-CT'!$E$7=TH!H1392,OR(L1392="331",M1392="331")),"331",IF(AND(OR(L1392="131",M1392="131"),H1392='131-CT'!$E$7),"131",""))</f>
        <v/>
      </c>
      <c r="O1392" s="90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21"/>
    </row>
    <row r="1393" spans="1:28" s="211" customFormat="1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93"/>
        <v/>
      </c>
      <c r="C1393" s="191"/>
      <c r="D1393" s="191"/>
      <c r="E1393" s="191"/>
      <c r="F1393" s="192"/>
      <c r="G1393" s="468"/>
      <c r="H1393" s="193"/>
      <c r="I1393" s="256"/>
      <c r="J1393" s="256"/>
      <c r="K1393" s="568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90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21"/>
    </row>
    <row r="1394" spans="1:28" s="211" customFormat="1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93"/>
        <v/>
      </c>
      <c r="C1394" s="191"/>
      <c r="D1394" s="191"/>
      <c r="E1394" s="191"/>
      <c r="F1394" s="192"/>
      <c r="G1394" s="468"/>
      <c r="H1394" s="193"/>
      <c r="I1394" s="257"/>
      <c r="J1394" s="257"/>
      <c r="K1394" s="568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90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21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93"/>
        <v/>
      </c>
      <c r="C1395" s="37"/>
      <c r="D1395" s="37"/>
      <c r="E1395" s="37"/>
      <c r="F1395" s="40"/>
      <c r="G1395" s="40"/>
      <c r="H1395" s="7"/>
      <c r="I1395" s="256"/>
      <c r="J1395" s="256"/>
      <c r="K1395" s="568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90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21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si="93"/>
        <v/>
      </c>
      <c r="C1396" s="37"/>
      <c r="D1396" s="37"/>
      <c r="E1396" s="37"/>
      <c r="F1396" s="40"/>
      <c r="G1396" s="40"/>
      <c r="H1396" s="7"/>
      <c r="I1396" s="256"/>
      <c r="J1396" s="256"/>
      <c r="K1396" s="568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90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21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93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8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90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21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93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8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90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21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93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568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90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21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93"/>
        <v/>
      </c>
      <c r="C1400" s="191"/>
      <c r="D1400" s="191"/>
      <c r="E1400" s="191"/>
      <c r="F1400" s="192"/>
      <c r="G1400" s="468"/>
      <c r="H1400" s="7"/>
      <c r="I1400" s="256"/>
      <c r="J1400" s="256"/>
      <c r="K1400" s="568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90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21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ref="B1401:B1464" si="94">IF(C1401&lt;&gt;"",MONTH(C1401),"")</f>
        <v/>
      </c>
      <c r="C1401" s="191"/>
      <c r="D1401" s="191"/>
      <c r="E1401" s="191"/>
      <c r="F1401" s="192"/>
      <c r="G1401" s="468"/>
      <c r="H1401" s="7"/>
      <c r="I1401" s="256"/>
      <c r="J1401" s="256"/>
      <c r="K1401" s="568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90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21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94"/>
        <v/>
      </c>
      <c r="C1402" s="191"/>
      <c r="D1402" s="191"/>
      <c r="E1402" s="191"/>
      <c r="F1402" s="192"/>
      <c r="G1402" s="468"/>
      <c r="H1402" s="7"/>
      <c r="I1402" s="256"/>
      <c r="J1402" s="256"/>
      <c r="K1402" s="568"/>
      <c r="L1402" s="194"/>
      <c r="M1402" s="194"/>
      <c r="N1402" s="52" t="str">
        <f>IF(AND('331-CT'!$E$7=TH!H1402,OR(L1402="331",M1402="331")),"331",IF(AND(OR(L1402="131",M1402="131"),H1402='131-CT'!$E$7),"131",""))</f>
        <v/>
      </c>
      <c r="O1402" s="90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21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94"/>
        <v/>
      </c>
      <c r="C1403" s="191"/>
      <c r="D1403" s="191"/>
      <c r="E1403" s="191"/>
      <c r="F1403" s="192"/>
      <c r="G1403" s="468"/>
      <c r="H1403" s="7"/>
      <c r="I1403" s="256"/>
      <c r="J1403" s="256"/>
      <c r="K1403" s="568"/>
      <c r="L1403" s="194"/>
      <c r="M1403" s="194"/>
      <c r="N1403" s="52" t="str">
        <f>IF(AND('331-CT'!$E$7=TH!H1403,OR(L1403="331",M1403="331")),"331",IF(AND(OR(L1403="131",M1403="131"),H1403='131-CT'!$E$7),"131",""))</f>
        <v/>
      </c>
      <c r="O1403" s="90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21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94"/>
        <v/>
      </c>
      <c r="C1404" s="191"/>
      <c r="D1404" s="191"/>
      <c r="E1404" s="191"/>
      <c r="F1404" s="192"/>
      <c r="G1404" s="468"/>
      <c r="H1404" s="7"/>
      <c r="I1404" s="256"/>
      <c r="J1404" s="256"/>
      <c r="K1404" s="38"/>
      <c r="L1404" s="194"/>
      <c r="M1404" s="194"/>
      <c r="N1404" s="52" t="str">
        <f>IF(AND('331-CT'!$E$7=TH!H1404,OR(L1404="331",M1404="331")),"331",IF(AND(OR(L1404="131",M1404="131"),H1404='131-CT'!$E$7),"131",""))</f>
        <v/>
      </c>
      <c r="O1404" s="90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21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94"/>
        <v/>
      </c>
      <c r="C1405" s="191"/>
      <c r="D1405" s="191"/>
      <c r="E1405" s="191"/>
      <c r="F1405" s="192"/>
      <c r="G1405" s="468"/>
      <c r="H1405" s="7"/>
      <c r="I1405" s="256"/>
      <c r="J1405" s="256"/>
      <c r="K1405" s="568"/>
      <c r="L1405" s="194"/>
      <c r="M1405" s="194"/>
      <c r="N1405" s="52" t="str">
        <f>IF(AND('331-CT'!$E$7=TH!H1405,OR(L1405="331",M1405="331")),"331",IF(AND(OR(L1405="131",M1405="131"),H1405='131-CT'!$E$7),"131",""))</f>
        <v/>
      </c>
      <c r="O1405" s="90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21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94"/>
        <v/>
      </c>
      <c r="C1406" s="191"/>
      <c r="D1406" s="191"/>
      <c r="E1406" s="191"/>
      <c r="F1406" s="192"/>
      <c r="G1406" s="468"/>
      <c r="H1406" s="7"/>
      <c r="I1406" s="256"/>
      <c r="J1406" s="256"/>
      <c r="K1406" s="568"/>
      <c r="L1406" s="194"/>
      <c r="M1406" s="194"/>
      <c r="N1406" s="52" t="str">
        <f>IF(AND('331-CT'!$E$7=TH!H1406,OR(L1406="331",M1406="331")),"331",IF(AND(OR(L1406="131",M1406="131"),H1406='131-CT'!$E$7),"131",""))</f>
        <v/>
      </c>
      <c r="O1406" s="90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21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94"/>
        <v/>
      </c>
      <c r="C1407" s="191"/>
      <c r="D1407" s="191"/>
      <c r="E1407" s="191"/>
      <c r="F1407" s="192"/>
      <c r="G1407" s="468"/>
      <c r="H1407" s="7"/>
      <c r="I1407" s="257"/>
      <c r="J1407" s="257"/>
      <c r="K1407" s="568"/>
      <c r="L1407" s="194"/>
      <c r="M1407" s="194"/>
      <c r="N1407" s="52" t="str">
        <f>IF(AND('331-CT'!$E$7=TH!H1407,OR(L1407="331",M1407="331")),"331",IF(AND(OR(L1407="131",M1407="131"),H1407='131-CT'!$E$7),"131",""))</f>
        <v/>
      </c>
      <c r="O1407" s="90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21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94"/>
        <v/>
      </c>
      <c r="C1408" s="191"/>
      <c r="D1408" s="191"/>
      <c r="E1408" s="191"/>
      <c r="F1408" s="192"/>
      <c r="G1408" s="468"/>
      <c r="H1408" s="7"/>
      <c r="I1408" s="256"/>
      <c r="J1408" s="256"/>
      <c r="K1408" s="568"/>
      <c r="L1408" s="194"/>
      <c r="M1408" s="194"/>
      <c r="N1408" s="52" t="str">
        <f>IF(AND('331-CT'!$E$7=TH!H1408,OR(L1408="331",M1408="331")),"331",IF(AND(OR(L1408="131",M1408="131"),H1408='131-CT'!$E$7),"131",""))</f>
        <v/>
      </c>
      <c r="O1408" s="90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21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94"/>
        <v/>
      </c>
      <c r="C1409" s="191"/>
      <c r="D1409" s="191"/>
      <c r="E1409" s="191"/>
      <c r="F1409" s="192"/>
      <c r="G1409" s="468"/>
      <c r="H1409" s="7"/>
      <c r="I1409" s="256"/>
      <c r="J1409" s="256"/>
      <c r="K1409" s="568"/>
      <c r="L1409" s="194"/>
      <c r="M1409" s="194"/>
      <c r="N1409" s="52" t="str">
        <f>IF(AND('331-CT'!$E$7=TH!H1409,OR(L1409="331",M1409="331")),"331",IF(AND(OR(L1409="131",M1409="131"),H1409='131-CT'!$E$7),"131",""))</f>
        <v/>
      </c>
      <c r="O1409" s="90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21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94"/>
        <v/>
      </c>
      <c r="C1410" s="191"/>
      <c r="D1410" s="191"/>
      <c r="E1410" s="191"/>
      <c r="F1410" s="192"/>
      <c r="G1410" s="468"/>
      <c r="H1410" s="7"/>
      <c r="I1410" s="257"/>
      <c r="J1410" s="257"/>
      <c r="K1410" s="568"/>
      <c r="L1410" s="194"/>
      <c r="M1410" s="194"/>
      <c r="N1410" s="52" t="str">
        <f>IF(AND('331-CT'!$E$7=TH!H1410,OR(L1410="331",M1410="331")),"331",IF(AND(OR(L1410="131",M1410="131"),H1410='131-CT'!$E$7),"131",""))</f>
        <v/>
      </c>
      <c r="O1410" s="90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21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94"/>
        <v/>
      </c>
      <c r="C1411" s="191"/>
      <c r="D1411" s="191"/>
      <c r="E1411" s="191"/>
      <c r="F1411" s="192"/>
      <c r="G1411" s="468"/>
      <c r="H1411" s="7"/>
      <c r="I1411" s="256"/>
      <c r="J1411" s="256"/>
      <c r="K1411" s="568"/>
      <c r="L1411" s="194"/>
      <c r="M1411" s="194"/>
      <c r="N1411" s="52" t="str">
        <f>IF(AND('331-CT'!$E$7=TH!H1411,OR(L1411="331",M1411="331")),"331",IF(AND(OR(L1411="131",M1411="131"),H1411='131-CT'!$E$7),"131",""))</f>
        <v/>
      </c>
      <c r="O1411" s="90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21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94"/>
        <v/>
      </c>
      <c r="C1412" s="191"/>
      <c r="D1412" s="191"/>
      <c r="E1412" s="191"/>
      <c r="F1412" s="192"/>
      <c r="G1412" s="468"/>
      <c r="H1412" s="7"/>
      <c r="I1412" s="256"/>
      <c r="J1412" s="256"/>
      <c r="K1412" s="568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90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21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94"/>
        <v/>
      </c>
      <c r="C1413" s="191"/>
      <c r="D1413" s="191"/>
      <c r="E1413" s="191"/>
      <c r="F1413" s="192"/>
      <c r="G1413" s="468"/>
      <c r="H1413" s="7"/>
      <c r="I1413" s="256"/>
      <c r="J1413" s="256"/>
      <c r="K1413" s="38"/>
      <c r="L1413" s="194"/>
      <c r="M1413" s="194"/>
      <c r="N1413" s="52" t="str">
        <f>IF(AND('331-CT'!$E$7=TH!H1413,OR(L1413="331",M1413="331")),"331",IF(AND(OR(L1413="131",M1413="131"),H1413='131-CT'!$E$7),"131",""))</f>
        <v/>
      </c>
      <c r="O1413" s="90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21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94"/>
        <v/>
      </c>
      <c r="C1414" s="37"/>
      <c r="D1414" s="37"/>
      <c r="E1414" s="37"/>
      <c r="F1414" s="40"/>
      <c r="G1414" s="40"/>
      <c r="H1414" s="7"/>
      <c r="I1414" s="256"/>
      <c r="J1414" s="256"/>
      <c r="K1414" s="568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90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21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94"/>
        <v/>
      </c>
      <c r="C1415" s="37"/>
      <c r="D1415" s="37"/>
      <c r="E1415" s="37"/>
      <c r="F1415" s="40"/>
      <c r="G1415" s="40"/>
      <c r="H1415" s="7"/>
      <c r="I1415" s="256"/>
      <c r="J1415" s="256"/>
      <c r="K1415" s="568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90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21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94"/>
        <v/>
      </c>
      <c r="C1416" s="37"/>
      <c r="D1416" s="37"/>
      <c r="E1416" s="37"/>
      <c r="F1416" s="40"/>
      <c r="G1416" s="40"/>
      <c r="H1416" s="7"/>
      <c r="I1416" s="256"/>
      <c r="J1416" s="256"/>
      <c r="K1416" s="568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90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21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94"/>
        <v/>
      </c>
      <c r="C1417" s="37"/>
      <c r="D1417" s="37"/>
      <c r="E1417" s="37"/>
      <c r="F1417" s="40"/>
      <c r="G1417" s="40"/>
      <c r="H1417" s="7"/>
      <c r="I1417" s="256"/>
      <c r="J1417" s="256"/>
      <c r="K1417" s="568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90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21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94"/>
        <v/>
      </c>
      <c r="C1418" s="37"/>
      <c r="D1418" s="37"/>
      <c r="E1418" s="37"/>
      <c r="F1418" s="40"/>
      <c r="G1418" s="40"/>
      <c r="H1418" s="7"/>
      <c r="I1418" s="256"/>
      <c r="J1418" s="256"/>
      <c r="K1418" s="568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90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21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94"/>
        <v/>
      </c>
      <c r="C1419" s="37"/>
      <c r="D1419" s="37"/>
      <c r="E1419" s="37"/>
      <c r="F1419" s="40"/>
      <c r="G1419" s="40"/>
      <c r="H1419" s="7"/>
      <c r="I1419" s="256"/>
      <c r="J1419" s="256"/>
      <c r="K1419" s="568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90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21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94"/>
        <v/>
      </c>
      <c r="C1420" s="37"/>
      <c r="D1420" s="37"/>
      <c r="E1420" s="37"/>
      <c r="F1420" s="40"/>
      <c r="G1420" s="40"/>
      <c r="H1420" s="7"/>
      <c r="I1420" s="256"/>
      <c r="J1420" s="256"/>
      <c r="K1420" s="568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90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21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94"/>
        <v/>
      </c>
      <c r="C1421" s="37"/>
      <c r="D1421" s="37"/>
      <c r="E1421" s="37"/>
      <c r="F1421" s="40"/>
      <c r="G1421" s="40"/>
      <c r="H1421" s="7"/>
      <c r="I1421" s="256"/>
      <c r="J1421" s="256"/>
      <c r="K1421" s="568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90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21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94"/>
        <v/>
      </c>
      <c r="C1422" s="37"/>
      <c r="D1422" s="37"/>
      <c r="E1422" s="37"/>
      <c r="F1422" s="40"/>
      <c r="G1422" s="40"/>
      <c r="H1422" s="7"/>
      <c r="I1422" s="256"/>
      <c r="J1422" s="256"/>
      <c r="K1422" s="568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90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21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94"/>
        <v/>
      </c>
      <c r="C1423" s="37"/>
      <c r="D1423" s="37"/>
      <c r="E1423" s="37"/>
      <c r="F1423" s="40"/>
      <c r="G1423" s="40"/>
      <c r="H1423" s="7"/>
      <c r="I1423" s="256"/>
      <c r="J1423" s="256"/>
      <c r="K1423" s="568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90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21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94"/>
        <v/>
      </c>
      <c r="C1424" s="37"/>
      <c r="D1424" s="37"/>
      <c r="E1424" s="37"/>
      <c r="F1424" s="40"/>
      <c r="G1424" s="40"/>
      <c r="H1424" s="7"/>
      <c r="I1424" s="256"/>
      <c r="J1424" s="256"/>
      <c r="K1424" s="568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90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21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94"/>
        <v/>
      </c>
      <c r="C1425" s="37"/>
      <c r="D1425" s="37"/>
      <c r="E1425" s="37"/>
      <c r="F1425" s="40"/>
      <c r="G1425" s="40"/>
      <c r="H1425" s="7"/>
      <c r="I1425" s="256"/>
      <c r="J1425" s="256"/>
      <c r="K1425" s="568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90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21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94"/>
        <v/>
      </c>
      <c r="C1426" s="37"/>
      <c r="D1426" s="37"/>
      <c r="E1426" s="37"/>
      <c r="F1426" s="40"/>
      <c r="G1426" s="40"/>
      <c r="H1426" s="7"/>
      <c r="I1426" s="256"/>
      <c r="J1426" s="256"/>
      <c r="K1426" s="568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90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21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94"/>
        <v/>
      </c>
      <c r="C1427" s="37"/>
      <c r="D1427" s="37"/>
      <c r="E1427" s="37"/>
      <c r="F1427" s="40"/>
      <c r="G1427" s="40"/>
      <c r="H1427" s="7"/>
      <c r="I1427" s="256"/>
      <c r="J1427" s="256"/>
      <c r="K1427" s="568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90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21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94"/>
        <v/>
      </c>
      <c r="C1428" s="37"/>
      <c r="D1428" s="37"/>
      <c r="E1428" s="37"/>
      <c r="F1428" s="40"/>
      <c r="G1428" s="40"/>
      <c r="H1428" s="7"/>
      <c r="I1428" s="256"/>
      <c r="J1428" s="256"/>
      <c r="K1428" s="568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90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21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94"/>
        <v/>
      </c>
      <c r="C1429" s="37"/>
      <c r="D1429" s="37"/>
      <c r="E1429" s="37"/>
      <c r="F1429" s="40"/>
      <c r="G1429" s="40"/>
      <c r="H1429" s="7"/>
      <c r="I1429" s="256"/>
      <c r="J1429" s="256"/>
      <c r="K1429" s="568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90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21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94"/>
        <v/>
      </c>
      <c r="C1430" s="37"/>
      <c r="D1430" s="37"/>
      <c r="E1430" s="37"/>
      <c r="F1430" s="40"/>
      <c r="G1430" s="40"/>
      <c r="H1430" s="7"/>
      <c r="I1430" s="256"/>
      <c r="J1430" s="256"/>
      <c r="K1430" s="568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90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21"/>
    </row>
    <row r="1431" spans="1:28" s="211" customFormat="1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94"/>
        <v/>
      </c>
      <c r="C1431" s="37"/>
      <c r="D1431" s="37"/>
      <c r="E1431" s="37"/>
      <c r="F1431" s="40"/>
      <c r="G1431" s="40"/>
      <c r="H1431" s="7"/>
      <c r="I1431" s="256"/>
      <c r="J1431" s="256"/>
      <c r="K1431" s="568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90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21"/>
    </row>
    <row r="1432" spans="1:28" s="211" customFormat="1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94"/>
        <v/>
      </c>
      <c r="C1432" s="37"/>
      <c r="D1432" s="37"/>
      <c r="E1432" s="37"/>
      <c r="F1432" s="40"/>
      <c r="G1432" s="40"/>
      <c r="H1432" s="7"/>
      <c r="I1432" s="256"/>
      <c r="J1432" s="256"/>
      <c r="K1432" s="568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90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21"/>
    </row>
    <row r="1433" spans="1:28" s="211" customFormat="1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si="94"/>
        <v/>
      </c>
      <c r="C1433" s="37"/>
      <c r="D1433" s="37"/>
      <c r="E1433" s="37"/>
      <c r="F1433" s="40"/>
      <c r="G1433" s="40"/>
      <c r="H1433" s="7"/>
      <c r="I1433" s="256"/>
      <c r="J1433" s="256"/>
      <c r="K1433" s="568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90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21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94"/>
        <v/>
      </c>
      <c r="C1434" s="37"/>
      <c r="D1434" s="37"/>
      <c r="E1434" s="37"/>
      <c r="F1434" s="40"/>
      <c r="G1434" s="40"/>
      <c r="H1434" s="7"/>
      <c r="I1434" s="256"/>
      <c r="J1434" s="256"/>
      <c r="K1434" s="568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90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21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94"/>
        <v/>
      </c>
      <c r="C1435" s="37"/>
      <c r="D1435" s="37"/>
      <c r="E1435" s="37"/>
      <c r="F1435" s="40"/>
      <c r="G1435" s="40"/>
      <c r="H1435" s="7"/>
      <c r="I1435" s="256"/>
      <c r="J1435" s="256"/>
      <c r="K1435" s="568"/>
      <c r="L1435" s="39"/>
      <c r="M1435" s="39"/>
      <c r="N1435" s="52" t="str">
        <f>IF(AND('331-CT'!$E$7=TH!H1435,OR(L1435="331",M1435="331")),"331",IF(AND(OR(L1435="131",M1435="131"),H1435='131-CT'!$E$7),"131",""))</f>
        <v/>
      </c>
      <c r="O1435" s="90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21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94"/>
        <v/>
      </c>
      <c r="C1436" s="37"/>
      <c r="D1436" s="37"/>
      <c r="E1436" s="37"/>
      <c r="F1436" s="40"/>
      <c r="G1436" s="40"/>
      <c r="H1436" s="7"/>
      <c r="I1436" s="256"/>
      <c r="J1436" s="256"/>
      <c r="K1436" s="568"/>
      <c r="L1436" s="39"/>
      <c r="M1436" s="39"/>
      <c r="N1436" s="52" t="str">
        <f>IF(AND('331-CT'!$E$7=TH!H1436,OR(L1436="331",M1436="331")),"331",IF(AND(OR(L1436="131",M1436="131"),H1436='131-CT'!$E$7),"131",""))</f>
        <v/>
      </c>
      <c r="O1436" s="90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21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94"/>
        <v/>
      </c>
      <c r="C1437" s="37"/>
      <c r="D1437" s="37"/>
      <c r="E1437" s="37"/>
      <c r="F1437" s="40"/>
      <c r="G1437" s="40"/>
      <c r="H1437" s="7"/>
      <c r="I1437" s="256"/>
      <c r="J1437" s="256"/>
      <c r="K1437" s="568"/>
      <c r="L1437" s="39"/>
      <c r="M1437" s="39"/>
      <c r="N1437" s="52" t="str">
        <f>IF(AND('331-CT'!$E$7=TH!H1437,OR(L1437="331",M1437="331")),"331",IF(AND(OR(L1437="131",M1437="131"),H1437='131-CT'!$E$7),"131",""))</f>
        <v/>
      </c>
      <c r="O1437" s="90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21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94"/>
        <v/>
      </c>
      <c r="C1438" s="37"/>
      <c r="D1438" s="37"/>
      <c r="E1438" s="37"/>
      <c r="F1438" s="40"/>
      <c r="G1438" s="40"/>
      <c r="H1438" s="7"/>
      <c r="I1438" s="256"/>
      <c r="J1438" s="256"/>
      <c r="K1438" s="568"/>
      <c r="L1438" s="39"/>
      <c r="M1438" s="39"/>
      <c r="N1438" s="52" t="str">
        <f>IF(AND('331-CT'!$E$7=TH!H1438,OR(L1438="331",M1438="331")),"331",IF(AND(OR(L1438="131",M1438="131"),H1438='131-CT'!$E$7),"131",""))</f>
        <v/>
      </c>
      <c r="O1438" s="90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21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si="94"/>
        <v/>
      </c>
      <c r="C1439" s="37"/>
      <c r="D1439" s="37"/>
      <c r="E1439" s="37"/>
      <c r="F1439" s="40"/>
      <c r="G1439" s="40"/>
      <c r="H1439" s="7"/>
      <c r="I1439" s="256"/>
      <c r="J1439" s="256"/>
      <c r="K1439" s="568"/>
      <c r="L1439" s="39"/>
      <c r="M1439" s="39"/>
      <c r="N1439" s="52" t="str">
        <f>IF(AND('331-CT'!$E$7=TH!H1439,OR(L1439="331",M1439="331")),"331",IF(AND(OR(L1439="131",M1439="131"),H1439='131-CT'!$E$7),"131",""))</f>
        <v/>
      </c>
      <c r="O1439" s="90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21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94"/>
        <v/>
      </c>
      <c r="C1440" s="37"/>
      <c r="D1440" s="37"/>
      <c r="E1440" s="37"/>
      <c r="F1440" s="40"/>
      <c r="G1440" s="40"/>
      <c r="H1440" s="7"/>
      <c r="I1440" s="256"/>
      <c r="J1440" s="256"/>
      <c r="K1440" s="568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90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21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94"/>
        <v/>
      </c>
      <c r="C1441" s="37"/>
      <c r="D1441" s="37"/>
      <c r="E1441" s="37"/>
      <c r="F1441" s="40"/>
      <c r="G1441" s="40"/>
      <c r="H1441" s="7"/>
      <c r="I1441" s="256"/>
      <c r="J1441" s="256"/>
      <c r="K1441" s="568"/>
      <c r="L1441" s="39"/>
      <c r="M1441" s="39"/>
      <c r="N1441" s="52" t="str">
        <f>IF(AND('331-CT'!$E$7=TH!H1441,OR(L1441="331",M1441="331")),"331",IF(AND(OR(L1441="131",M1441="131"),H1441='131-CT'!$E$7),"131",""))</f>
        <v/>
      </c>
      <c r="O1441" s="90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21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94"/>
        <v/>
      </c>
      <c r="C1442" s="37"/>
      <c r="D1442" s="37"/>
      <c r="E1442" s="37"/>
      <c r="F1442" s="40"/>
      <c r="G1442" s="40"/>
      <c r="H1442" s="7"/>
      <c r="I1442" s="256"/>
      <c r="J1442" s="256"/>
      <c r="K1442" s="568"/>
      <c r="L1442" s="39"/>
      <c r="M1442" s="39"/>
      <c r="N1442" s="52" t="str">
        <f>IF(AND('331-CT'!$E$7=TH!H1442,OR(L1442="331",M1442="331")),"331",IF(AND(OR(L1442="131",M1442="131"),H1442='131-CT'!$E$7),"131",""))</f>
        <v/>
      </c>
      <c r="O1442" s="90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21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94"/>
        <v/>
      </c>
      <c r="C1443" s="37"/>
      <c r="D1443" s="37"/>
      <c r="E1443" s="37"/>
      <c r="F1443" s="40"/>
      <c r="G1443" s="40"/>
      <c r="H1443" s="7"/>
      <c r="I1443" s="256"/>
      <c r="J1443" s="256"/>
      <c r="K1443" s="568"/>
      <c r="L1443" s="39"/>
      <c r="M1443" s="39"/>
      <c r="N1443" s="52" t="str">
        <f>IF(AND('331-CT'!$E$7=TH!H1443,OR(L1443="331",M1443="331")),"331",IF(AND(OR(L1443="131",M1443="131"),H1443='131-CT'!$E$7),"131",""))</f>
        <v/>
      </c>
      <c r="O1443" s="90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21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94"/>
        <v/>
      </c>
      <c r="C1444" s="191"/>
      <c r="D1444" s="191"/>
      <c r="E1444" s="191"/>
      <c r="F1444" s="192"/>
      <c r="G1444" s="468"/>
      <c r="H1444" s="7"/>
      <c r="I1444" s="256"/>
      <c r="J1444" s="256"/>
      <c r="K1444" s="568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90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21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94"/>
        <v/>
      </c>
      <c r="C1445" s="191"/>
      <c r="D1445" s="191"/>
      <c r="E1445" s="191"/>
      <c r="F1445" s="192"/>
      <c r="G1445" s="468"/>
      <c r="H1445" s="7"/>
      <c r="I1445" s="256"/>
      <c r="J1445" s="256"/>
      <c r="K1445" s="56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90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21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94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568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90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21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94"/>
        <v/>
      </c>
      <c r="C1447" s="191"/>
      <c r="D1447" s="191"/>
      <c r="E1447" s="191"/>
      <c r="F1447" s="192"/>
      <c r="G1447" s="468"/>
      <c r="H1447" s="7"/>
      <c r="I1447" s="256"/>
      <c r="J1447" s="256"/>
      <c r="K1447" s="568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90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21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94"/>
        <v/>
      </c>
      <c r="C1448" s="191"/>
      <c r="D1448" s="191"/>
      <c r="E1448" s="191"/>
      <c r="F1448" s="192"/>
      <c r="G1448" s="468"/>
      <c r="H1448" s="7"/>
      <c r="I1448" s="257"/>
      <c r="J1448" s="257"/>
      <c r="K1448" s="568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90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21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94"/>
        <v/>
      </c>
      <c r="C1449" s="191"/>
      <c r="D1449" s="191"/>
      <c r="E1449" s="191"/>
      <c r="F1449" s="192"/>
      <c r="G1449" s="468"/>
      <c r="H1449" s="7"/>
      <c r="I1449" s="257"/>
      <c r="J1449" s="257"/>
      <c r="K1449" s="568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90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21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94"/>
        <v/>
      </c>
      <c r="C1450" s="191"/>
      <c r="D1450" s="191"/>
      <c r="E1450" s="191"/>
      <c r="F1450" s="192"/>
      <c r="G1450" s="468"/>
      <c r="H1450" s="7"/>
      <c r="I1450" s="256"/>
      <c r="J1450" s="256"/>
      <c r="K1450" s="568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90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21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94"/>
        <v/>
      </c>
      <c r="C1451" s="191"/>
      <c r="D1451" s="191"/>
      <c r="E1451" s="191"/>
      <c r="F1451" s="192"/>
      <c r="G1451" s="468"/>
      <c r="H1451" s="7"/>
      <c r="I1451" s="256"/>
      <c r="J1451" s="256"/>
      <c r="K1451" s="38"/>
      <c r="L1451" s="194"/>
      <c r="M1451" s="194"/>
      <c r="N1451" s="52" t="str">
        <f>IF(AND('331-CT'!$E$7=TH!H1451,OR(L1451="331",M1451="331")),"331",IF(AND(OR(L1451="131",M1451="131"),H1451='131-CT'!$E$7),"131",""))</f>
        <v/>
      </c>
      <c r="O1451" s="90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21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94"/>
        <v/>
      </c>
      <c r="C1452" s="37"/>
      <c r="D1452" s="37"/>
      <c r="E1452" s="37"/>
      <c r="F1452" s="40"/>
      <c r="G1452" s="40"/>
      <c r="H1452" s="7"/>
      <c r="I1452" s="256"/>
      <c r="J1452" s="256"/>
      <c r="K1452" s="568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902" t="str">
        <f>IF(AND('341-CT'!$E$9=H1452,OR(LEFT(L1452,3)=$O$7,LEFT(M1452,3)=$O$7)),"x","")</f>
        <v/>
      </c>
      <c r="P1452" s="39" t="str">
        <f>IF(AND($B1452&gt;='111'!$N$11,$B1452&lt;='111'!$O$11,OR($L1452=$P$7,$M1452=$P$7)),"x","")</f>
        <v/>
      </c>
      <c r="Q1452" s="39" t="str">
        <f>IF(AND($L1452=$P$7,$B1452&lt;'111'!$N$11),"x","")</f>
        <v/>
      </c>
      <c r="R1452" s="39" t="str">
        <f>IF(AND($M1452=$P$7,$B1452&lt;'111'!$N$11),"x","")</f>
        <v/>
      </c>
      <c r="S1452" s="39" t="str">
        <f>IF(ISERROR(FIND('112'!$M$9,G1452,1)),"",IF((AND(FIND('112'!$M$9,G1452,1)&gt;=1,$B1452&gt;='112'!$N$8,$B1452&lt;='112'!$O$8,OR($L1452='112'!$I$6,$M1452='112'!$I$6))),"x",""))</f>
        <v/>
      </c>
      <c r="T1452" s="39" t="str">
        <f>IF(ISERROR(FIND('112'!$M$9,G1452,1)),"",IF((AND(LEFT(G1452,2)=LEFT('112'!$M$9,2),B1452&lt;'112'!$N$8,$L1452='112'!$I$6)),"x",""))</f>
        <v/>
      </c>
      <c r="U1452" s="39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39" t="str">
        <f>IF(OR(TH!L1452=TH!$W$7,M1452=TH!$W$7),"x","")</f>
        <v/>
      </c>
      <c r="X1452" s="39" t="str">
        <f>IF(AND(B1452&gt;='IN-NX'!$P$3,B1452&lt;='IN-NX'!$Q$3,'IN-NX'!$D$7=D1452,OR(LEFT(L1452,2)="15",AND(LEFT(M1452,2)&lt;&gt;"15",LEFT(M1452,2)&lt;&gt;"33"))),"x","")</f>
        <v/>
      </c>
      <c r="Y1452" s="39" t="str">
        <f>IF(AND(OR(LEFT(TH!L1452,2)="15",LEFT(TH!M1452,2)="15"),'152-CT'!$J$8=TH!F1452),"x","")</f>
        <v/>
      </c>
      <c r="Z1452" s="39" t="str">
        <f>IF(AND(OR(LEFT(TH!L1452,2)="15",LEFT(TH!M1452,2)="15"),TK!$E$7=TH!F1452),"x","")</f>
        <v/>
      </c>
      <c r="AA1452" s="39" t="str">
        <f>IF(AND(B1452&lt;=NKC!$N$8,B1452&gt;=NKC!$M$8),"x","")</f>
        <v/>
      </c>
      <c r="AB1452" s="821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94"/>
        <v/>
      </c>
      <c r="C1453" s="37"/>
      <c r="D1453" s="37"/>
      <c r="E1453" s="37"/>
      <c r="F1453" s="40"/>
      <c r="G1453" s="40"/>
      <c r="H1453" s="7"/>
      <c r="I1453" s="256"/>
      <c r="J1453" s="256"/>
      <c r="K1453" s="568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902" t="str">
        <f>IF(AND('341-CT'!$E$9=H1453,OR(LEFT(L1453,3)=$O$7,LEFT(M1453,3)=$O$7)),"x","")</f>
        <v/>
      </c>
      <c r="P1453" s="39" t="str">
        <f>IF(AND($B1453&gt;='111'!$N$11,$B1453&lt;='111'!$O$11,OR($L1453=$P$7,$M1453=$P$7)),"x","")</f>
        <v/>
      </c>
      <c r="Q1453" s="39" t="str">
        <f>IF(AND($L1453=$P$7,$B1453&lt;'111'!$N$11),"x","")</f>
        <v/>
      </c>
      <c r="R1453" s="39" t="str">
        <f>IF(AND($M1453=$P$7,$B1453&lt;'111'!$N$11),"x","")</f>
        <v/>
      </c>
      <c r="S1453" s="39" t="str">
        <f>IF(ISERROR(FIND('112'!$M$9,G1453,1)),"",IF((AND(FIND('112'!$M$9,G1453,1)&gt;=1,$B1453&gt;='112'!$N$8,$B1453&lt;='112'!$O$8,OR($L1453='112'!$I$6,$M1453='112'!$I$6))),"x",""))</f>
        <v/>
      </c>
      <c r="T1453" s="39" t="str">
        <f>IF(ISERROR(FIND('112'!$M$9,G1453,1)),"",IF((AND(LEFT(G1453,2)=LEFT('112'!$M$9,2),B1453&lt;'112'!$N$8,$L1453='112'!$I$6)),"x",""))</f>
        <v/>
      </c>
      <c r="U1453" s="39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39" t="str">
        <f>IF(OR(TH!L1453=TH!$W$7,M1453=TH!$W$7),"x","")</f>
        <v/>
      </c>
      <c r="X1453" s="39" t="str">
        <f>IF(AND(B1453&gt;='IN-NX'!$P$3,B1453&lt;='IN-NX'!$Q$3,'IN-NX'!$D$7=D1453,OR(LEFT(L1453,2)="15",AND(LEFT(M1453,2)&lt;&gt;"15",LEFT(M1453,2)&lt;&gt;"33"))),"x","")</f>
        <v/>
      </c>
      <c r="Y1453" s="39" t="str">
        <f>IF(AND(OR(LEFT(TH!L1453,2)="15",LEFT(TH!M1453,2)="15"),'152-CT'!$J$8=TH!F1453),"x","")</f>
        <v/>
      </c>
      <c r="Z1453" s="39" t="str">
        <f>IF(AND(OR(LEFT(TH!L1453,2)="15",LEFT(TH!M1453,2)="15"),TK!$E$7=TH!F1453),"x","")</f>
        <v/>
      </c>
      <c r="AA1453" s="39" t="str">
        <f>IF(AND(B1453&lt;=NKC!$N$8,B1453&gt;=NKC!$M$8),"x","")</f>
        <v/>
      </c>
      <c r="AB1453" s="821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94"/>
        <v/>
      </c>
      <c r="C1454" s="37"/>
      <c r="D1454" s="37"/>
      <c r="E1454" s="37"/>
      <c r="F1454" s="40"/>
      <c r="G1454" s="40"/>
      <c r="H1454" s="7"/>
      <c r="I1454" s="256"/>
      <c r="J1454" s="256"/>
      <c r="K1454" s="568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902" t="str">
        <f>IF(AND('341-CT'!$E$9=H1454,OR(LEFT(L1454,3)=$O$7,LEFT(M1454,3)=$O$7)),"x","")</f>
        <v/>
      </c>
      <c r="P1454" s="39" t="str">
        <f>IF(AND($B1454&gt;='111'!$N$11,$B1454&lt;='111'!$O$11,OR($L1454=$P$7,$M1454=$P$7)),"x","")</f>
        <v/>
      </c>
      <c r="Q1454" s="39" t="str">
        <f>IF(AND($L1454=$P$7,$B1454&lt;'111'!$N$11),"x","")</f>
        <v/>
      </c>
      <c r="R1454" s="39" t="str">
        <f>IF(AND($M1454=$P$7,$B1454&lt;'111'!$N$11),"x","")</f>
        <v/>
      </c>
      <c r="S1454" s="39" t="str">
        <f>IF(ISERROR(FIND('112'!$M$9,G1454,1)),"",IF((AND(FIND('112'!$M$9,G1454,1)&gt;=1,$B1454&gt;='112'!$N$8,$B1454&lt;='112'!$O$8,OR($L1454='112'!$I$6,$M1454='112'!$I$6))),"x",""))</f>
        <v/>
      </c>
      <c r="T1454" s="39" t="str">
        <f>IF(ISERROR(FIND('112'!$M$9,G1454,1)),"",IF((AND(LEFT(G1454,2)=LEFT('112'!$M$9,2),B1454&lt;'112'!$N$8,$L1454='112'!$I$6)),"x",""))</f>
        <v/>
      </c>
      <c r="U1454" s="39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39" t="str">
        <f>IF(OR(TH!L1454=TH!$W$7,M1454=TH!$W$7),"x","")</f>
        <v/>
      </c>
      <c r="X1454" s="39" t="str">
        <f>IF(AND(B1454&gt;='IN-NX'!$P$3,B1454&lt;='IN-NX'!$Q$3,'IN-NX'!$D$7=D1454,OR(LEFT(L1454,2)="15",AND(LEFT(M1454,2)&lt;&gt;"15",LEFT(M1454,2)&lt;&gt;"33"))),"x","")</f>
        <v/>
      </c>
      <c r="Y1454" s="39" t="str">
        <f>IF(AND(OR(LEFT(TH!L1454,2)="15",LEFT(TH!M1454,2)="15"),'152-CT'!$J$8=TH!F1454),"x","")</f>
        <v/>
      </c>
      <c r="Z1454" s="39" t="str">
        <f>IF(AND(OR(LEFT(TH!L1454,2)="15",LEFT(TH!M1454,2)="15"),TK!$E$7=TH!F1454),"x","")</f>
        <v/>
      </c>
      <c r="AA1454" s="39" t="str">
        <f>IF(AND(B1454&lt;=NKC!$N$8,B1454&gt;=NKC!$M$8),"x","")</f>
        <v/>
      </c>
      <c r="AB1454" s="821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94"/>
        <v/>
      </c>
      <c r="C1455" s="37"/>
      <c r="D1455" s="37"/>
      <c r="E1455" s="37"/>
      <c r="F1455" s="40"/>
      <c r="G1455" s="40"/>
      <c r="H1455" s="7"/>
      <c r="I1455" s="256"/>
      <c r="J1455" s="256"/>
      <c r="K1455" s="568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902" t="str">
        <f>IF(AND('341-CT'!$E$9=H1455,OR(LEFT(L1455,3)=$O$7,LEFT(M1455,3)=$O$7)),"x","")</f>
        <v/>
      </c>
      <c r="P1455" s="39" t="str">
        <f>IF(AND($B1455&gt;='111'!$N$11,$B1455&lt;='111'!$O$11,OR($L1455=$P$7,$M1455=$P$7)),"x","")</f>
        <v/>
      </c>
      <c r="Q1455" s="39" t="str">
        <f>IF(AND($L1455=$P$7,$B1455&lt;'111'!$N$11),"x","")</f>
        <v/>
      </c>
      <c r="R1455" s="39" t="str">
        <f>IF(AND($M1455=$P$7,$B1455&lt;'111'!$N$11),"x","")</f>
        <v/>
      </c>
      <c r="S1455" s="39" t="str">
        <f>IF(ISERROR(FIND('112'!$M$9,G1455,1)),"",IF((AND(FIND('112'!$M$9,G1455,1)&gt;=1,$B1455&gt;='112'!$N$8,$B1455&lt;='112'!$O$8,OR($L1455='112'!$I$6,$M1455='112'!$I$6))),"x",""))</f>
        <v/>
      </c>
      <c r="T1455" s="39" t="str">
        <f>IF(ISERROR(FIND('112'!$M$9,G1455,1)),"",IF((AND(LEFT(G1455,2)=LEFT('112'!$M$9,2),B1455&lt;'112'!$N$8,$L1455='112'!$I$6)),"x",""))</f>
        <v/>
      </c>
      <c r="U1455" s="39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39" t="str">
        <f>IF(OR(TH!L1455=TH!$W$7,M1455=TH!$W$7),"x","")</f>
        <v/>
      </c>
      <c r="X1455" s="39" t="str">
        <f>IF(AND(B1455&gt;='IN-NX'!$P$3,B1455&lt;='IN-NX'!$Q$3,'IN-NX'!$D$7=D1455,OR(LEFT(L1455,2)="15",AND(LEFT(M1455,2)&lt;&gt;"15",LEFT(M1455,2)&lt;&gt;"33"))),"x","")</f>
        <v/>
      </c>
      <c r="Y1455" s="39" t="str">
        <f>IF(AND(OR(LEFT(TH!L1455,2)="15",LEFT(TH!M1455,2)="15"),'152-CT'!$J$8=TH!F1455),"x","")</f>
        <v/>
      </c>
      <c r="Z1455" s="39" t="str">
        <f>IF(AND(OR(LEFT(TH!L1455,2)="15",LEFT(TH!M1455,2)="15"),TK!$E$7=TH!F1455),"x","")</f>
        <v/>
      </c>
      <c r="AA1455" s="39" t="str">
        <f>IF(AND(B1455&lt;=NKC!$N$8,B1455&gt;=NKC!$M$8),"x","")</f>
        <v/>
      </c>
      <c r="AB1455" s="821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94"/>
        <v/>
      </c>
      <c r="C1456" s="37"/>
      <c r="D1456" s="37"/>
      <c r="E1456" s="37"/>
      <c r="F1456" s="40"/>
      <c r="G1456" s="40"/>
      <c r="H1456" s="7"/>
      <c r="I1456" s="256"/>
      <c r="J1456" s="256"/>
      <c r="K1456" s="568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902" t="str">
        <f>IF(AND('341-CT'!$E$9=H1456,OR(LEFT(L1456,3)=$O$7,LEFT(M1456,3)=$O$7)),"x","")</f>
        <v/>
      </c>
      <c r="P1456" s="39" t="str">
        <f>IF(AND($B1456&gt;='111'!$N$11,$B1456&lt;='111'!$O$11,OR($L1456=$P$7,$M1456=$P$7)),"x","")</f>
        <v/>
      </c>
      <c r="Q1456" s="39" t="str">
        <f>IF(AND($L1456=$P$7,$B1456&lt;'111'!$N$11),"x","")</f>
        <v/>
      </c>
      <c r="R1456" s="39" t="str">
        <f>IF(AND($M1456=$P$7,$B1456&lt;'111'!$N$11),"x","")</f>
        <v/>
      </c>
      <c r="S1456" s="39" t="str">
        <f>IF(ISERROR(FIND('112'!$M$9,G1456,1)),"",IF((AND(FIND('112'!$M$9,G1456,1)&gt;=1,$B1456&gt;='112'!$N$8,$B1456&lt;='112'!$O$8,OR($L1456='112'!$I$6,$M1456='112'!$I$6))),"x",""))</f>
        <v/>
      </c>
      <c r="T1456" s="39" t="str">
        <f>IF(ISERROR(FIND('112'!$M$9,G1456,1)),"",IF((AND(LEFT(G1456,2)=LEFT('112'!$M$9,2),B1456&lt;'112'!$N$8,$L1456='112'!$I$6)),"x",""))</f>
        <v/>
      </c>
      <c r="U1456" s="39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39" t="str">
        <f>IF(OR(TH!L1456=TH!$W$7,M1456=TH!$W$7),"x","")</f>
        <v/>
      </c>
      <c r="X1456" s="39" t="str">
        <f>IF(AND(B1456&gt;='IN-NX'!$P$3,B1456&lt;='IN-NX'!$Q$3,'IN-NX'!$D$7=D1456,OR(LEFT(L1456,2)="15",AND(LEFT(M1456,2)&lt;&gt;"15",LEFT(M1456,2)&lt;&gt;"33"))),"x","")</f>
        <v/>
      </c>
      <c r="Y1456" s="39" t="str">
        <f>IF(AND(OR(LEFT(TH!L1456,2)="15",LEFT(TH!M1456,2)="15"),'152-CT'!$J$8=TH!F1456),"x","")</f>
        <v/>
      </c>
      <c r="Z1456" s="39" t="str">
        <f>IF(AND(OR(LEFT(TH!L1456,2)="15",LEFT(TH!M1456,2)="15"),TK!$E$7=TH!F1456),"x","")</f>
        <v/>
      </c>
      <c r="AA1456" s="39" t="str">
        <f>IF(AND(B1456&lt;=NKC!$N$8,B1456&gt;=NKC!$M$8),"x","")</f>
        <v/>
      </c>
      <c r="AB1456" s="821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94"/>
        <v/>
      </c>
      <c r="C1457" s="37"/>
      <c r="D1457" s="37"/>
      <c r="E1457" s="37"/>
      <c r="F1457" s="40"/>
      <c r="G1457" s="40"/>
      <c r="H1457" s="7"/>
      <c r="I1457" s="256"/>
      <c r="J1457" s="256"/>
      <c r="K1457" s="568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902" t="str">
        <f>IF(AND('341-CT'!$E$9=H1457,OR(LEFT(L1457,3)=$O$7,LEFT(M1457,3)=$O$7)),"x","")</f>
        <v/>
      </c>
      <c r="P1457" s="39" t="str">
        <f>IF(AND($B1457&gt;='111'!$N$11,$B1457&lt;='111'!$O$11,OR($L1457=$P$7,$M1457=$P$7)),"x","")</f>
        <v/>
      </c>
      <c r="Q1457" s="39" t="str">
        <f>IF(AND($L1457=$P$7,$B1457&lt;'111'!$N$11),"x","")</f>
        <v/>
      </c>
      <c r="R1457" s="39" t="str">
        <f>IF(AND($M1457=$P$7,$B1457&lt;'111'!$N$11),"x","")</f>
        <v/>
      </c>
      <c r="S1457" s="39" t="str">
        <f>IF(ISERROR(FIND('112'!$M$9,G1457,1)),"",IF((AND(FIND('112'!$M$9,G1457,1)&gt;=1,$B1457&gt;='112'!$N$8,$B1457&lt;='112'!$O$8,OR($L1457='112'!$I$6,$M1457='112'!$I$6))),"x",""))</f>
        <v/>
      </c>
      <c r="T1457" s="39" t="str">
        <f>IF(ISERROR(FIND('112'!$M$9,G1457,1)),"",IF((AND(LEFT(G1457,2)=LEFT('112'!$M$9,2),B1457&lt;'112'!$N$8,$L1457='112'!$I$6)),"x",""))</f>
        <v/>
      </c>
      <c r="U1457" s="39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39" t="str">
        <f>IF(OR(TH!L1457=TH!$W$7,M1457=TH!$W$7),"x","")</f>
        <v/>
      </c>
      <c r="X1457" s="39" t="str">
        <f>IF(AND(B1457&gt;='IN-NX'!$P$3,B1457&lt;='IN-NX'!$Q$3,'IN-NX'!$D$7=D1457,OR(LEFT(L1457,2)="15",AND(LEFT(M1457,2)&lt;&gt;"15",LEFT(M1457,2)&lt;&gt;"33"))),"x","")</f>
        <v/>
      </c>
      <c r="Y1457" s="39" t="str">
        <f>IF(AND(OR(LEFT(TH!L1457,2)="15",LEFT(TH!M1457,2)="15"),'152-CT'!$J$8=TH!F1457),"x","")</f>
        <v/>
      </c>
      <c r="Z1457" s="39" t="str">
        <f>IF(AND(OR(LEFT(TH!L1457,2)="15",LEFT(TH!M1457,2)="15"),TK!$E$7=TH!F1457),"x","")</f>
        <v/>
      </c>
      <c r="AA1457" s="39" t="str">
        <f>IF(AND(B1457&lt;=NKC!$N$8,B1457&gt;=NKC!$M$8),"x","")</f>
        <v/>
      </c>
      <c r="AB1457" s="821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94"/>
        <v/>
      </c>
      <c r="C1458" s="37"/>
      <c r="D1458" s="37"/>
      <c r="E1458" s="37"/>
      <c r="F1458" s="40"/>
      <c r="G1458" s="40"/>
      <c r="H1458" s="7"/>
      <c r="I1458" s="256"/>
      <c r="J1458" s="256"/>
      <c r="K1458" s="568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902" t="str">
        <f>IF(AND('341-CT'!$E$9=H1458,OR(LEFT(L1458,3)=$O$7,LEFT(M1458,3)=$O$7)),"x","")</f>
        <v/>
      </c>
      <c r="P1458" s="39" t="str">
        <f>IF(AND($B1458&gt;='111'!$N$11,$B1458&lt;='111'!$O$11,OR($L1458=$P$7,$M1458=$P$7)),"x","")</f>
        <v/>
      </c>
      <c r="Q1458" s="39" t="str">
        <f>IF(AND($L1458=$P$7,$B1458&lt;'111'!$N$11),"x","")</f>
        <v/>
      </c>
      <c r="R1458" s="39" t="str">
        <f>IF(AND($M1458=$P$7,$B1458&lt;'111'!$N$11),"x","")</f>
        <v/>
      </c>
      <c r="S1458" s="39" t="str">
        <f>IF(ISERROR(FIND('112'!$M$9,G1458,1)),"",IF((AND(FIND('112'!$M$9,G1458,1)&gt;=1,$B1458&gt;='112'!$N$8,$B1458&lt;='112'!$O$8,OR($L1458='112'!$I$6,$M1458='112'!$I$6))),"x",""))</f>
        <v/>
      </c>
      <c r="T1458" s="39" t="str">
        <f>IF(ISERROR(FIND('112'!$M$9,G1458,1)),"",IF((AND(LEFT(G1458,2)=LEFT('112'!$M$9,2),B1458&lt;'112'!$N$8,$L1458='112'!$I$6)),"x",""))</f>
        <v/>
      </c>
      <c r="U1458" s="39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39" t="str">
        <f>IF(OR(TH!L1458=TH!$W$7,M1458=TH!$W$7),"x","")</f>
        <v/>
      </c>
      <c r="X1458" s="39" t="str">
        <f>IF(AND(B1458&gt;='IN-NX'!$P$3,B1458&lt;='IN-NX'!$Q$3,'IN-NX'!$D$7=D1458,OR(LEFT(L1458,2)="15",AND(LEFT(M1458,2)&lt;&gt;"15",LEFT(M1458,2)&lt;&gt;"33"))),"x","")</f>
        <v/>
      </c>
      <c r="Y1458" s="39" t="str">
        <f>IF(AND(OR(LEFT(TH!L1458,2)="15",LEFT(TH!M1458,2)="15"),'152-CT'!$J$8=TH!F1458),"x","")</f>
        <v/>
      </c>
      <c r="Z1458" s="39" t="str">
        <f>IF(AND(OR(LEFT(TH!L1458,2)="15",LEFT(TH!M1458,2)="15"),TK!$E$7=TH!F1458),"x","")</f>
        <v/>
      </c>
      <c r="AA1458" s="39" t="str">
        <f>IF(AND(B1458&lt;=NKC!$N$8,B1458&gt;=NKC!$M$8),"x","")</f>
        <v/>
      </c>
      <c r="AB1458" s="821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94"/>
        <v/>
      </c>
      <c r="C1459" s="37"/>
      <c r="D1459" s="37"/>
      <c r="E1459" s="37"/>
      <c r="F1459" s="40"/>
      <c r="G1459" s="40"/>
      <c r="H1459" s="7"/>
      <c r="I1459" s="256"/>
      <c r="J1459" s="256"/>
      <c r="K1459" s="568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902" t="str">
        <f>IF(AND('341-CT'!$E$9=H1459,OR(LEFT(L1459,3)=$O$7,LEFT(M1459,3)=$O$7)),"x","")</f>
        <v/>
      </c>
      <c r="P1459" s="39" t="str">
        <f>IF(AND($B1459&gt;='111'!$N$11,$B1459&lt;='111'!$O$11,OR($L1459=$P$7,$M1459=$P$7)),"x","")</f>
        <v/>
      </c>
      <c r="Q1459" s="39" t="str">
        <f>IF(AND($L1459=$P$7,$B1459&lt;'111'!$N$11),"x","")</f>
        <v/>
      </c>
      <c r="R1459" s="39" t="str">
        <f>IF(AND($M1459=$P$7,$B1459&lt;'111'!$N$11),"x","")</f>
        <v/>
      </c>
      <c r="S1459" s="39" t="str">
        <f>IF(ISERROR(FIND('112'!$M$9,G1459,1)),"",IF((AND(FIND('112'!$M$9,G1459,1)&gt;=1,$B1459&gt;='112'!$N$8,$B1459&lt;='112'!$O$8,OR($L1459='112'!$I$6,$M1459='112'!$I$6))),"x",""))</f>
        <v/>
      </c>
      <c r="T1459" s="39" t="str">
        <f>IF(ISERROR(FIND('112'!$M$9,G1459,1)),"",IF((AND(LEFT(G1459,2)=LEFT('112'!$M$9,2),B1459&lt;'112'!$N$8,$L1459='112'!$I$6)),"x",""))</f>
        <v/>
      </c>
      <c r="U1459" s="39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39" t="str">
        <f>IF(OR(TH!L1459=TH!$W$7,M1459=TH!$W$7),"x","")</f>
        <v/>
      </c>
      <c r="X1459" s="39" t="str">
        <f>IF(AND(B1459&gt;='IN-NX'!$P$3,B1459&lt;='IN-NX'!$Q$3,'IN-NX'!$D$7=D1459,OR(LEFT(L1459,2)="15",AND(LEFT(M1459,2)&lt;&gt;"15",LEFT(M1459,2)&lt;&gt;"33"))),"x","")</f>
        <v/>
      </c>
      <c r="Y1459" s="39" t="str">
        <f>IF(AND(OR(LEFT(TH!L1459,2)="15",LEFT(TH!M1459,2)="15"),'152-CT'!$J$8=TH!F1459),"x","")</f>
        <v/>
      </c>
      <c r="Z1459" s="39" t="str">
        <f>IF(AND(OR(LEFT(TH!L1459,2)="15",LEFT(TH!M1459,2)="15"),TK!$E$7=TH!F1459),"x","")</f>
        <v/>
      </c>
      <c r="AA1459" s="39" t="str">
        <f>IF(AND(B1459&lt;=NKC!$N$8,B1459&gt;=NKC!$M$8),"x","")</f>
        <v/>
      </c>
      <c r="AB1459" s="821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si="94"/>
        <v/>
      </c>
      <c r="C1460" s="37"/>
      <c r="D1460" s="37"/>
      <c r="E1460" s="37"/>
      <c r="F1460" s="40"/>
      <c r="G1460" s="40"/>
      <c r="H1460" s="7"/>
      <c r="I1460" s="256"/>
      <c r="J1460" s="256"/>
      <c r="K1460" s="568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902" t="str">
        <f>IF(AND('341-CT'!$E$9=H1460,OR(LEFT(L1460,3)=$O$7,LEFT(M1460,3)=$O$7)),"x","")</f>
        <v/>
      </c>
      <c r="P1460" s="39" t="str">
        <f>IF(AND($B1460&gt;='111'!$N$11,$B1460&lt;='111'!$O$11,OR($L1460=$P$7,$M1460=$P$7)),"x","")</f>
        <v/>
      </c>
      <c r="Q1460" s="39" t="str">
        <f>IF(AND($L1460=$P$7,$B1460&lt;'111'!$N$11),"x","")</f>
        <v/>
      </c>
      <c r="R1460" s="39" t="str">
        <f>IF(AND($M1460=$P$7,$B1460&lt;'111'!$N$11),"x","")</f>
        <v/>
      </c>
      <c r="S1460" s="39" t="str">
        <f>IF(ISERROR(FIND('112'!$M$9,G1460,1)),"",IF((AND(FIND('112'!$M$9,G1460,1)&gt;=1,$B1460&gt;='112'!$N$8,$B1460&lt;='112'!$O$8,OR($L1460='112'!$I$6,$M1460='112'!$I$6))),"x",""))</f>
        <v/>
      </c>
      <c r="T1460" s="39" t="str">
        <f>IF(ISERROR(FIND('112'!$M$9,G1460,1)),"",IF((AND(LEFT(G1460,2)=LEFT('112'!$M$9,2),B1460&lt;'112'!$N$8,$L1460='112'!$I$6)),"x",""))</f>
        <v/>
      </c>
      <c r="U1460" s="39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39" t="str">
        <f>IF(OR(TH!L1460=TH!$W$7,M1460=TH!$W$7),"x","")</f>
        <v/>
      </c>
      <c r="X1460" s="39" t="str">
        <f>IF(AND(B1460&gt;='IN-NX'!$P$3,B1460&lt;='IN-NX'!$Q$3,'IN-NX'!$D$7=D1460,OR(LEFT(L1460,2)="15",AND(LEFT(M1460,2)&lt;&gt;"15",LEFT(M1460,2)&lt;&gt;"33"))),"x","")</f>
        <v/>
      </c>
      <c r="Y1460" s="39" t="str">
        <f>IF(AND(OR(LEFT(TH!L1460,2)="15",LEFT(TH!M1460,2)="15"),'152-CT'!$J$8=TH!F1460),"x","")</f>
        <v/>
      </c>
      <c r="Z1460" s="39" t="str">
        <f>IF(AND(OR(LEFT(TH!L1460,2)="15",LEFT(TH!M1460,2)="15"),TK!$E$7=TH!F1460),"x","")</f>
        <v/>
      </c>
      <c r="AA1460" s="39" t="str">
        <f>IF(AND(B1460&lt;=NKC!$N$8,B1460&gt;=NKC!$M$8),"x","")</f>
        <v/>
      </c>
      <c r="AB1460" s="821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94"/>
        <v/>
      </c>
      <c r="C1461" s="37"/>
      <c r="D1461" s="37"/>
      <c r="E1461" s="37"/>
      <c r="F1461" s="40"/>
      <c r="G1461" s="40"/>
      <c r="H1461" s="7"/>
      <c r="I1461" s="256"/>
      <c r="J1461" s="256"/>
      <c r="K1461" s="568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902" t="str">
        <f>IF(AND('341-CT'!$E$9=H1461,OR(LEFT(L1461,3)=$O$7,LEFT(M1461,3)=$O$7)),"x","")</f>
        <v/>
      </c>
      <c r="P1461" s="39" t="str">
        <f>IF(AND($B1461&gt;='111'!$N$11,$B1461&lt;='111'!$O$11,OR($L1461=$P$7,$M1461=$P$7)),"x","")</f>
        <v/>
      </c>
      <c r="Q1461" s="39" t="str">
        <f>IF(AND($L1461=$P$7,$B1461&lt;'111'!$N$11),"x","")</f>
        <v/>
      </c>
      <c r="R1461" s="39" t="str">
        <f>IF(AND($M1461=$P$7,$B1461&lt;'111'!$N$11),"x","")</f>
        <v/>
      </c>
      <c r="S1461" s="39" t="str">
        <f>IF(ISERROR(FIND('112'!$M$9,G1461,1)),"",IF((AND(FIND('112'!$M$9,G1461,1)&gt;=1,$B1461&gt;='112'!$N$8,$B1461&lt;='112'!$O$8,OR($L1461='112'!$I$6,$M1461='112'!$I$6))),"x",""))</f>
        <v/>
      </c>
      <c r="T1461" s="39" t="str">
        <f>IF(ISERROR(FIND('112'!$M$9,G1461,1)),"",IF((AND(LEFT(G1461,2)=LEFT('112'!$M$9,2),B1461&lt;'112'!$N$8,$L1461='112'!$I$6)),"x",""))</f>
        <v/>
      </c>
      <c r="U1461" s="39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39" t="str">
        <f>IF(OR(TH!L1461=TH!$W$7,M1461=TH!$W$7),"x","")</f>
        <v/>
      </c>
      <c r="X1461" s="39" t="str">
        <f>IF(AND(B1461&gt;='IN-NX'!$P$3,B1461&lt;='IN-NX'!$Q$3,'IN-NX'!$D$7=D1461,OR(LEFT(L1461,2)="15",AND(LEFT(M1461,2)&lt;&gt;"15",LEFT(M1461,2)&lt;&gt;"33"))),"x","")</f>
        <v/>
      </c>
      <c r="Y1461" s="39" t="str">
        <f>IF(AND(OR(LEFT(TH!L1461,2)="15",LEFT(TH!M1461,2)="15"),'152-CT'!$J$8=TH!F1461),"x","")</f>
        <v/>
      </c>
      <c r="Z1461" s="39" t="str">
        <f>IF(AND(OR(LEFT(TH!L1461,2)="15",LEFT(TH!M1461,2)="15"),TK!$E$7=TH!F1461),"x","")</f>
        <v/>
      </c>
      <c r="AA1461" s="39" t="str">
        <f>IF(AND(B1461&lt;=NKC!$N$8,B1461&gt;=NKC!$M$8),"x","")</f>
        <v/>
      </c>
      <c r="AB1461" s="821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94"/>
        <v/>
      </c>
      <c r="C1462" s="37"/>
      <c r="D1462" s="37"/>
      <c r="E1462" s="37"/>
      <c r="F1462" s="40"/>
      <c r="G1462" s="40"/>
      <c r="H1462" s="7"/>
      <c r="I1462" s="256"/>
      <c r="J1462" s="256"/>
      <c r="K1462" s="568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902" t="str">
        <f>IF(AND('341-CT'!$E$9=H1462,OR(LEFT(L1462,3)=$O$7,LEFT(M1462,3)=$O$7)),"x","")</f>
        <v/>
      </c>
      <c r="P1462" s="39" t="str">
        <f>IF(AND($B1462&gt;='111'!$N$11,$B1462&lt;='111'!$O$11,OR($L1462=$P$7,$M1462=$P$7)),"x","")</f>
        <v/>
      </c>
      <c r="Q1462" s="39" t="str">
        <f>IF(AND($L1462=$P$7,$B1462&lt;'111'!$N$11),"x","")</f>
        <v/>
      </c>
      <c r="R1462" s="39" t="str">
        <f>IF(AND($M1462=$P$7,$B1462&lt;'111'!$N$11),"x","")</f>
        <v/>
      </c>
      <c r="S1462" s="39" t="str">
        <f>IF(ISERROR(FIND('112'!$M$9,G1462,1)),"",IF((AND(FIND('112'!$M$9,G1462,1)&gt;=1,$B1462&gt;='112'!$N$8,$B1462&lt;='112'!$O$8,OR($L1462='112'!$I$6,$M1462='112'!$I$6))),"x",""))</f>
        <v/>
      </c>
      <c r="T1462" s="39" t="str">
        <f>IF(ISERROR(FIND('112'!$M$9,G1462,1)),"",IF((AND(LEFT(G1462,2)=LEFT('112'!$M$9,2),B1462&lt;'112'!$N$8,$L1462='112'!$I$6)),"x",""))</f>
        <v/>
      </c>
      <c r="U1462" s="39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39" t="str">
        <f>IF(OR(TH!L1462=TH!$W$7,M1462=TH!$W$7),"x","")</f>
        <v/>
      </c>
      <c r="X1462" s="39" t="str">
        <f>IF(AND(B1462&gt;='IN-NX'!$P$3,B1462&lt;='IN-NX'!$Q$3,'IN-NX'!$D$7=D1462,OR(LEFT(L1462,2)="15",AND(LEFT(M1462,2)&lt;&gt;"15",LEFT(M1462,2)&lt;&gt;"33"))),"x","")</f>
        <v/>
      </c>
      <c r="Y1462" s="39" t="str">
        <f>IF(AND(OR(LEFT(TH!L1462,2)="15",LEFT(TH!M1462,2)="15"),'152-CT'!$J$8=TH!F1462),"x","")</f>
        <v/>
      </c>
      <c r="Z1462" s="39" t="str">
        <f>IF(AND(OR(LEFT(TH!L1462,2)="15",LEFT(TH!M1462,2)="15"),TK!$E$7=TH!F1462),"x","")</f>
        <v/>
      </c>
      <c r="AA1462" s="39" t="str">
        <f>IF(AND(B1462&lt;=NKC!$N$8,B1462&gt;=NKC!$M$8),"x","")</f>
        <v/>
      </c>
      <c r="AB1462" s="821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94"/>
        <v/>
      </c>
      <c r="C1463" s="37"/>
      <c r="D1463" s="37"/>
      <c r="E1463" s="37"/>
      <c r="F1463" s="40"/>
      <c r="G1463" s="40"/>
      <c r="H1463" s="7"/>
      <c r="I1463" s="256"/>
      <c r="J1463" s="256"/>
      <c r="K1463" s="568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902" t="str">
        <f>IF(AND('341-CT'!$E$9=H1463,OR(LEFT(L1463,3)=$O$7,LEFT(M1463,3)=$O$7)),"x","")</f>
        <v/>
      </c>
      <c r="P1463" s="39" t="str">
        <f>IF(AND($B1463&gt;='111'!$N$11,$B1463&lt;='111'!$O$11,OR($L1463=$P$7,$M1463=$P$7)),"x","")</f>
        <v/>
      </c>
      <c r="Q1463" s="39" t="str">
        <f>IF(AND($L1463=$P$7,$B1463&lt;'111'!$N$11),"x","")</f>
        <v/>
      </c>
      <c r="R1463" s="39" t="str">
        <f>IF(AND($M1463=$P$7,$B1463&lt;'111'!$N$11),"x","")</f>
        <v/>
      </c>
      <c r="S1463" s="39" t="str">
        <f>IF(ISERROR(FIND('112'!$M$9,G1463,1)),"",IF((AND(FIND('112'!$M$9,G1463,1)&gt;=1,$B1463&gt;='112'!$N$8,$B1463&lt;='112'!$O$8,OR($L1463='112'!$I$6,$M1463='112'!$I$6))),"x",""))</f>
        <v/>
      </c>
      <c r="T1463" s="39" t="str">
        <f>IF(ISERROR(FIND('112'!$M$9,G1463,1)),"",IF((AND(LEFT(G1463,2)=LEFT('112'!$M$9,2),B1463&lt;'112'!$N$8,$L1463='112'!$I$6)),"x",""))</f>
        <v/>
      </c>
      <c r="U1463" s="39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39" t="str">
        <f>IF(OR(TH!L1463=TH!$W$7,M1463=TH!$W$7),"x","")</f>
        <v/>
      </c>
      <c r="X1463" s="39" t="str">
        <f>IF(AND(B1463&gt;='IN-NX'!$P$3,B1463&lt;='IN-NX'!$Q$3,'IN-NX'!$D$7=D1463,OR(LEFT(L1463,2)="15",AND(LEFT(M1463,2)&lt;&gt;"15",LEFT(M1463,2)&lt;&gt;"33"))),"x","")</f>
        <v/>
      </c>
      <c r="Y1463" s="39" t="str">
        <f>IF(AND(OR(LEFT(TH!L1463,2)="15",LEFT(TH!M1463,2)="15"),'152-CT'!$J$8=TH!F1463),"x","")</f>
        <v/>
      </c>
      <c r="Z1463" s="39" t="str">
        <f>IF(AND(OR(LEFT(TH!L1463,2)="15",LEFT(TH!M1463,2)="15"),TK!$E$7=TH!F1463),"x","")</f>
        <v/>
      </c>
      <c r="AA1463" s="39" t="str">
        <f>IF(AND(B1463&lt;=NKC!$N$8,B1463&gt;=NKC!$M$8),"x","")</f>
        <v/>
      </c>
      <c r="AB1463" s="821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94"/>
        <v/>
      </c>
      <c r="C1464" s="37"/>
      <c r="D1464" s="37"/>
      <c r="E1464" s="37"/>
      <c r="F1464" s="40"/>
      <c r="G1464" s="40"/>
      <c r="H1464" s="7"/>
      <c r="I1464" s="256"/>
      <c r="J1464" s="256"/>
      <c r="K1464" s="568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902" t="str">
        <f>IF(AND('341-CT'!$E$9=H1464,OR(LEFT(L1464,3)=$O$7,LEFT(M1464,3)=$O$7)),"x","")</f>
        <v/>
      </c>
      <c r="P1464" s="39" t="str">
        <f>IF(AND($B1464&gt;='111'!$N$11,$B1464&lt;='111'!$O$11,OR($L1464=$P$7,$M1464=$P$7)),"x","")</f>
        <v/>
      </c>
      <c r="Q1464" s="39" t="str">
        <f>IF(AND($L1464=$P$7,$B1464&lt;'111'!$N$11),"x","")</f>
        <v/>
      </c>
      <c r="R1464" s="39" t="str">
        <f>IF(AND($M1464=$P$7,$B1464&lt;'111'!$N$11),"x","")</f>
        <v/>
      </c>
      <c r="S1464" s="39" t="str">
        <f>IF(ISERROR(FIND('112'!$M$9,G1464,1)),"",IF((AND(FIND('112'!$M$9,G1464,1)&gt;=1,$B1464&gt;='112'!$N$8,$B1464&lt;='112'!$O$8,OR($L1464='112'!$I$6,$M1464='112'!$I$6))),"x",""))</f>
        <v/>
      </c>
      <c r="T1464" s="39" t="str">
        <f>IF(ISERROR(FIND('112'!$M$9,G1464,1)),"",IF((AND(LEFT(G1464,2)=LEFT('112'!$M$9,2),B1464&lt;'112'!$N$8,$L1464='112'!$I$6)),"x",""))</f>
        <v/>
      </c>
      <c r="U1464" s="39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39" t="str">
        <f>IF(OR(TH!L1464=TH!$W$7,M1464=TH!$W$7),"x","")</f>
        <v/>
      </c>
      <c r="X1464" s="39" t="str">
        <f>IF(AND(B1464&gt;='IN-NX'!$P$3,B1464&lt;='IN-NX'!$Q$3,'IN-NX'!$D$7=D1464,OR(LEFT(L1464,2)="15",AND(LEFT(M1464,2)&lt;&gt;"15",LEFT(M1464,2)&lt;&gt;"33"))),"x","")</f>
        <v/>
      </c>
      <c r="Y1464" s="39" t="str">
        <f>IF(AND(OR(LEFT(TH!L1464,2)="15",LEFT(TH!M1464,2)="15"),'152-CT'!$J$8=TH!F1464),"x","")</f>
        <v/>
      </c>
      <c r="Z1464" s="39" t="str">
        <f>IF(AND(OR(LEFT(TH!L1464,2)="15",LEFT(TH!M1464,2)="15"),TK!$E$7=TH!F1464),"x","")</f>
        <v/>
      </c>
      <c r="AA1464" s="39" t="str">
        <f>IF(AND(B1464&lt;=NKC!$N$8,B1464&gt;=NKC!$M$8),"x","")</f>
        <v/>
      </c>
      <c r="AB1464" s="821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ref="B1465:B1528" si="95">IF(C1465&lt;&gt;"",MONTH(C1465),"")</f>
        <v/>
      </c>
      <c r="C1465" s="37"/>
      <c r="D1465" s="37"/>
      <c r="E1465" s="37"/>
      <c r="F1465" s="40"/>
      <c r="G1465" s="40"/>
      <c r="H1465" s="7"/>
      <c r="I1465" s="256"/>
      <c r="J1465" s="256"/>
      <c r="K1465" s="568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902" t="str">
        <f>IF(AND('341-CT'!$E$9=H1465,OR(LEFT(L1465,3)=$O$7,LEFT(M1465,3)=$O$7)),"x","")</f>
        <v/>
      </c>
      <c r="P1465" s="39" t="str">
        <f>IF(AND($B1465&gt;='111'!$N$11,$B1465&lt;='111'!$O$11,OR($L1465=$P$7,$M1465=$P$7)),"x","")</f>
        <v/>
      </c>
      <c r="Q1465" s="39" t="str">
        <f>IF(AND($L1465=$P$7,$B1465&lt;'111'!$N$11),"x","")</f>
        <v/>
      </c>
      <c r="R1465" s="39" t="str">
        <f>IF(AND($M1465=$P$7,$B1465&lt;'111'!$N$11),"x","")</f>
        <v/>
      </c>
      <c r="S1465" s="39" t="str">
        <f>IF(ISERROR(FIND('112'!$M$9,G1465,1)),"",IF((AND(FIND('112'!$M$9,G1465,1)&gt;=1,$B1465&gt;='112'!$N$8,$B1465&lt;='112'!$O$8,OR($L1465='112'!$I$6,$M1465='112'!$I$6))),"x",""))</f>
        <v/>
      </c>
      <c r="T1465" s="39" t="str">
        <f>IF(ISERROR(FIND('112'!$M$9,G1465,1)),"",IF((AND(LEFT(G1465,2)=LEFT('112'!$M$9,2),B1465&lt;'112'!$N$8,$L1465='112'!$I$6)),"x",""))</f>
        <v/>
      </c>
      <c r="U1465" s="39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39" t="str">
        <f>IF(OR(TH!L1465=TH!$W$7,M1465=TH!$W$7),"x","")</f>
        <v/>
      </c>
      <c r="X1465" s="39" t="str">
        <f>IF(AND(B1465&gt;='IN-NX'!$P$3,B1465&lt;='IN-NX'!$Q$3,'IN-NX'!$D$7=D1465,OR(LEFT(L1465,2)="15",AND(LEFT(M1465,2)&lt;&gt;"15",LEFT(M1465,2)&lt;&gt;"33"))),"x","")</f>
        <v/>
      </c>
      <c r="Y1465" s="39" t="str">
        <f>IF(AND(OR(LEFT(TH!L1465,2)="15",LEFT(TH!M1465,2)="15"),'152-CT'!$J$8=TH!F1465),"x","")</f>
        <v/>
      </c>
      <c r="Z1465" s="39" t="str">
        <f>IF(AND(OR(LEFT(TH!L1465,2)="15",LEFT(TH!M1465,2)="15"),TK!$E$7=TH!F1465),"x","")</f>
        <v/>
      </c>
      <c r="AA1465" s="39" t="str">
        <f>IF(AND(B1465&lt;=NKC!$N$8,B1465&gt;=NKC!$M$8),"x","")</f>
        <v/>
      </c>
      <c r="AB1465" s="821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95"/>
        <v/>
      </c>
      <c r="C1466" s="184"/>
      <c r="D1466" s="184"/>
      <c r="E1466" s="191"/>
      <c r="F1466" s="189"/>
      <c r="G1466" s="570"/>
      <c r="H1466" s="7"/>
      <c r="I1466" s="256"/>
      <c r="J1466" s="256"/>
      <c r="K1466" s="568"/>
      <c r="L1466" s="569"/>
      <c r="M1466" s="569"/>
      <c r="N1466" s="39" t="str">
        <f>IF(AND('331-CT'!$E$7=TH!H1466,OR(L1466="331",M1466="331")),"331",IF(AND(OR(L1466="131",M1466="131"),H1466='131-CT'!$E$7),"131",""))</f>
        <v/>
      </c>
      <c r="O1466" s="902" t="str">
        <f>IF(AND('341-CT'!$E$9=H1466,OR(LEFT(L1466,3)=$O$7,LEFT(M1466,3)=$O$7)),"x","")</f>
        <v/>
      </c>
      <c r="P1466" s="39" t="str">
        <f>IF(AND($B1466&gt;='111'!$N$11,$B1466&lt;='111'!$O$11,OR($L1466=$P$7,$M1466=$P$7)),"x","")</f>
        <v/>
      </c>
      <c r="Q1466" s="39" t="str">
        <f>IF(AND($L1466=$P$7,$B1466&lt;'111'!$N$11),"x","")</f>
        <v/>
      </c>
      <c r="R1466" s="39" t="str">
        <f>IF(AND($M1466=$P$7,$B1466&lt;'111'!$N$11),"x","")</f>
        <v/>
      </c>
      <c r="S1466" s="39" t="str">
        <f>IF(ISERROR(FIND('112'!$M$9,G1466,1)),"",IF((AND(FIND('112'!$M$9,G1466,1)&gt;=1,$B1466&gt;='112'!$N$8,$B1466&lt;='112'!$O$8,OR($L1466='112'!$I$6,$M1466='112'!$I$6))),"x",""))</f>
        <v/>
      </c>
      <c r="T1466" s="39" t="str">
        <f>IF(ISERROR(FIND('112'!$M$9,G1466,1)),"",IF((AND(LEFT(G1466,2)=LEFT('112'!$M$9,2),B1466&lt;'112'!$N$8,$L1466='112'!$I$6)),"x",""))</f>
        <v/>
      </c>
      <c r="U1466" s="39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39" t="str">
        <f>IF(OR(TH!L1466=TH!$W$7,M1466=TH!$W$7),"x","")</f>
        <v/>
      </c>
      <c r="X1466" s="39" t="str">
        <f>IF(AND(B1466&gt;='IN-NX'!$P$3,B1466&lt;='IN-NX'!$Q$3,'IN-NX'!$D$7=D1466,OR(LEFT(L1466,2)="15",AND(LEFT(M1466,2)&lt;&gt;"15",LEFT(M1466,2)&lt;&gt;"33"))),"x","")</f>
        <v/>
      </c>
      <c r="Y1466" s="39" t="str">
        <f>IF(AND(OR(LEFT(TH!L1466,2)="15",LEFT(TH!M1466,2)="15"),'152-CT'!$J$8=TH!F1466),"x","")</f>
        <v/>
      </c>
      <c r="Z1466" s="39" t="str">
        <f>IF(AND(OR(LEFT(TH!L1466,2)="15",LEFT(TH!M1466,2)="15"),TK!$E$7=TH!F1466),"x","")</f>
        <v/>
      </c>
      <c r="AA1466" s="39" t="str">
        <f>IF(AND(B1466&lt;=NKC!$N$8,B1466&gt;=NKC!$M$8),"x","")</f>
        <v/>
      </c>
      <c r="AB1466" s="821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95"/>
        <v/>
      </c>
      <c r="C1467" s="184"/>
      <c r="D1467" s="184"/>
      <c r="E1467" s="191"/>
      <c r="F1467" s="189"/>
      <c r="G1467" s="570"/>
      <c r="H1467" s="7"/>
      <c r="I1467" s="256"/>
      <c r="J1467" s="256"/>
      <c r="K1467" s="568"/>
      <c r="L1467" s="569"/>
      <c r="M1467" s="569"/>
      <c r="N1467" s="39" t="str">
        <f>IF(AND('331-CT'!$E$7=TH!H1467,OR(L1467="331",M1467="331")),"331",IF(AND(OR(L1467="131",M1467="131"),H1467='131-CT'!$E$7),"131",""))</f>
        <v/>
      </c>
      <c r="O1467" s="902" t="str">
        <f>IF(AND('341-CT'!$E$9=H1467,OR(LEFT(L1467,3)=$O$7,LEFT(M1467,3)=$O$7)),"x","")</f>
        <v/>
      </c>
      <c r="P1467" s="39" t="str">
        <f>IF(AND($B1467&gt;='111'!$N$11,$B1467&lt;='111'!$O$11,OR($L1467=$P$7,$M1467=$P$7)),"x","")</f>
        <v/>
      </c>
      <c r="Q1467" s="39" t="str">
        <f>IF(AND($L1467=$P$7,$B1467&lt;'111'!$N$11),"x","")</f>
        <v/>
      </c>
      <c r="R1467" s="39" t="str">
        <f>IF(AND($M1467=$P$7,$B1467&lt;'111'!$N$11),"x","")</f>
        <v/>
      </c>
      <c r="S1467" s="39" t="str">
        <f>IF(ISERROR(FIND('112'!$M$9,G1467,1)),"",IF((AND(FIND('112'!$M$9,G1467,1)&gt;=1,$B1467&gt;='112'!$N$8,$B1467&lt;='112'!$O$8,OR($L1467='112'!$I$6,$M1467='112'!$I$6))),"x",""))</f>
        <v/>
      </c>
      <c r="T1467" s="39" t="str">
        <f>IF(ISERROR(FIND('112'!$M$9,G1467,1)),"",IF((AND(LEFT(G1467,2)=LEFT('112'!$M$9,2),B1467&lt;'112'!$N$8,$L1467='112'!$I$6)),"x",""))</f>
        <v/>
      </c>
      <c r="U1467" s="39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39" t="str">
        <f>IF(OR(TH!L1467=TH!$W$7,M1467=TH!$W$7),"x","")</f>
        <v/>
      </c>
      <c r="X1467" s="39" t="str">
        <f>IF(AND(B1467&gt;='IN-NX'!$P$3,B1467&lt;='IN-NX'!$Q$3,'IN-NX'!$D$7=D1467,OR(LEFT(L1467,2)="15",AND(LEFT(M1467,2)&lt;&gt;"15",LEFT(M1467,2)&lt;&gt;"33"))),"x","")</f>
        <v/>
      </c>
      <c r="Y1467" s="39" t="str">
        <f>IF(AND(OR(LEFT(TH!L1467,2)="15",LEFT(TH!M1467,2)="15"),'152-CT'!$J$8=TH!F1467),"x","")</f>
        <v/>
      </c>
      <c r="Z1467" s="39" t="str">
        <f>IF(AND(OR(LEFT(TH!L1467,2)="15",LEFT(TH!M1467,2)="15"),TK!$E$7=TH!F1467),"x","")</f>
        <v/>
      </c>
      <c r="AA1467" s="39" t="str">
        <f>IF(AND(B1467&lt;=NKC!$N$8,B1467&gt;=NKC!$M$8),"x","")</f>
        <v/>
      </c>
      <c r="AB1467" s="821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95"/>
        <v/>
      </c>
      <c r="C1468" s="184"/>
      <c r="D1468" s="184"/>
      <c r="E1468" s="191"/>
      <c r="F1468" s="189"/>
      <c r="G1468" s="570"/>
      <c r="H1468" s="7"/>
      <c r="I1468" s="256"/>
      <c r="J1468" s="256"/>
      <c r="K1468" s="568"/>
      <c r="L1468" s="569"/>
      <c r="M1468" s="569"/>
      <c r="N1468" s="39" t="str">
        <f>IF(AND('331-CT'!$E$7=TH!H1468,OR(L1468="331",M1468="331")),"331",IF(AND(OR(L1468="131",M1468="131"),H1468='131-CT'!$E$7),"131",""))</f>
        <v/>
      </c>
      <c r="O1468" s="902" t="str">
        <f>IF(AND('341-CT'!$E$9=H1468,OR(LEFT(L1468,3)=$O$7,LEFT(M1468,3)=$O$7)),"x","")</f>
        <v/>
      </c>
      <c r="P1468" s="39" t="str">
        <f>IF(AND($B1468&gt;='111'!$N$11,$B1468&lt;='111'!$O$11,OR($L1468=$P$7,$M1468=$P$7)),"x","")</f>
        <v/>
      </c>
      <c r="Q1468" s="39" t="str">
        <f>IF(AND($L1468=$P$7,$B1468&lt;'111'!$N$11),"x","")</f>
        <v/>
      </c>
      <c r="R1468" s="39" t="str">
        <f>IF(AND($M1468=$P$7,$B1468&lt;'111'!$N$11),"x","")</f>
        <v/>
      </c>
      <c r="S1468" s="39" t="str">
        <f>IF(ISERROR(FIND('112'!$M$9,G1468,1)),"",IF((AND(FIND('112'!$M$9,G1468,1)&gt;=1,$B1468&gt;='112'!$N$8,$B1468&lt;='112'!$O$8,OR($L1468='112'!$I$6,$M1468='112'!$I$6))),"x",""))</f>
        <v/>
      </c>
      <c r="T1468" s="39" t="str">
        <f>IF(ISERROR(FIND('112'!$M$9,G1468,1)),"",IF((AND(LEFT(G1468,2)=LEFT('112'!$M$9,2),B1468&lt;'112'!$N$8,$L1468='112'!$I$6)),"x",""))</f>
        <v/>
      </c>
      <c r="U1468" s="39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39" t="str">
        <f>IF(OR(TH!L1468=TH!$W$7,M1468=TH!$W$7),"x","")</f>
        <v/>
      </c>
      <c r="X1468" s="39" t="str">
        <f>IF(AND(B1468&gt;='IN-NX'!$P$3,B1468&lt;='IN-NX'!$Q$3,'IN-NX'!$D$7=D1468,OR(LEFT(L1468,2)="15",AND(LEFT(M1468,2)&lt;&gt;"15",LEFT(M1468,2)&lt;&gt;"33"))),"x","")</f>
        <v/>
      </c>
      <c r="Y1468" s="39" t="str">
        <f>IF(AND(OR(LEFT(TH!L1468,2)="15",LEFT(TH!M1468,2)="15"),'152-CT'!$J$8=TH!F1468),"x","")</f>
        <v/>
      </c>
      <c r="Z1468" s="39" t="str">
        <f>IF(AND(OR(LEFT(TH!L1468,2)="15",LEFT(TH!M1468,2)="15"),TK!$E$7=TH!F1468),"x","")</f>
        <v/>
      </c>
      <c r="AA1468" s="39" t="str">
        <f>IF(AND(B1468&lt;=NKC!$N$8,B1468&gt;=NKC!$M$8),"x","")</f>
        <v/>
      </c>
      <c r="AB1468" s="821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95"/>
        <v/>
      </c>
      <c r="C1469" s="37"/>
      <c r="D1469" s="37"/>
      <c r="E1469" s="731"/>
      <c r="F1469" s="189"/>
      <c r="G1469" s="40"/>
      <c r="H1469" s="7"/>
      <c r="I1469" s="256"/>
      <c r="J1469" s="256"/>
      <c r="K1469" s="568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902" t="str">
        <f>IF(AND('341-CT'!$E$9=H1469,OR(LEFT(L1469,3)=$O$7,LEFT(M1469,3)=$O$7)),"x","")</f>
        <v/>
      </c>
      <c r="P1469" s="39" t="str">
        <f>IF(AND($B1469&gt;='111'!$N$11,$B1469&lt;='111'!$O$11,OR($L1469=$P$7,$M1469=$P$7)),"x","")</f>
        <v/>
      </c>
      <c r="Q1469" s="39" t="str">
        <f>IF(AND($L1469=$P$7,$B1469&lt;'111'!$N$11),"x","")</f>
        <v/>
      </c>
      <c r="R1469" s="39" t="str">
        <f>IF(AND($M1469=$P$7,$B1469&lt;'111'!$N$11),"x","")</f>
        <v/>
      </c>
      <c r="S1469" s="39" t="str">
        <f>IF(ISERROR(FIND('112'!$M$9,G1469,1)),"",IF((AND(FIND('112'!$M$9,G1469,1)&gt;=1,$B1469&gt;='112'!$N$8,$B1469&lt;='112'!$O$8,OR($L1469='112'!$I$6,$M1469='112'!$I$6))),"x",""))</f>
        <v/>
      </c>
      <c r="T1469" s="39" t="str">
        <f>IF(ISERROR(FIND('112'!$M$9,G1469,1)),"",IF((AND(LEFT(G1469,2)=LEFT('112'!$M$9,2),B1469&lt;'112'!$N$8,$L1469='112'!$I$6)),"x",""))</f>
        <v/>
      </c>
      <c r="U1469" s="39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39" t="str">
        <f>IF(OR(TH!L1469=TH!$W$7,M1469=TH!$W$7),"x","")</f>
        <v/>
      </c>
      <c r="X1469" s="39" t="str">
        <f>IF(AND(B1469&gt;='IN-NX'!$P$3,B1469&lt;='IN-NX'!$Q$3,'IN-NX'!$D$7=D1469,OR(LEFT(L1469,2)="15",AND(LEFT(M1469,2)&lt;&gt;"15",LEFT(M1469,2)&lt;&gt;"33"))),"x","")</f>
        <v/>
      </c>
      <c r="Y1469" s="39" t="str">
        <f>IF(AND(OR(LEFT(TH!L1469,2)="15",LEFT(TH!M1469,2)="15"),'152-CT'!$J$8=TH!F1469),"x","")</f>
        <v/>
      </c>
      <c r="Z1469" s="39" t="str">
        <f>IF(AND(OR(LEFT(TH!L1469,2)="15",LEFT(TH!M1469,2)="15"),TK!$E$7=TH!F1469),"x","")</f>
        <v/>
      </c>
      <c r="AA1469" s="39" t="str">
        <f>IF(AND(B1469&lt;=NKC!$N$8,B1469&gt;=NKC!$M$8),"x","")</f>
        <v/>
      </c>
      <c r="AB1469" s="821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95"/>
        <v/>
      </c>
      <c r="C1470" s="37"/>
      <c r="D1470" s="37"/>
      <c r="E1470" s="731"/>
      <c r="F1470" s="40"/>
      <c r="G1470" s="40"/>
      <c r="H1470" s="7"/>
      <c r="I1470" s="256"/>
      <c r="J1470" s="256"/>
      <c r="K1470" s="568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902" t="str">
        <f>IF(AND('341-CT'!$E$9=H1470,OR(LEFT(L1470,3)=$O$7,LEFT(M1470,3)=$O$7)),"x","")</f>
        <v/>
      </c>
      <c r="P1470" s="39" t="str">
        <f>IF(AND($B1470&gt;='111'!$N$11,$B1470&lt;='111'!$O$11,OR($L1470=$P$7,$M1470=$P$7)),"x","")</f>
        <v/>
      </c>
      <c r="Q1470" s="39" t="str">
        <f>IF(AND($L1470=$P$7,$B1470&lt;'111'!$N$11),"x","")</f>
        <v/>
      </c>
      <c r="R1470" s="39" t="str">
        <f>IF(AND($M1470=$P$7,$B1470&lt;'111'!$N$11),"x","")</f>
        <v/>
      </c>
      <c r="S1470" s="39" t="str">
        <f>IF(ISERROR(FIND('112'!$M$9,G1470,1)),"",IF((AND(FIND('112'!$M$9,G1470,1)&gt;=1,$B1470&gt;='112'!$N$8,$B1470&lt;='112'!$O$8,OR($L1470='112'!$I$6,$M1470='112'!$I$6))),"x",""))</f>
        <v/>
      </c>
      <c r="T1470" s="39" t="str">
        <f>IF(ISERROR(FIND('112'!$M$9,G1470,1)),"",IF((AND(LEFT(G1470,2)=LEFT('112'!$M$9,2),B1470&lt;'112'!$N$8,$L1470='112'!$I$6)),"x",""))</f>
        <v/>
      </c>
      <c r="U1470" s="39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39" t="str">
        <f>IF(OR(TH!L1470=TH!$W$7,M1470=TH!$W$7),"x","")</f>
        <v/>
      </c>
      <c r="X1470" s="39" t="str">
        <f>IF(AND(B1470&gt;='IN-NX'!$P$3,B1470&lt;='IN-NX'!$Q$3,'IN-NX'!$D$7=D1470,OR(LEFT(L1470,2)="15",AND(LEFT(M1470,2)&lt;&gt;"15",LEFT(M1470,2)&lt;&gt;"33"))),"x","")</f>
        <v/>
      </c>
      <c r="Y1470" s="39" t="str">
        <f>IF(AND(OR(LEFT(TH!L1470,2)="15",LEFT(TH!M1470,2)="15"),'152-CT'!$J$8=TH!F1470),"x","")</f>
        <v/>
      </c>
      <c r="Z1470" s="39" t="str">
        <f>IF(AND(OR(LEFT(TH!L1470,2)="15",LEFT(TH!M1470,2)="15"),TK!$E$7=TH!F1470),"x","")</f>
        <v/>
      </c>
      <c r="AA1470" s="39" t="str">
        <f>IF(AND(B1470&lt;=NKC!$N$8,B1470&gt;=NKC!$M$8),"x","")</f>
        <v/>
      </c>
      <c r="AB1470" s="821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95"/>
        <v/>
      </c>
      <c r="C1471" s="37"/>
      <c r="D1471" s="37"/>
      <c r="E1471" s="731"/>
      <c r="F1471" s="189"/>
      <c r="G1471" s="40"/>
      <c r="H1471" s="7"/>
      <c r="I1471" s="256"/>
      <c r="J1471" s="256"/>
      <c r="K1471" s="568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902" t="str">
        <f>IF(AND('341-CT'!$E$9=H1471,OR(LEFT(L1471,3)=$O$7,LEFT(M1471,3)=$O$7)),"x","")</f>
        <v/>
      </c>
      <c r="P1471" s="39" t="str">
        <f>IF(AND($B1471&gt;='111'!$N$11,$B1471&lt;='111'!$O$11,OR($L1471=$P$7,$M1471=$P$7)),"x","")</f>
        <v/>
      </c>
      <c r="Q1471" s="39" t="str">
        <f>IF(AND($L1471=$P$7,$B1471&lt;'111'!$N$11),"x","")</f>
        <v/>
      </c>
      <c r="R1471" s="39" t="str">
        <f>IF(AND($M1471=$P$7,$B1471&lt;'111'!$N$11),"x","")</f>
        <v/>
      </c>
      <c r="S1471" s="39" t="str">
        <f>IF(ISERROR(FIND('112'!$M$9,G1471,1)),"",IF((AND(FIND('112'!$M$9,G1471,1)&gt;=1,$B1471&gt;='112'!$N$8,$B1471&lt;='112'!$O$8,OR($L1471='112'!$I$6,$M1471='112'!$I$6))),"x",""))</f>
        <v/>
      </c>
      <c r="T1471" s="39" t="str">
        <f>IF(ISERROR(FIND('112'!$M$9,G1471,1)),"",IF((AND(LEFT(G1471,2)=LEFT('112'!$M$9,2),B1471&lt;'112'!$N$8,$L1471='112'!$I$6)),"x",""))</f>
        <v/>
      </c>
      <c r="U1471" s="39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39" t="str">
        <f>IF(OR(TH!L1471=TH!$W$7,M1471=TH!$W$7),"x","")</f>
        <v/>
      </c>
      <c r="X1471" s="39" t="str">
        <f>IF(AND(B1471&gt;='IN-NX'!$P$3,B1471&lt;='IN-NX'!$Q$3,'IN-NX'!$D$7=D1471,OR(LEFT(L1471,2)="15",AND(LEFT(M1471,2)&lt;&gt;"15",LEFT(M1471,2)&lt;&gt;"33"))),"x","")</f>
        <v/>
      </c>
      <c r="Y1471" s="39" t="str">
        <f>IF(AND(OR(LEFT(TH!L1471,2)="15",LEFT(TH!M1471,2)="15"),'152-CT'!$J$8=TH!F1471),"x","")</f>
        <v/>
      </c>
      <c r="Z1471" s="39" t="str">
        <f>IF(AND(OR(LEFT(TH!L1471,2)="15",LEFT(TH!M1471,2)="15"),TK!$E$7=TH!F1471),"x","")</f>
        <v/>
      </c>
      <c r="AA1471" s="39" t="str">
        <f>IF(AND(B1471&lt;=NKC!$N$8,B1471&gt;=NKC!$M$8),"x","")</f>
        <v/>
      </c>
      <c r="AB1471" s="821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95"/>
        <v/>
      </c>
      <c r="C1472" s="37"/>
      <c r="D1472" s="37"/>
      <c r="E1472" s="731"/>
      <c r="F1472" s="296"/>
      <c r="G1472" s="40"/>
      <c r="H1472" s="7"/>
      <c r="I1472" s="256"/>
      <c r="J1472" s="256"/>
      <c r="K1472" s="568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902" t="str">
        <f>IF(AND('341-CT'!$E$9=H1472,OR(LEFT(L1472,3)=$O$7,LEFT(M1472,3)=$O$7)),"x","")</f>
        <v/>
      </c>
      <c r="P1472" s="39" t="str">
        <f>IF(AND($B1472&gt;='111'!$N$11,$B1472&lt;='111'!$O$11,OR($L1472=$P$7,$M1472=$P$7)),"x","")</f>
        <v/>
      </c>
      <c r="Q1472" s="39" t="str">
        <f>IF(AND($L1472=$P$7,$B1472&lt;'111'!$N$11),"x","")</f>
        <v/>
      </c>
      <c r="R1472" s="39" t="str">
        <f>IF(AND($M1472=$P$7,$B1472&lt;'111'!$N$11),"x","")</f>
        <v/>
      </c>
      <c r="S1472" s="39" t="str">
        <f>IF(ISERROR(FIND('112'!$M$9,G1472,1)),"",IF((AND(FIND('112'!$M$9,G1472,1)&gt;=1,$B1472&gt;='112'!$N$8,$B1472&lt;='112'!$O$8,OR($L1472='112'!$I$6,$M1472='112'!$I$6))),"x",""))</f>
        <v/>
      </c>
      <c r="T1472" s="39" t="str">
        <f>IF(ISERROR(FIND('112'!$M$9,G1472,1)),"",IF((AND(LEFT(G1472,2)=LEFT('112'!$M$9,2),B1472&lt;'112'!$N$8,$L1472='112'!$I$6)),"x",""))</f>
        <v/>
      </c>
      <c r="U1472" s="39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39" t="str">
        <f>IF(OR(TH!L1472=TH!$W$7,M1472=TH!$W$7),"x","")</f>
        <v/>
      </c>
      <c r="X1472" s="39" t="str">
        <f>IF(AND(B1472&gt;='IN-NX'!$P$3,B1472&lt;='IN-NX'!$Q$3,'IN-NX'!$D$7=D1472,OR(LEFT(L1472,2)="15",AND(LEFT(M1472,2)&lt;&gt;"15",LEFT(M1472,2)&lt;&gt;"33"))),"x","")</f>
        <v/>
      </c>
      <c r="Y1472" s="39" t="str">
        <f>IF(AND(OR(LEFT(TH!L1472,2)="15",LEFT(TH!M1472,2)="15"),'152-CT'!$J$8=TH!F1472),"x","")</f>
        <v/>
      </c>
      <c r="Z1472" s="39" t="str">
        <f>IF(AND(OR(LEFT(TH!L1472,2)="15",LEFT(TH!M1472,2)="15"),TK!$E$7=TH!F1472),"x","")</f>
        <v/>
      </c>
      <c r="AA1472" s="39" t="str">
        <f>IF(AND(B1472&lt;=NKC!$N$8,B1472&gt;=NKC!$M$8),"x","")</f>
        <v/>
      </c>
      <c r="AB1472" s="821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95"/>
        <v/>
      </c>
      <c r="C1473" s="37"/>
      <c r="D1473" s="37"/>
      <c r="E1473" s="731"/>
      <c r="F1473" s="40"/>
      <c r="G1473" s="40"/>
      <c r="H1473" s="7"/>
      <c r="I1473" s="256"/>
      <c r="J1473" s="256"/>
      <c r="K1473" s="568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902" t="str">
        <f>IF(AND('341-CT'!$E$9=H1473,OR(LEFT(L1473,3)=$O$7,LEFT(M1473,3)=$O$7)),"x","")</f>
        <v/>
      </c>
      <c r="P1473" s="39" t="str">
        <f>IF(AND($B1473&gt;='111'!$N$11,$B1473&lt;='111'!$O$11,OR($L1473=$P$7,$M1473=$P$7)),"x","")</f>
        <v/>
      </c>
      <c r="Q1473" s="39" t="str">
        <f>IF(AND($L1473=$P$7,$B1473&lt;'111'!$N$11),"x","")</f>
        <v/>
      </c>
      <c r="R1473" s="39" t="str">
        <f>IF(AND($M1473=$P$7,$B1473&lt;'111'!$N$11),"x","")</f>
        <v/>
      </c>
      <c r="S1473" s="39" t="str">
        <f>IF(ISERROR(FIND('112'!$M$9,G1473,1)),"",IF((AND(FIND('112'!$M$9,G1473,1)&gt;=1,$B1473&gt;='112'!$N$8,$B1473&lt;='112'!$O$8,OR($L1473='112'!$I$6,$M1473='112'!$I$6))),"x",""))</f>
        <v/>
      </c>
      <c r="T1473" s="39" t="str">
        <f>IF(ISERROR(FIND('112'!$M$9,G1473,1)),"",IF((AND(LEFT(G1473,2)=LEFT('112'!$M$9,2),B1473&lt;'112'!$N$8,$L1473='112'!$I$6)),"x",""))</f>
        <v/>
      </c>
      <c r="U1473" s="39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39" t="str">
        <f>IF(OR(TH!L1473=TH!$W$7,M1473=TH!$W$7),"x","")</f>
        <v/>
      </c>
      <c r="X1473" s="39" t="str">
        <f>IF(AND(B1473&gt;='IN-NX'!$P$3,B1473&lt;='IN-NX'!$Q$3,'IN-NX'!$D$7=D1473,OR(LEFT(L1473,2)="15",AND(LEFT(M1473,2)&lt;&gt;"15",LEFT(M1473,2)&lt;&gt;"33"))),"x","")</f>
        <v/>
      </c>
      <c r="Y1473" s="39" t="str">
        <f>IF(AND(OR(LEFT(TH!L1473,2)="15",LEFT(TH!M1473,2)="15"),'152-CT'!$J$8=TH!F1473),"x","")</f>
        <v/>
      </c>
      <c r="Z1473" s="39" t="str">
        <f>IF(AND(OR(LEFT(TH!L1473,2)="15",LEFT(TH!M1473,2)="15"),TK!$E$7=TH!F1473),"x","")</f>
        <v/>
      </c>
      <c r="AA1473" s="39" t="str">
        <f>IF(AND(B1473&lt;=NKC!$N$8,B1473&gt;=NKC!$M$8),"x","")</f>
        <v/>
      </c>
      <c r="AB1473" s="821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95"/>
        <v/>
      </c>
      <c r="C1474" s="37"/>
      <c r="D1474" s="37"/>
      <c r="E1474" s="731"/>
      <c r="F1474" s="189"/>
      <c r="G1474" s="40"/>
      <c r="H1474" s="7"/>
      <c r="I1474" s="256"/>
      <c r="J1474" s="256"/>
      <c r="K1474" s="568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902" t="str">
        <f>IF(AND('341-CT'!$E$9=H1474,OR(LEFT(L1474,3)=$O$7,LEFT(M1474,3)=$O$7)),"x","")</f>
        <v/>
      </c>
      <c r="P1474" s="39" t="str">
        <f>IF(AND($B1474&gt;='111'!$N$11,$B1474&lt;='111'!$O$11,OR($L1474=$P$7,$M1474=$P$7)),"x","")</f>
        <v/>
      </c>
      <c r="Q1474" s="39" t="str">
        <f>IF(AND($L1474=$P$7,$B1474&lt;'111'!$N$11),"x","")</f>
        <v/>
      </c>
      <c r="R1474" s="39" t="str">
        <f>IF(AND($M1474=$P$7,$B1474&lt;'111'!$N$11),"x","")</f>
        <v/>
      </c>
      <c r="S1474" s="39" t="str">
        <f>IF(ISERROR(FIND('112'!$M$9,G1474,1)),"",IF((AND(FIND('112'!$M$9,G1474,1)&gt;=1,$B1474&gt;='112'!$N$8,$B1474&lt;='112'!$O$8,OR($L1474='112'!$I$6,$M1474='112'!$I$6))),"x",""))</f>
        <v/>
      </c>
      <c r="T1474" s="39" t="str">
        <f>IF(ISERROR(FIND('112'!$M$9,G1474,1)),"",IF((AND(LEFT(G1474,2)=LEFT('112'!$M$9,2),B1474&lt;'112'!$N$8,$L1474='112'!$I$6)),"x",""))</f>
        <v/>
      </c>
      <c r="U1474" s="39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39" t="str">
        <f>IF(OR(TH!L1474=TH!$W$7,M1474=TH!$W$7),"x","")</f>
        <v/>
      </c>
      <c r="X1474" s="39" t="str">
        <f>IF(AND(B1474&gt;='IN-NX'!$P$3,B1474&lt;='IN-NX'!$Q$3,'IN-NX'!$D$7=D1474,OR(LEFT(L1474,2)="15",AND(LEFT(M1474,2)&lt;&gt;"15",LEFT(M1474,2)&lt;&gt;"33"))),"x","")</f>
        <v/>
      </c>
      <c r="Y1474" s="39" t="str">
        <f>IF(AND(OR(LEFT(TH!L1474,2)="15",LEFT(TH!M1474,2)="15"),'152-CT'!$J$8=TH!F1474),"x","")</f>
        <v/>
      </c>
      <c r="Z1474" s="39" t="str">
        <f>IF(AND(OR(LEFT(TH!L1474,2)="15",LEFT(TH!M1474,2)="15"),TK!$E$7=TH!F1474),"x","")</f>
        <v/>
      </c>
      <c r="AA1474" s="39" t="str">
        <f>IF(AND(B1474&lt;=NKC!$N$8,B1474&gt;=NKC!$M$8),"x","")</f>
        <v/>
      </c>
      <c r="AB1474" s="821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95"/>
        <v/>
      </c>
      <c r="C1475" s="37"/>
      <c r="D1475" s="37"/>
      <c r="E1475" s="731"/>
      <c r="F1475" s="40"/>
      <c r="G1475" s="40"/>
      <c r="H1475" s="7"/>
      <c r="I1475" s="256"/>
      <c r="J1475" s="256"/>
      <c r="K1475" s="568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902" t="str">
        <f>IF(AND('341-CT'!$E$9=H1475,OR(LEFT(L1475,3)=$O$7,LEFT(M1475,3)=$O$7)),"x","")</f>
        <v/>
      </c>
      <c r="P1475" s="39" t="str">
        <f>IF(AND($B1475&gt;='111'!$N$11,$B1475&lt;='111'!$O$11,OR($L1475=$P$7,$M1475=$P$7)),"x","")</f>
        <v/>
      </c>
      <c r="Q1475" s="39" t="str">
        <f>IF(AND($L1475=$P$7,$B1475&lt;'111'!$N$11),"x","")</f>
        <v/>
      </c>
      <c r="R1475" s="39" t="str">
        <f>IF(AND($M1475=$P$7,$B1475&lt;'111'!$N$11),"x","")</f>
        <v/>
      </c>
      <c r="S1475" s="39" t="str">
        <f>IF(ISERROR(FIND('112'!$M$9,G1475,1)),"",IF((AND(FIND('112'!$M$9,G1475,1)&gt;=1,$B1475&gt;='112'!$N$8,$B1475&lt;='112'!$O$8,OR($L1475='112'!$I$6,$M1475='112'!$I$6))),"x",""))</f>
        <v/>
      </c>
      <c r="T1475" s="39" t="str">
        <f>IF(ISERROR(FIND('112'!$M$9,G1475,1)),"",IF((AND(LEFT(G1475,2)=LEFT('112'!$M$9,2),B1475&lt;'112'!$N$8,$L1475='112'!$I$6)),"x",""))</f>
        <v/>
      </c>
      <c r="U1475" s="39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39" t="str">
        <f>IF(OR(TH!L1475=TH!$W$7,M1475=TH!$W$7),"x","")</f>
        <v/>
      </c>
      <c r="X1475" s="39" t="str">
        <f>IF(AND(B1475&gt;='IN-NX'!$P$3,B1475&lt;='IN-NX'!$Q$3,'IN-NX'!$D$7=D1475,OR(LEFT(L1475,2)="15",AND(LEFT(M1475,2)&lt;&gt;"15",LEFT(M1475,2)&lt;&gt;"33"))),"x","")</f>
        <v/>
      </c>
      <c r="Y1475" s="39" t="str">
        <f>IF(AND(OR(LEFT(TH!L1475,2)="15",LEFT(TH!M1475,2)="15"),'152-CT'!$J$8=TH!F1475),"x","")</f>
        <v/>
      </c>
      <c r="Z1475" s="39" t="str">
        <f>IF(AND(OR(LEFT(TH!L1475,2)="15",LEFT(TH!M1475,2)="15"),TK!$E$7=TH!F1475),"x","")</f>
        <v/>
      </c>
      <c r="AA1475" s="39" t="str">
        <f>IF(AND(B1475&lt;=NKC!$N$8,B1475&gt;=NKC!$M$8),"x","")</f>
        <v/>
      </c>
      <c r="AB1475" s="821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95"/>
        <v/>
      </c>
      <c r="C1476" s="37"/>
      <c r="D1476" s="37"/>
      <c r="E1476" s="731"/>
      <c r="F1476" s="189"/>
      <c r="G1476" s="40"/>
      <c r="H1476" s="7"/>
      <c r="I1476" s="256"/>
      <c r="J1476" s="256"/>
      <c r="K1476" s="568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902" t="str">
        <f>IF(AND('341-CT'!$E$9=H1476,OR(LEFT(L1476,3)=$O$7,LEFT(M1476,3)=$O$7)),"x","")</f>
        <v/>
      </c>
      <c r="P1476" s="39" t="str">
        <f>IF(AND($B1476&gt;='111'!$N$11,$B1476&lt;='111'!$O$11,OR($L1476=$P$7,$M1476=$P$7)),"x","")</f>
        <v/>
      </c>
      <c r="Q1476" s="39" t="str">
        <f>IF(AND($L1476=$P$7,$B1476&lt;'111'!$N$11),"x","")</f>
        <v/>
      </c>
      <c r="R1476" s="39" t="str">
        <f>IF(AND($M1476=$P$7,$B1476&lt;'111'!$N$11),"x","")</f>
        <v/>
      </c>
      <c r="S1476" s="39" t="str">
        <f>IF(ISERROR(FIND('112'!$M$9,G1476,1)),"",IF((AND(FIND('112'!$M$9,G1476,1)&gt;=1,$B1476&gt;='112'!$N$8,$B1476&lt;='112'!$O$8,OR($L1476='112'!$I$6,$M1476='112'!$I$6))),"x",""))</f>
        <v/>
      </c>
      <c r="T1476" s="39" t="str">
        <f>IF(ISERROR(FIND('112'!$M$9,G1476,1)),"",IF((AND(LEFT(G1476,2)=LEFT('112'!$M$9,2),B1476&lt;'112'!$N$8,$L1476='112'!$I$6)),"x",""))</f>
        <v/>
      </c>
      <c r="U1476" s="39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39" t="str">
        <f>IF(OR(TH!L1476=TH!$W$7,M1476=TH!$W$7),"x","")</f>
        <v/>
      </c>
      <c r="X1476" s="39" t="str">
        <f>IF(AND(B1476&gt;='IN-NX'!$P$3,B1476&lt;='IN-NX'!$Q$3,'IN-NX'!$D$7=D1476,OR(LEFT(L1476,2)="15",AND(LEFT(M1476,2)&lt;&gt;"15",LEFT(M1476,2)&lt;&gt;"33"))),"x","")</f>
        <v/>
      </c>
      <c r="Y1476" s="39" t="str">
        <f>IF(AND(OR(LEFT(TH!L1476,2)="15",LEFT(TH!M1476,2)="15"),'152-CT'!$J$8=TH!F1476),"x","")</f>
        <v/>
      </c>
      <c r="Z1476" s="39" t="str">
        <f>IF(AND(OR(LEFT(TH!L1476,2)="15",LEFT(TH!M1476,2)="15"),TK!$E$7=TH!F1476),"x","")</f>
        <v/>
      </c>
      <c r="AA1476" s="39" t="str">
        <f>IF(AND(B1476&lt;=NKC!$N$8,B1476&gt;=NKC!$M$8),"x","")</f>
        <v/>
      </c>
      <c r="AB1476" s="821"/>
    </row>
    <row r="1477" spans="1:28" s="211" customFormat="1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95"/>
        <v/>
      </c>
      <c r="C1477" s="37"/>
      <c r="D1477" s="37"/>
      <c r="E1477" s="731"/>
      <c r="F1477" s="189"/>
      <c r="G1477" s="40"/>
      <c r="H1477" s="7"/>
      <c r="I1477" s="256"/>
      <c r="J1477" s="256"/>
      <c r="K1477" s="568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902" t="str">
        <f>IF(AND('341-CT'!$E$9=H1477,OR(LEFT(L1477,3)=$O$7,LEFT(M1477,3)=$O$7)),"x","")</f>
        <v/>
      </c>
      <c r="P1477" s="39" t="str">
        <f>IF(AND($B1477&gt;='111'!$N$11,$B1477&lt;='111'!$O$11,OR($L1477=$P$7,$M1477=$P$7)),"x","")</f>
        <v/>
      </c>
      <c r="Q1477" s="39" t="str">
        <f>IF(AND($L1477=$P$7,$B1477&lt;'111'!$N$11),"x","")</f>
        <v/>
      </c>
      <c r="R1477" s="39" t="str">
        <f>IF(AND($M1477=$P$7,$B1477&lt;'111'!$N$11),"x","")</f>
        <v/>
      </c>
      <c r="S1477" s="39" t="str">
        <f>IF(ISERROR(FIND('112'!$M$9,G1477,1)),"",IF((AND(FIND('112'!$M$9,G1477,1)&gt;=1,$B1477&gt;='112'!$N$8,$B1477&lt;='112'!$O$8,OR($L1477='112'!$I$6,$M1477='112'!$I$6))),"x",""))</f>
        <v/>
      </c>
      <c r="T1477" s="39" t="str">
        <f>IF(ISERROR(FIND('112'!$M$9,G1477,1)),"",IF((AND(LEFT(G1477,2)=LEFT('112'!$M$9,2),B1477&lt;'112'!$N$8,$L1477='112'!$I$6)),"x",""))</f>
        <v/>
      </c>
      <c r="U1477" s="39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39" t="str">
        <f>IF(OR(TH!L1477=TH!$W$7,M1477=TH!$W$7),"x","")</f>
        <v/>
      </c>
      <c r="X1477" s="39" t="str">
        <f>IF(AND(B1477&gt;='IN-NX'!$P$3,B1477&lt;='IN-NX'!$Q$3,'IN-NX'!$D$7=D1477,OR(LEFT(L1477,2)="15",AND(LEFT(M1477,2)&lt;&gt;"15",LEFT(M1477,2)&lt;&gt;"33"))),"x","")</f>
        <v/>
      </c>
      <c r="Y1477" s="39" t="str">
        <f>IF(AND(OR(LEFT(TH!L1477,2)="15",LEFT(TH!M1477,2)="15"),'152-CT'!$J$8=TH!F1477),"x","")</f>
        <v/>
      </c>
      <c r="Z1477" s="39" t="str">
        <f>IF(AND(OR(LEFT(TH!L1477,2)="15",LEFT(TH!M1477,2)="15"),TK!$E$7=TH!F1477),"x","")</f>
        <v/>
      </c>
      <c r="AA1477" s="39" t="str">
        <f>IF(AND(B1477&lt;=NKC!$N$8,B1477&gt;=NKC!$M$8),"x","")</f>
        <v/>
      </c>
      <c r="AB1477" s="821"/>
    </row>
    <row r="1478" spans="1:28" s="211" customFormat="1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95"/>
        <v/>
      </c>
      <c r="C1478" s="184"/>
      <c r="D1478" s="184"/>
      <c r="E1478" s="184"/>
      <c r="F1478" s="189"/>
      <c r="G1478" s="570"/>
      <c r="H1478" s="193"/>
      <c r="I1478" s="256"/>
      <c r="J1478" s="256"/>
      <c r="K1478" s="568"/>
      <c r="L1478" s="569"/>
      <c r="M1478" s="569"/>
      <c r="N1478" s="39" t="str">
        <f>IF(AND('331-CT'!$E$7=TH!H1478,OR(L1478="331",M1478="331")),"331",IF(AND(OR(L1478="131",M1478="131"),H1478='131-CT'!$E$7),"131",""))</f>
        <v/>
      </c>
      <c r="O1478" s="902" t="str">
        <f>IF(AND('341-CT'!$E$9=H1478,OR(LEFT(L1478,3)=$O$7,LEFT(M1478,3)=$O$7)),"x","")</f>
        <v/>
      </c>
      <c r="P1478" s="39" t="str">
        <f>IF(AND($B1478&gt;='111'!$N$11,$B1478&lt;='111'!$O$11,OR($L1478=$P$7,$M1478=$P$7)),"x","")</f>
        <v/>
      </c>
      <c r="Q1478" s="39" t="str">
        <f>IF(AND($L1478=$P$7,$B1478&lt;'111'!$N$11),"x","")</f>
        <v/>
      </c>
      <c r="R1478" s="39" t="str">
        <f>IF(AND($M1478=$P$7,$B1478&lt;'111'!$N$11),"x","")</f>
        <v/>
      </c>
      <c r="S1478" s="39" t="str">
        <f>IF(ISERROR(FIND('112'!$M$9,G1478,1)),"",IF((AND(FIND('112'!$M$9,G1478,1)&gt;=1,$B1478&gt;='112'!$N$8,$B1478&lt;='112'!$O$8,OR($L1478='112'!$I$6,$M1478='112'!$I$6))),"x",""))</f>
        <v/>
      </c>
      <c r="T1478" s="39" t="str">
        <f>IF(ISERROR(FIND('112'!$M$9,G1478,1)),"",IF((AND(LEFT(G1478,2)=LEFT('112'!$M$9,2),B1478&lt;'112'!$N$8,$L1478='112'!$I$6)),"x",""))</f>
        <v/>
      </c>
      <c r="U1478" s="39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39" t="str">
        <f>IF(OR(TH!L1478=TH!$W$7,M1478=TH!$W$7),"x","")</f>
        <v/>
      </c>
      <c r="X1478" s="39" t="str">
        <f>IF(AND(B1478&gt;='IN-NX'!$P$3,B1478&lt;='IN-NX'!$Q$3,'IN-NX'!$D$7=D1478,OR(LEFT(L1478,2)="15",AND(LEFT(M1478,2)&lt;&gt;"15",LEFT(M1478,2)&lt;&gt;"33"))),"x","")</f>
        <v/>
      </c>
      <c r="Y1478" s="39" t="str">
        <f>IF(AND(OR(LEFT(TH!L1478,2)="15",LEFT(TH!M1478,2)="15"),'152-CT'!$J$8=TH!F1478),"x","")</f>
        <v/>
      </c>
      <c r="Z1478" s="39" t="str">
        <f>IF(AND(OR(LEFT(TH!L1478,2)="15",LEFT(TH!M1478,2)="15"),TK!$E$7=TH!F1478),"x","")</f>
        <v/>
      </c>
      <c r="AA1478" s="39" t="str">
        <f>IF(AND(B1478&lt;=NKC!$N$8,B1478&gt;=NKC!$M$8),"x","")</f>
        <v/>
      </c>
      <c r="AB1478" s="821"/>
    </row>
    <row r="1479" spans="1:28" s="211" customFormat="1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95"/>
        <v/>
      </c>
      <c r="C1479" s="37"/>
      <c r="D1479" s="37"/>
      <c r="E1479" s="731"/>
      <c r="F1479" s="40"/>
      <c r="G1479" s="40"/>
      <c r="H1479" s="7"/>
      <c r="I1479" s="256"/>
      <c r="J1479" s="256"/>
      <c r="K1479" s="568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902" t="str">
        <f>IF(AND('341-CT'!$E$9=H1479,OR(LEFT(L1479,3)=$O$7,LEFT(M1479,3)=$O$7)),"x","")</f>
        <v/>
      </c>
      <c r="P1479" s="39" t="str">
        <f>IF(AND($B1479&gt;='111'!$N$11,$B1479&lt;='111'!$O$11,OR($L1479=$P$7,$M1479=$P$7)),"x","")</f>
        <v/>
      </c>
      <c r="Q1479" s="39" t="str">
        <f>IF(AND($L1479=$P$7,$B1479&lt;'111'!$N$11),"x","")</f>
        <v/>
      </c>
      <c r="R1479" s="39" t="str">
        <f>IF(AND($M1479=$P$7,$B1479&lt;'111'!$N$11),"x","")</f>
        <v/>
      </c>
      <c r="S1479" s="39" t="str">
        <f>IF(ISERROR(FIND('112'!$M$9,G1479,1)),"",IF((AND(FIND('112'!$M$9,G1479,1)&gt;=1,$B1479&gt;='112'!$N$8,$B1479&lt;='112'!$O$8,OR($L1479='112'!$I$6,$M1479='112'!$I$6))),"x",""))</f>
        <v/>
      </c>
      <c r="T1479" s="39" t="str">
        <f>IF(ISERROR(FIND('112'!$M$9,G1479,1)),"",IF((AND(LEFT(G1479,2)=LEFT('112'!$M$9,2),B1479&lt;'112'!$N$8,$L1479='112'!$I$6)),"x",""))</f>
        <v/>
      </c>
      <c r="U1479" s="39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39" t="str">
        <f>IF(OR(TH!L1479=TH!$W$7,M1479=TH!$W$7),"x","")</f>
        <v/>
      </c>
      <c r="X1479" s="39" t="str">
        <f>IF(AND(B1479&gt;='IN-NX'!$P$3,B1479&lt;='IN-NX'!$Q$3,'IN-NX'!$D$7=D1479,OR(LEFT(L1479,2)="15",AND(LEFT(M1479,2)&lt;&gt;"15",LEFT(M1479,2)&lt;&gt;"33"))),"x","")</f>
        <v/>
      </c>
      <c r="Y1479" s="39" t="str">
        <f>IF(AND(OR(LEFT(TH!L1479,2)="15",LEFT(TH!M1479,2)="15"),'152-CT'!$J$8=TH!F1479),"x","")</f>
        <v/>
      </c>
      <c r="Z1479" s="39" t="str">
        <f>IF(AND(OR(LEFT(TH!L1479,2)="15",LEFT(TH!M1479,2)="15"),TK!$E$7=TH!F1479),"x","")</f>
        <v/>
      </c>
      <c r="AA1479" s="39" t="str">
        <f>IF(AND(B1479&lt;=NKC!$N$8,B1479&gt;=NKC!$M$8),"x","")</f>
        <v/>
      </c>
      <c r="AB1479" s="821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95"/>
        <v/>
      </c>
      <c r="C1480" s="37"/>
      <c r="D1480" s="37"/>
      <c r="E1480" s="731"/>
      <c r="F1480" s="189"/>
      <c r="G1480" s="40"/>
      <c r="H1480" s="7"/>
      <c r="I1480" s="256"/>
      <c r="J1480" s="256"/>
      <c r="K1480" s="568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902" t="str">
        <f>IF(AND('341-CT'!$E$9=H1480,OR(LEFT(L1480,3)=$O$7,LEFT(M1480,3)=$O$7)),"x","")</f>
        <v/>
      </c>
      <c r="P1480" s="39" t="str">
        <f>IF(AND($B1480&gt;='111'!$N$11,$B1480&lt;='111'!$O$11,OR($L1480=$P$7,$M1480=$P$7)),"x","")</f>
        <v/>
      </c>
      <c r="Q1480" s="39" t="str">
        <f>IF(AND($L1480=$P$7,$B1480&lt;'111'!$N$11),"x","")</f>
        <v/>
      </c>
      <c r="R1480" s="39" t="str">
        <f>IF(AND($M1480=$P$7,$B1480&lt;'111'!$N$11),"x","")</f>
        <v/>
      </c>
      <c r="S1480" s="39" t="str">
        <f>IF(ISERROR(FIND('112'!$M$9,G1480,1)),"",IF((AND(FIND('112'!$M$9,G1480,1)&gt;=1,$B1480&gt;='112'!$N$8,$B1480&lt;='112'!$O$8,OR($L1480='112'!$I$6,$M1480='112'!$I$6))),"x",""))</f>
        <v/>
      </c>
      <c r="T1480" s="39" t="str">
        <f>IF(ISERROR(FIND('112'!$M$9,G1480,1)),"",IF((AND(LEFT(G1480,2)=LEFT('112'!$M$9,2),B1480&lt;'112'!$N$8,$L1480='112'!$I$6)),"x",""))</f>
        <v/>
      </c>
      <c r="U1480" s="39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39" t="str">
        <f>IF(OR(TH!L1480=TH!$W$7,M1480=TH!$W$7),"x","")</f>
        <v/>
      </c>
      <c r="X1480" s="39" t="str">
        <f>IF(AND(B1480&gt;='IN-NX'!$P$3,B1480&lt;='IN-NX'!$Q$3,'IN-NX'!$D$7=D1480,OR(LEFT(L1480,2)="15",AND(LEFT(M1480,2)&lt;&gt;"15",LEFT(M1480,2)&lt;&gt;"33"))),"x","")</f>
        <v/>
      </c>
      <c r="Y1480" s="39" t="str">
        <f>IF(AND(OR(LEFT(TH!L1480,2)="15",LEFT(TH!M1480,2)="15"),'152-CT'!$J$8=TH!F1480),"x","")</f>
        <v/>
      </c>
      <c r="Z1480" s="39" t="str">
        <f>IF(AND(OR(LEFT(TH!L1480,2)="15",LEFT(TH!M1480,2)="15"),TK!$E$7=TH!F1480),"x","")</f>
        <v/>
      </c>
      <c r="AA1480" s="39" t="str">
        <f>IF(AND(B1480&lt;=NKC!$N$8,B1480&gt;=NKC!$M$8),"x","")</f>
        <v/>
      </c>
      <c r="AB1480" s="821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95"/>
        <v/>
      </c>
      <c r="C1481" s="37"/>
      <c r="D1481" s="37"/>
      <c r="E1481" s="731"/>
      <c r="F1481" s="189"/>
      <c r="G1481" s="40"/>
      <c r="H1481" s="7"/>
      <c r="I1481" s="256"/>
      <c r="J1481" s="256"/>
      <c r="K1481" s="568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902" t="str">
        <f>IF(AND('341-CT'!$E$9=H1481,OR(LEFT(L1481,3)=$O$7,LEFT(M1481,3)=$O$7)),"x","")</f>
        <v/>
      </c>
      <c r="P1481" s="39" t="str">
        <f>IF(AND($B1481&gt;='111'!$N$11,$B1481&lt;='111'!$O$11,OR($L1481=$P$7,$M1481=$P$7)),"x","")</f>
        <v/>
      </c>
      <c r="Q1481" s="39" t="str">
        <f>IF(AND($L1481=$P$7,$B1481&lt;'111'!$N$11),"x","")</f>
        <v/>
      </c>
      <c r="R1481" s="39" t="str">
        <f>IF(AND($M1481=$P$7,$B1481&lt;'111'!$N$11),"x","")</f>
        <v/>
      </c>
      <c r="S1481" s="39" t="str">
        <f>IF(ISERROR(FIND('112'!$M$9,G1481,1)),"",IF((AND(FIND('112'!$M$9,G1481,1)&gt;=1,$B1481&gt;='112'!$N$8,$B1481&lt;='112'!$O$8,OR($L1481='112'!$I$6,$M1481='112'!$I$6))),"x",""))</f>
        <v/>
      </c>
      <c r="T1481" s="39" t="str">
        <f>IF(ISERROR(FIND('112'!$M$9,G1481,1)),"",IF((AND(LEFT(G1481,2)=LEFT('112'!$M$9,2),B1481&lt;'112'!$N$8,$L1481='112'!$I$6)),"x",""))</f>
        <v/>
      </c>
      <c r="U1481" s="39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39" t="str">
        <f>IF(OR(TH!L1481=TH!$W$7,M1481=TH!$W$7),"x","")</f>
        <v/>
      </c>
      <c r="X1481" s="39" t="str">
        <f>IF(AND(B1481&gt;='IN-NX'!$P$3,B1481&lt;='IN-NX'!$Q$3,'IN-NX'!$D$7=D1481,OR(LEFT(L1481,2)="15",AND(LEFT(M1481,2)&lt;&gt;"15",LEFT(M1481,2)&lt;&gt;"33"))),"x","")</f>
        <v/>
      </c>
      <c r="Y1481" s="39" t="str">
        <f>IF(AND(OR(LEFT(TH!L1481,2)="15",LEFT(TH!M1481,2)="15"),'152-CT'!$J$8=TH!F1481),"x","")</f>
        <v/>
      </c>
      <c r="Z1481" s="39" t="str">
        <f>IF(AND(OR(LEFT(TH!L1481,2)="15",LEFT(TH!M1481,2)="15"),TK!$E$7=TH!F1481),"x","")</f>
        <v/>
      </c>
      <c r="AA1481" s="39" t="str">
        <f>IF(AND(B1481&lt;=NKC!$N$8,B1481&gt;=NKC!$M$8),"x","")</f>
        <v/>
      </c>
      <c r="AB1481" s="821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95"/>
        <v/>
      </c>
      <c r="C1482" s="37"/>
      <c r="D1482" s="37"/>
      <c r="E1482" s="731"/>
      <c r="F1482" s="189"/>
      <c r="G1482" s="40"/>
      <c r="H1482" s="7"/>
      <c r="I1482" s="256"/>
      <c r="J1482" s="256"/>
      <c r="K1482" s="568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902" t="str">
        <f>IF(AND('341-CT'!$E$9=H1482,OR(LEFT(L1482,3)=$O$7,LEFT(M1482,3)=$O$7)),"x","")</f>
        <v/>
      </c>
      <c r="P1482" s="39" t="str">
        <f>IF(AND($B1482&gt;='111'!$N$11,$B1482&lt;='111'!$O$11,OR($L1482=$P$7,$M1482=$P$7)),"x","")</f>
        <v/>
      </c>
      <c r="Q1482" s="39" t="str">
        <f>IF(AND($L1482=$P$7,$B1482&lt;'111'!$N$11),"x","")</f>
        <v/>
      </c>
      <c r="R1482" s="39" t="str">
        <f>IF(AND($M1482=$P$7,$B1482&lt;'111'!$N$11),"x","")</f>
        <v/>
      </c>
      <c r="S1482" s="39" t="str">
        <f>IF(ISERROR(FIND('112'!$M$9,G1482,1)),"",IF((AND(FIND('112'!$M$9,G1482,1)&gt;=1,$B1482&gt;='112'!$N$8,$B1482&lt;='112'!$O$8,OR($L1482='112'!$I$6,$M1482='112'!$I$6))),"x",""))</f>
        <v/>
      </c>
      <c r="T1482" s="39" t="str">
        <f>IF(ISERROR(FIND('112'!$M$9,G1482,1)),"",IF((AND(LEFT(G1482,2)=LEFT('112'!$M$9,2),B1482&lt;'112'!$N$8,$L1482='112'!$I$6)),"x",""))</f>
        <v/>
      </c>
      <c r="U1482" s="39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39" t="str">
        <f>IF(OR(TH!L1482=TH!$W$7,M1482=TH!$W$7),"x","")</f>
        <v/>
      </c>
      <c r="X1482" s="39" t="str">
        <f>IF(AND(B1482&gt;='IN-NX'!$P$3,B1482&lt;='IN-NX'!$Q$3,'IN-NX'!$D$7=D1482,OR(LEFT(L1482,2)="15",AND(LEFT(M1482,2)&lt;&gt;"15",LEFT(M1482,2)&lt;&gt;"33"))),"x","")</f>
        <v/>
      </c>
      <c r="Y1482" s="39" t="str">
        <f>IF(AND(OR(LEFT(TH!L1482,2)="15",LEFT(TH!M1482,2)="15"),'152-CT'!$J$8=TH!F1482),"x","")</f>
        <v/>
      </c>
      <c r="Z1482" s="39" t="str">
        <f>IF(AND(OR(LEFT(TH!L1482,2)="15",LEFT(TH!M1482,2)="15"),TK!$E$7=TH!F1482),"x","")</f>
        <v/>
      </c>
      <c r="AA1482" s="39" t="str">
        <f>IF(AND(B1482&lt;=NKC!$N$8,B1482&gt;=NKC!$M$8),"x","")</f>
        <v/>
      </c>
      <c r="AB1482" s="821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95"/>
        <v/>
      </c>
      <c r="C1483" s="37"/>
      <c r="D1483" s="37"/>
      <c r="E1483" s="731"/>
      <c r="F1483" s="189"/>
      <c r="G1483" s="40"/>
      <c r="H1483" s="7"/>
      <c r="I1483" s="256"/>
      <c r="J1483" s="256"/>
      <c r="K1483" s="568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902" t="str">
        <f>IF(AND('341-CT'!$E$9=H1483,OR(LEFT(L1483,3)=$O$7,LEFT(M1483,3)=$O$7)),"x","")</f>
        <v/>
      </c>
      <c r="P1483" s="39" t="str">
        <f>IF(AND($B1483&gt;='111'!$N$11,$B1483&lt;='111'!$O$11,OR($L1483=$P$7,$M1483=$P$7)),"x","")</f>
        <v/>
      </c>
      <c r="Q1483" s="39" t="str">
        <f>IF(AND($L1483=$P$7,$B1483&lt;'111'!$N$11),"x","")</f>
        <v/>
      </c>
      <c r="R1483" s="39" t="str">
        <f>IF(AND($M1483=$P$7,$B1483&lt;'111'!$N$11),"x","")</f>
        <v/>
      </c>
      <c r="S1483" s="39" t="str">
        <f>IF(ISERROR(FIND('112'!$M$9,G1483,1)),"",IF((AND(FIND('112'!$M$9,G1483,1)&gt;=1,$B1483&gt;='112'!$N$8,$B1483&lt;='112'!$O$8,OR($L1483='112'!$I$6,$M1483='112'!$I$6))),"x",""))</f>
        <v/>
      </c>
      <c r="T1483" s="39" t="str">
        <f>IF(ISERROR(FIND('112'!$M$9,G1483,1)),"",IF((AND(LEFT(G1483,2)=LEFT('112'!$M$9,2),B1483&lt;'112'!$N$8,$L1483='112'!$I$6)),"x",""))</f>
        <v/>
      </c>
      <c r="U1483" s="39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39" t="str">
        <f>IF(OR(TH!L1483=TH!$W$7,M1483=TH!$W$7),"x","")</f>
        <v/>
      </c>
      <c r="X1483" s="39" t="str">
        <f>IF(AND(B1483&gt;='IN-NX'!$P$3,B1483&lt;='IN-NX'!$Q$3,'IN-NX'!$D$7=D1483,OR(LEFT(L1483,2)="15",AND(LEFT(M1483,2)&lt;&gt;"15",LEFT(M1483,2)&lt;&gt;"33"))),"x","")</f>
        <v/>
      </c>
      <c r="Y1483" s="39" t="str">
        <f>IF(AND(OR(LEFT(TH!L1483,2)="15",LEFT(TH!M1483,2)="15"),'152-CT'!$J$8=TH!F1483),"x","")</f>
        <v/>
      </c>
      <c r="Z1483" s="39" t="str">
        <f>IF(AND(OR(LEFT(TH!L1483,2)="15",LEFT(TH!M1483,2)="15"),TK!$E$7=TH!F1483),"x","")</f>
        <v/>
      </c>
      <c r="AA1483" s="39" t="str">
        <f>IF(AND(B1483&lt;=NKC!$N$8,B1483&gt;=NKC!$M$8),"x","")</f>
        <v/>
      </c>
      <c r="AB1483" s="821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95"/>
        <v/>
      </c>
      <c r="C1484" s="37"/>
      <c r="D1484" s="37"/>
      <c r="E1484" s="731"/>
      <c r="F1484" s="189"/>
      <c r="G1484" s="40"/>
      <c r="H1484" s="7"/>
      <c r="I1484" s="256"/>
      <c r="J1484" s="256"/>
      <c r="K1484" s="568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902" t="str">
        <f>IF(AND('341-CT'!$E$9=H1484,OR(LEFT(L1484,3)=$O$7,LEFT(M1484,3)=$O$7)),"x","")</f>
        <v/>
      </c>
      <c r="P1484" s="39" t="str">
        <f>IF(AND($B1484&gt;='111'!$N$11,$B1484&lt;='111'!$O$11,OR($L1484=$P$7,$M1484=$P$7)),"x","")</f>
        <v/>
      </c>
      <c r="Q1484" s="39" t="str">
        <f>IF(AND($L1484=$P$7,$B1484&lt;'111'!$N$11),"x","")</f>
        <v/>
      </c>
      <c r="R1484" s="39" t="str">
        <f>IF(AND($M1484=$P$7,$B1484&lt;'111'!$N$11),"x","")</f>
        <v/>
      </c>
      <c r="S1484" s="39" t="str">
        <f>IF(ISERROR(FIND('112'!$M$9,G1484,1)),"",IF((AND(FIND('112'!$M$9,G1484,1)&gt;=1,$B1484&gt;='112'!$N$8,$B1484&lt;='112'!$O$8,OR($L1484='112'!$I$6,$M1484='112'!$I$6))),"x",""))</f>
        <v/>
      </c>
      <c r="T1484" s="39" t="str">
        <f>IF(ISERROR(FIND('112'!$M$9,G1484,1)),"",IF((AND(LEFT(G1484,2)=LEFT('112'!$M$9,2),B1484&lt;'112'!$N$8,$L1484='112'!$I$6)),"x",""))</f>
        <v/>
      </c>
      <c r="U1484" s="39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39" t="str">
        <f>IF(OR(TH!L1484=TH!$W$7,M1484=TH!$W$7),"x","")</f>
        <v/>
      </c>
      <c r="X1484" s="39" t="str">
        <f>IF(AND(B1484&gt;='IN-NX'!$P$3,B1484&lt;='IN-NX'!$Q$3,'IN-NX'!$D$7=D1484,OR(LEFT(L1484,2)="15",AND(LEFT(M1484,2)&lt;&gt;"15",LEFT(M1484,2)&lt;&gt;"33"))),"x","")</f>
        <v/>
      </c>
      <c r="Y1484" s="39" t="str">
        <f>IF(AND(OR(LEFT(TH!L1484,2)="15",LEFT(TH!M1484,2)="15"),'152-CT'!$J$8=TH!F1484),"x","")</f>
        <v/>
      </c>
      <c r="Z1484" s="39" t="str">
        <f>IF(AND(OR(LEFT(TH!L1484,2)="15",LEFT(TH!M1484,2)="15"),TK!$E$7=TH!F1484),"x","")</f>
        <v/>
      </c>
      <c r="AA1484" s="39" t="str">
        <f>IF(AND(B1484&lt;=NKC!$N$8,B1484&gt;=NKC!$M$8),"x","")</f>
        <v/>
      </c>
      <c r="AB1484" s="821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95"/>
        <v/>
      </c>
      <c r="C1485" s="37"/>
      <c r="D1485" s="37"/>
      <c r="E1485" s="731"/>
      <c r="F1485" s="189"/>
      <c r="G1485" s="40"/>
      <c r="H1485" s="7"/>
      <c r="I1485" s="256"/>
      <c r="J1485" s="256"/>
      <c r="K1485" s="568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902" t="str">
        <f>IF(AND('341-CT'!$E$9=H1485,OR(LEFT(L1485,3)=$O$7,LEFT(M1485,3)=$O$7)),"x","")</f>
        <v/>
      </c>
      <c r="P1485" s="39" t="str">
        <f>IF(AND($B1485&gt;='111'!$N$11,$B1485&lt;='111'!$O$11,OR($L1485=$P$7,$M1485=$P$7)),"x","")</f>
        <v/>
      </c>
      <c r="Q1485" s="39" t="str">
        <f>IF(AND($L1485=$P$7,$B1485&lt;'111'!$N$11),"x","")</f>
        <v/>
      </c>
      <c r="R1485" s="39" t="str">
        <f>IF(AND($M1485=$P$7,$B1485&lt;'111'!$N$11),"x","")</f>
        <v/>
      </c>
      <c r="S1485" s="39" t="str">
        <f>IF(ISERROR(FIND('112'!$M$9,G1485,1)),"",IF((AND(FIND('112'!$M$9,G1485,1)&gt;=1,$B1485&gt;='112'!$N$8,$B1485&lt;='112'!$O$8,OR($L1485='112'!$I$6,$M1485='112'!$I$6))),"x",""))</f>
        <v/>
      </c>
      <c r="T1485" s="39" t="str">
        <f>IF(ISERROR(FIND('112'!$M$9,G1485,1)),"",IF((AND(LEFT(G1485,2)=LEFT('112'!$M$9,2),B1485&lt;'112'!$N$8,$L1485='112'!$I$6)),"x",""))</f>
        <v/>
      </c>
      <c r="U1485" s="39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39" t="str">
        <f>IF(OR(TH!L1485=TH!$W$7,M1485=TH!$W$7),"x","")</f>
        <v/>
      </c>
      <c r="X1485" s="39" t="str">
        <f>IF(AND(B1485&gt;='IN-NX'!$P$3,B1485&lt;='IN-NX'!$Q$3,'IN-NX'!$D$7=D1485,OR(LEFT(L1485,2)="15",AND(LEFT(M1485,2)&lt;&gt;"15",LEFT(M1485,2)&lt;&gt;"33"))),"x","")</f>
        <v/>
      </c>
      <c r="Y1485" s="39" t="str">
        <f>IF(AND(OR(LEFT(TH!L1485,2)="15",LEFT(TH!M1485,2)="15"),'152-CT'!$J$8=TH!F1485),"x","")</f>
        <v/>
      </c>
      <c r="Z1485" s="39" t="str">
        <f>IF(AND(OR(LEFT(TH!L1485,2)="15",LEFT(TH!M1485,2)="15"),TK!$E$7=TH!F1485),"x","")</f>
        <v/>
      </c>
      <c r="AA1485" s="39" t="str">
        <f>IF(AND(B1485&lt;=NKC!$N$8,B1485&gt;=NKC!$M$8),"x","")</f>
        <v/>
      </c>
      <c r="AB1485" s="821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95"/>
        <v/>
      </c>
      <c r="C1486" s="37"/>
      <c r="D1486" s="37"/>
      <c r="E1486" s="731"/>
      <c r="F1486" s="189"/>
      <c r="G1486" s="40"/>
      <c r="H1486" s="7"/>
      <c r="I1486" s="256"/>
      <c r="J1486" s="256"/>
      <c r="K1486" s="568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902" t="str">
        <f>IF(AND('341-CT'!$E$9=H1486,OR(LEFT(L1486,3)=$O$7,LEFT(M1486,3)=$O$7)),"x","")</f>
        <v/>
      </c>
      <c r="P1486" s="39" t="str">
        <f>IF(AND($B1486&gt;='111'!$N$11,$B1486&lt;='111'!$O$11,OR($L1486=$P$7,$M1486=$P$7)),"x","")</f>
        <v/>
      </c>
      <c r="Q1486" s="39" t="str">
        <f>IF(AND($L1486=$P$7,$B1486&lt;'111'!$N$11),"x","")</f>
        <v/>
      </c>
      <c r="R1486" s="39" t="str">
        <f>IF(AND($M1486=$P$7,$B1486&lt;'111'!$N$11),"x","")</f>
        <v/>
      </c>
      <c r="S1486" s="39" t="str">
        <f>IF(ISERROR(FIND('112'!$M$9,G1486,1)),"",IF((AND(FIND('112'!$M$9,G1486,1)&gt;=1,$B1486&gt;='112'!$N$8,$B1486&lt;='112'!$O$8,OR($L1486='112'!$I$6,$M1486='112'!$I$6))),"x",""))</f>
        <v/>
      </c>
      <c r="T1486" s="39" t="str">
        <f>IF(ISERROR(FIND('112'!$M$9,G1486,1)),"",IF((AND(LEFT(G1486,2)=LEFT('112'!$M$9,2),B1486&lt;'112'!$N$8,$L1486='112'!$I$6)),"x",""))</f>
        <v/>
      </c>
      <c r="U1486" s="39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39" t="str">
        <f>IF(OR(TH!L1486=TH!$W$7,M1486=TH!$W$7),"x","")</f>
        <v/>
      </c>
      <c r="X1486" s="39" t="str">
        <f>IF(AND(B1486&gt;='IN-NX'!$P$3,B1486&lt;='IN-NX'!$Q$3,'IN-NX'!$D$7=D1486,OR(LEFT(L1486,2)="15",AND(LEFT(M1486,2)&lt;&gt;"15",LEFT(M1486,2)&lt;&gt;"33"))),"x","")</f>
        <v/>
      </c>
      <c r="Y1486" s="39" t="str">
        <f>IF(AND(OR(LEFT(TH!L1486,2)="15",LEFT(TH!M1486,2)="15"),'152-CT'!$J$8=TH!F1486),"x","")</f>
        <v/>
      </c>
      <c r="Z1486" s="39" t="str">
        <f>IF(AND(OR(LEFT(TH!L1486,2)="15",LEFT(TH!M1486,2)="15"),TK!$E$7=TH!F1486),"x","")</f>
        <v/>
      </c>
      <c r="AA1486" s="39" t="str">
        <f>IF(AND(B1486&lt;=NKC!$N$8,B1486&gt;=NKC!$M$8),"x","")</f>
        <v/>
      </c>
      <c r="AB1486" s="821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95"/>
        <v/>
      </c>
      <c r="C1487" s="37"/>
      <c r="D1487" s="37"/>
      <c r="E1487" s="731"/>
      <c r="F1487" s="189"/>
      <c r="G1487" s="40"/>
      <c r="H1487" s="7"/>
      <c r="I1487" s="256"/>
      <c r="J1487" s="256"/>
      <c r="K1487" s="568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902" t="str">
        <f>IF(AND('341-CT'!$E$9=H1487,OR(LEFT(L1487,3)=$O$7,LEFT(M1487,3)=$O$7)),"x","")</f>
        <v/>
      </c>
      <c r="P1487" s="39" t="str">
        <f>IF(AND($B1487&gt;='111'!$N$11,$B1487&lt;='111'!$O$11,OR($L1487=$P$7,$M1487=$P$7)),"x","")</f>
        <v/>
      </c>
      <c r="Q1487" s="39" t="str">
        <f>IF(AND($L1487=$P$7,$B1487&lt;'111'!$N$11),"x","")</f>
        <v/>
      </c>
      <c r="R1487" s="39" t="str">
        <f>IF(AND($M1487=$P$7,$B1487&lt;'111'!$N$11),"x","")</f>
        <v/>
      </c>
      <c r="S1487" s="39" t="str">
        <f>IF(ISERROR(FIND('112'!$M$9,G1487,1)),"",IF((AND(FIND('112'!$M$9,G1487,1)&gt;=1,$B1487&gt;='112'!$N$8,$B1487&lt;='112'!$O$8,OR($L1487='112'!$I$6,$M1487='112'!$I$6))),"x",""))</f>
        <v/>
      </c>
      <c r="T1487" s="39" t="str">
        <f>IF(ISERROR(FIND('112'!$M$9,G1487,1)),"",IF((AND(LEFT(G1487,2)=LEFT('112'!$M$9,2),B1487&lt;'112'!$N$8,$L1487='112'!$I$6)),"x",""))</f>
        <v/>
      </c>
      <c r="U1487" s="39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39" t="str">
        <f>IF(OR(TH!L1487=TH!$W$7,M1487=TH!$W$7),"x","")</f>
        <v/>
      </c>
      <c r="X1487" s="39" t="str">
        <f>IF(AND(B1487&gt;='IN-NX'!$P$3,B1487&lt;='IN-NX'!$Q$3,'IN-NX'!$D$7=D1487,OR(LEFT(L1487,2)="15",AND(LEFT(M1487,2)&lt;&gt;"15",LEFT(M1487,2)&lt;&gt;"33"))),"x","")</f>
        <v/>
      </c>
      <c r="Y1487" s="39" t="str">
        <f>IF(AND(OR(LEFT(TH!L1487,2)="15",LEFT(TH!M1487,2)="15"),'152-CT'!$J$8=TH!F1487),"x","")</f>
        <v/>
      </c>
      <c r="Z1487" s="39" t="str">
        <f>IF(AND(OR(LEFT(TH!L1487,2)="15",LEFT(TH!M1487,2)="15"),TK!$E$7=TH!F1487),"x","")</f>
        <v/>
      </c>
      <c r="AA1487" s="39" t="str">
        <f>IF(AND(B1487&lt;=NKC!$N$8,B1487&gt;=NKC!$M$8),"x","")</f>
        <v/>
      </c>
      <c r="AB1487" s="821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95"/>
        <v/>
      </c>
      <c r="C1488" s="37"/>
      <c r="D1488" s="37"/>
      <c r="E1488" s="731"/>
      <c r="F1488" s="189"/>
      <c r="G1488" s="40"/>
      <c r="H1488" s="7"/>
      <c r="I1488" s="256"/>
      <c r="J1488" s="256"/>
      <c r="K1488" s="568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902" t="str">
        <f>IF(AND('341-CT'!$E$9=H1488,OR(LEFT(L1488,3)=$O$7,LEFT(M1488,3)=$O$7)),"x","")</f>
        <v/>
      </c>
      <c r="P1488" s="39" t="str">
        <f>IF(AND($B1488&gt;='111'!$N$11,$B1488&lt;='111'!$O$11,OR($L1488=$P$7,$M1488=$P$7)),"x","")</f>
        <v/>
      </c>
      <c r="Q1488" s="39" t="str">
        <f>IF(AND($L1488=$P$7,$B1488&lt;'111'!$N$11),"x","")</f>
        <v/>
      </c>
      <c r="R1488" s="39" t="str">
        <f>IF(AND($M1488=$P$7,$B1488&lt;'111'!$N$11),"x","")</f>
        <v/>
      </c>
      <c r="S1488" s="39" t="str">
        <f>IF(ISERROR(FIND('112'!$M$9,G1488,1)),"",IF((AND(FIND('112'!$M$9,G1488,1)&gt;=1,$B1488&gt;='112'!$N$8,$B1488&lt;='112'!$O$8,OR($L1488='112'!$I$6,$M1488='112'!$I$6))),"x",""))</f>
        <v/>
      </c>
      <c r="T1488" s="39" t="str">
        <f>IF(ISERROR(FIND('112'!$M$9,G1488,1)),"",IF((AND(LEFT(G1488,2)=LEFT('112'!$M$9,2),B1488&lt;'112'!$N$8,$L1488='112'!$I$6)),"x",""))</f>
        <v/>
      </c>
      <c r="U1488" s="39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39" t="str">
        <f>IF(OR(TH!L1488=TH!$W$7,M1488=TH!$W$7),"x","")</f>
        <v/>
      </c>
      <c r="X1488" s="39" t="str">
        <f>IF(AND(B1488&gt;='IN-NX'!$P$3,B1488&lt;='IN-NX'!$Q$3,'IN-NX'!$D$7=D1488,OR(LEFT(L1488,2)="15",AND(LEFT(M1488,2)&lt;&gt;"15",LEFT(M1488,2)&lt;&gt;"33"))),"x","")</f>
        <v/>
      </c>
      <c r="Y1488" s="39" t="str">
        <f>IF(AND(OR(LEFT(TH!L1488,2)="15",LEFT(TH!M1488,2)="15"),'152-CT'!$J$8=TH!F1488),"x","")</f>
        <v/>
      </c>
      <c r="Z1488" s="39" t="str">
        <f>IF(AND(OR(LEFT(TH!L1488,2)="15",LEFT(TH!M1488,2)="15"),TK!$E$7=TH!F1488),"x","")</f>
        <v/>
      </c>
      <c r="AA1488" s="39" t="str">
        <f>IF(AND(B1488&lt;=NKC!$N$8,B1488&gt;=NKC!$M$8),"x","")</f>
        <v/>
      </c>
      <c r="AB1488" s="821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95"/>
        <v/>
      </c>
      <c r="C1489" s="37"/>
      <c r="D1489" s="37"/>
      <c r="E1489" s="731"/>
      <c r="F1489" s="189"/>
      <c r="G1489" s="40"/>
      <c r="H1489" s="7"/>
      <c r="I1489" s="256"/>
      <c r="J1489" s="256"/>
      <c r="K1489" s="568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902" t="str">
        <f>IF(AND('341-CT'!$E$9=H1489,OR(LEFT(L1489,3)=$O$7,LEFT(M1489,3)=$O$7)),"x","")</f>
        <v/>
      </c>
      <c r="P1489" s="39" t="str">
        <f>IF(AND($B1489&gt;='111'!$N$11,$B1489&lt;='111'!$O$11,OR($L1489=$P$7,$M1489=$P$7)),"x","")</f>
        <v/>
      </c>
      <c r="Q1489" s="39" t="str">
        <f>IF(AND($L1489=$P$7,$B1489&lt;'111'!$N$11),"x","")</f>
        <v/>
      </c>
      <c r="R1489" s="39" t="str">
        <f>IF(AND($M1489=$P$7,$B1489&lt;'111'!$N$11),"x","")</f>
        <v/>
      </c>
      <c r="S1489" s="39" t="str">
        <f>IF(ISERROR(FIND('112'!$M$9,G1489,1)),"",IF((AND(FIND('112'!$M$9,G1489,1)&gt;=1,$B1489&gt;='112'!$N$8,$B1489&lt;='112'!$O$8,OR($L1489='112'!$I$6,$M1489='112'!$I$6))),"x",""))</f>
        <v/>
      </c>
      <c r="T1489" s="39" t="str">
        <f>IF(ISERROR(FIND('112'!$M$9,G1489,1)),"",IF((AND(LEFT(G1489,2)=LEFT('112'!$M$9,2),B1489&lt;'112'!$N$8,$L1489='112'!$I$6)),"x",""))</f>
        <v/>
      </c>
      <c r="U1489" s="39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39" t="str">
        <f>IF(OR(TH!L1489=TH!$W$7,M1489=TH!$W$7),"x","")</f>
        <v/>
      </c>
      <c r="X1489" s="39" t="str">
        <f>IF(AND(B1489&gt;='IN-NX'!$P$3,B1489&lt;='IN-NX'!$Q$3,'IN-NX'!$D$7=D1489,OR(LEFT(L1489,2)="15",AND(LEFT(M1489,2)&lt;&gt;"15",LEFT(M1489,2)&lt;&gt;"33"))),"x","")</f>
        <v/>
      </c>
      <c r="Y1489" s="39" t="str">
        <f>IF(AND(OR(LEFT(TH!L1489,2)="15",LEFT(TH!M1489,2)="15"),'152-CT'!$J$8=TH!F1489),"x","")</f>
        <v/>
      </c>
      <c r="Z1489" s="39" t="str">
        <f>IF(AND(OR(LEFT(TH!L1489,2)="15",LEFT(TH!M1489,2)="15"),TK!$E$7=TH!F1489),"x","")</f>
        <v/>
      </c>
      <c r="AA1489" s="39" t="str">
        <f>IF(AND(B1489&lt;=NKC!$N$8,B1489&gt;=NKC!$M$8),"x","")</f>
        <v/>
      </c>
      <c r="AB1489" s="821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95"/>
        <v/>
      </c>
      <c r="C1490" s="184"/>
      <c r="D1490" s="184"/>
      <c r="E1490" s="184"/>
      <c r="F1490" s="189"/>
      <c r="G1490" s="570"/>
      <c r="H1490" s="193"/>
      <c r="I1490" s="256"/>
      <c r="J1490" s="256"/>
      <c r="K1490" s="568"/>
      <c r="L1490" s="569"/>
      <c r="M1490" s="194"/>
      <c r="N1490" s="39" t="str">
        <f>IF(AND('331-CT'!$E$7=TH!H1490,OR(L1490="331",M1490="331")),"331",IF(AND(OR(L1490="131",M1490="131"),H1490='131-CT'!$E$7),"131",""))</f>
        <v/>
      </c>
      <c r="O1490" s="902" t="str">
        <f>IF(AND('341-CT'!$E$9=H1490,OR(LEFT(L1490,3)=$O$7,LEFT(M1490,3)=$O$7)),"x","")</f>
        <v/>
      </c>
      <c r="P1490" s="39" t="str">
        <f>IF(AND($B1490&gt;='111'!$N$11,$B1490&lt;='111'!$O$11,OR($L1490=$P$7,$M1490=$P$7)),"x","")</f>
        <v/>
      </c>
      <c r="Q1490" s="39" t="str">
        <f>IF(AND($L1490=$P$7,$B1490&lt;'111'!$N$11),"x","")</f>
        <v/>
      </c>
      <c r="R1490" s="39" t="str">
        <f>IF(AND($M1490=$P$7,$B1490&lt;'111'!$N$11),"x","")</f>
        <v/>
      </c>
      <c r="S1490" s="39" t="str">
        <f>IF(ISERROR(FIND('112'!$M$9,G1490,1)),"",IF((AND(FIND('112'!$M$9,G1490,1)&gt;=1,$B1490&gt;='112'!$N$8,$B1490&lt;='112'!$O$8,OR($L1490='112'!$I$6,$M1490='112'!$I$6))),"x",""))</f>
        <v/>
      </c>
      <c r="T1490" s="39" t="str">
        <f>IF(ISERROR(FIND('112'!$M$9,G1490,1)),"",IF((AND(LEFT(G1490,2)=LEFT('112'!$M$9,2),B1490&lt;'112'!$N$8,$L1490='112'!$I$6)),"x",""))</f>
        <v/>
      </c>
      <c r="U1490" s="39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39" t="str">
        <f>IF(OR(TH!L1490=TH!$W$7,M1490=TH!$W$7),"x","")</f>
        <v/>
      </c>
      <c r="X1490" s="39" t="str">
        <f>IF(AND(B1490&gt;='IN-NX'!$P$3,B1490&lt;='IN-NX'!$Q$3,'IN-NX'!$D$7=D1490,OR(LEFT(L1490,2)="15",AND(LEFT(M1490,2)&lt;&gt;"15",LEFT(M1490,2)&lt;&gt;"33"))),"x","")</f>
        <v/>
      </c>
      <c r="Y1490" s="39" t="str">
        <f>IF(AND(OR(LEFT(TH!L1490,2)="15",LEFT(TH!M1490,2)="15"),'152-CT'!$J$8=TH!F1490),"x","")</f>
        <v/>
      </c>
      <c r="Z1490" s="39" t="str">
        <f>IF(AND(OR(LEFT(TH!L1490,2)="15",LEFT(TH!M1490,2)="15"),TK!$E$7=TH!F1490),"x","")</f>
        <v/>
      </c>
      <c r="AA1490" s="39" t="str">
        <f>IF(AND(B1490&lt;=NKC!$N$8,B1490&gt;=NKC!$M$8),"x","")</f>
        <v/>
      </c>
      <c r="AB1490" s="821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95"/>
        <v/>
      </c>
      <c r="C1491" s="191"/>
      <c r="D1491" s="184"/>
      <c r="E1491" s="191"/>
      <c r="F1491" s="192"/>
      <c r="G1491" s="468"/>
      <c r="H1491" s="193"/>
      <c r="I1491" s="256"/>
      <c r="J1491" s="256"/>
      <c r="K1491" s="38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902" t="str">
        <f>IF(AND('341-CT'!$E$9=H1491,OR(LEFT(L1491,3)=$O$7,LEFT(M1491,3)=$O$7)),"x","")</f>
        <v/>
      </c>
      <c r="P1491" s="39" t="str">
        <f>IF(AND($B1491&gt;='111'!$N$11,$B1491&lt;='111'!$O$11,OR($L1491=$P$7,$M1491=$P$7)),"x","")</f>
        <v/>
      </c>
      <c r="Q1491" s="39" t="str">
        <f>IF(AND($L1491=$P$7,$B1491&lt;'111'!$N$11),"x","")</f>
        <v/>
      </c>
      <c r="R1491" s="39" t="str">
        <f>IF(AND($M1491=$P$7,$B1491&lt;'111'!$N$11),"x","")</f>
        <v/>
      </c>
      <c r="S1491" s="39" t="str">
        <f>IF(ISERROR(FIND('112'!$M$9,G1491,1)),"",IF((AND(FIND('112'!$M$9,G1491,1)&gt;=1,$B1491&gt;='112'!$N$8,$B1491&lt;='112'!$O$8,OR($L1491='112'!$I$6,$M1491='112'!$I$6))),"x",""))</f>
        <v/>
      </c>
      <c r="T1491" s="39" t="str">
        <f>IF(ISERROR(FIND('112'!$M$9,G1491,1)),"",IF((AND(LEFT(G1491,2)=LEFT('112'!$M$9,2),B1491&lt;'112'!$N$8,$L1491='112'!$I$6)),"x",""))</f>
        <v/>
      </c>
      <c r="U1491" s="39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39" t="str">
        <f>IF(OR(TH!L1491=TH!$W$7,M1491=TH!$W$7),"x","")</f>
        <v/>
      </c>
      <c r="X1491" s="39" t="str">
        <f>IF(AND(B1491&gt;='IN-NX'!$P$3,B1491&lt;='IN-NX'!$Q$3,'IN-NX'!$D$7=D1491,OR(LEFT(L1491,2)="15",AND(LEFT(M1491,2)&lt;&gt;"15",LEFT(M1491,2)&lt;&gt;"33"))),"x","")</f>
        <v/>
      </c>
      <c r="Y1491" s="39" t="str">
        <f>IF(AND(OR(LEFT(TH!L1491,2)="15",LEFT(TH!M1491,2)="15"),'152-CT'!$J$8=TH!F1491),"x","")</f>
        <v/>
      </c>
      <c r="Z1491" s="39" t="str">
        <f>IF(AND(OR(LEFT(TH!L1491,2)="15",LEFT(TH!M1491,2)="15"),TK!$E$7=TH!F1491),"x","")</f>
        <v/>
      </c>
      <c r="AA1491" s="39" t="str">
        <f>IF(AND(B1491&lt;=NKC!$N$8,B1491&gt;=NKC!$M$8),"x","")</f>
        <v/>
      </c>
      <c r="AB1491" s="821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95"/>
        <v/>
      </c>
      <c r="C1492" s="191"/>
      <c r="D1492" s="184"/>
      <c r="E1492" s="191"/>
      <c r="F1492" s="192"/>
      <c r="G1492" s="468"/>
      <c r="H1492" s="193"/>
      <c r="I1492" s="256"/>
      <c r="J1492" s="256"/>
      <c r="K1492" s="38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902" t="str">
        <f>IF(AND('341-CT'!$E$9=H1492,OR(LEFT(L1492,3)=$O$7,LEFT(M1492,3)=$O$7)),"x","")</f>
        <v/>
      </c>
      <c r="P1492" s="39" t="str">
        <f>IF(AND($B1492&gt;='111'!$N$11,$B1492&lt;='111'!$O$11,OR($L1492=$P$7,$M1492=$P$7)),"x","")</f>
        <v/>
      </c>
      <c r="Q1492" s="39" t="str">
        <f>IF(AND($L1492=$P$7,$B1492&lt;'111'!$N$11),"x","")</f>
        <v/>
      </c>
      <c r="R1492" s="39" t="str">
        <f>IF(AND($M1492=$P$7,$B1492&lt;'111'!$N$11),"x","")</f>
        <v/>
      </c>
      <c r="S1492" s="39" t="str">
        <f>IF(ISERROR(FIND('112'!$M$9,G1492,1)),"",IF((AND(FIND('112'!$M$9,G1492,1)&gt;=1,$B1492&gt;='112'!$N$8,$B1492&lt;='112'!$O$8,OR($L1492='112'!$I$6,$M1492='112'!$I$6))),"x",""))</f>
        <v/>
      </c>
      <c r="T1492" s="39" t="str">
        <f>IF(ISERROR(FIND('112'!$M$9,G1492,1)),"",IF((AND(LEFT(G1492,2)=LEFT('112'!$M$9,2),B1492&lt;'112'!$N$8,$L1492='112'!$I$6)),"x",""))</f>
        <v/>
      </c>
      <c r="U1492" s="39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39" t="str">
        <f>IF(OR(TH!L1492=TH!$W$7,M1492=TH!$W$7),"x","")</f>
        <v/>
      </c>
      <c r="X1492" s="39" t="str">
        <f>IF(AND(B1492&gt;='IN-NX'!$P$3,B1492&lt;='IN-NX'!$Q$3,'IN-NX'!$D$7=D1492,OR(LEFT(L1492,2)="15",AND(LEFT(M1492,2)&lt;&gt;"15",LEFT(M1492,2)&lt;&gt;"33"))),"x","")</f>
        <v/>
      </c>
      <c r="Y1492" s="39" t="str">
        <f>IF(AND(OR(LEFT(TH!L1492,2)="15",LEFT(TH!M1492,2)="15"),'152-CT'!$J$8=TH!F1492),"x","")</f>
        <v/>
      </c>
      <c r="Z1492" s="39" t="str">
        <f>IF(AND(OR(LEFT(TH!L1492,2)="15",LEFT(TH!M1492,2)="15"),TK!$E$7=TH!F1492),"x","")</f>
        <v/>
      </c>
      <c r="AA1492" s="39" t="str">
        <f>IF(AND(B1492&lt;=NKC!$N$8,B1492&gt;=NKC!$M$8),"x","")</f>
        <v/>
      </c>
      <c r="AB1492" s="821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95"/>
        <v/>
      </c>
      <c r="C1493" s="191"/>
      <c r="D1493" s="191"/>
      <c r="E1493" s="191"/>
      <c r="F1493" s="192"/>
      <c r="G1493" s="468"/>
      <c r="H1493" s="193"/>
      <c r="I1493" s="256"/>
      <c r="J1493" s="256"/>
      <c r="K1493" s="568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902" t="str">
        <f>IF(AND('341-CT'!$E$9=H1493,OR(LEFT(L1493,3)=$O$7,LEFT(M1493,3)=$O$7)),"x","")</f>
        <v/>
      </c>
      <c r="P1493" s="39" t="str">
        <f>IF(AND($B1493&gt;='111'!$N$11,$B1493&lt;='111'!$O$11,OR($L1493=$P$7,$M1493=$P$7)),"x","")</f>
        <v/>
      </c>
      <c r="Q1493" s="39" t="str">
        <f>IF(AND($L1493=$P$7,$B1493&lt;'111'!$N$11),"x","")</f>
        <v/>
      </c>
      <c r="R1493" s="39" t="str">
        <f>IF(AND($M1493=$P$7,$B1493&lt;'111'!$N$11),"x","")</f>
        <v/>
      </c>
      <c r="S1493" s="39" t="str">
        <f>IF(ISERROR(FIND('112'!$M$9,G1493,1)),"",IF((AND(FIND('112'!$M$9,G1493,1)&gt;=1,$B1493&gt;='112'!$N$8,$B1493&lt;='112'!$O$8,OR($L1493='112'!$I$6,$M1493='112'!$I$6))),"x",""))</f>
        <v/>
      </c>
      <c r="T1493" s="39" t="str">
        <f>IF(ISERROR(FIND('112'!$M$9,G1493,1)),"",IF((AND(LEFT(G1493,2)=LEFT('112'!$M$9,2),B1493&lt;'112'!$N$8,$L1493='112'!$I$6)),"x",""))</f>
        <v/>
      </c>
      <c r="U1493" s="39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39" t="str">
        <f>IF(OR(TH!L1493=TH!$W$7,M1493=TH!$W$7),"x","")</f>
        <v/>
      </c>
      <c r="X1493" s="39" t="str">
        <f>IF(AND(B1493&gt;='IN-NX'!$P$3,B1493&lt;='IN-NX'!$Q$3,'IN-NX'!$D$7=D1493,OR(LEFT(L1493,2)="15",AND(LEFT(M1493,2)&lt;&gt;"15",LEFT(M1493,2)&lt;&gt;"33"))),"x","")</f>
        <v/>
      </c>
      <c r="Y1493" s="39" t="str">
        <f>IF(AND(OR(LEFT(TH!L1493,2)="15",LEFT(TH!M1493,2)="15"),'152-CT'!$J$8=TH!F1493),"x","")</f>
        <v/>
      </c>
      <c r="Z1493" s="39" t="str">
        <f>IF(AND(OR(LEFT(TH!L1493,2)="15",LEFT(TH!M1493,2)="15"),TK!$E$7=TH!F1493),"x","")</f>
        <v/>
      </c>
      <c r="AA1493" s="39" t="str">
        <f>IF(AND(B1493&lt;=NKC!$N$8,B1493&gt;=NKC!$M$8),"x","")</f>
        <v/>
      </c>
      <c r="AB1493" s="821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95"/>
        <v/>
      </c>
      <c r="C1494" s="191"/>
      <c r="D1494" s="191"/>
      <c r="E1494" s="191"/>
      <c r="F1494" s="192"/>
      <c r="G1494" s="468"/>
      <c r="H1494" s="193"/>
      <c r="I1494" s="256"/>
      <c r="J1494" s="256"/>
      <c r="K1494" s="568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902" t="str">
        <f>IF(AND('341-CT'!$E$9=H1494,OR(LEFT(L1494,3)=$O$7,LEFT(M1494,3)=$O$7)),"x","")</f>
        <v/>
      </c>
      <c r="P1494" s="39" t="str">
        <f>IF(AND($B1494&gt;='111'!$N$11,$B1494&lt;='111'!$O$11,OR($L1494=$P$7,$M1494=$P$7)),"x","")</f>
        <v/>
      </c>
      <c r="Q1494" s="39" t="str">
        <f>IF(AND($L1494=$P$7,$B1494&lt;'111'!$N$11),"x","")</f>
        <v/>
      </c>
      <c r="R1494" s="39" t="str">
        <f>IF(AND($M1494=$P$7,$B1494&lt;'111'!$N$11),"x","")</f>
        <v/>
      </c>
      <c r="S1494" s="39" t="str">
        <f>IF(ISERROR(FIND('112'!$M$9,G1494,1)),"",IF((AND(FIND('112'!$M$9,G1494,1)&gt;=1,$B1494&gt;='112'!$N$8,$B1494&lt;='112'!$O$8,OR($L1494='112'!$I$6,$M1494='112'!$I$6))),"x",""))</f>
        <v/>
      </c>
      <c r="T1494" s="39" t="str">
        <f>IF(ISERROR(FIND('112'!$M$9,G1494,1)),"",IF((AND(LEFT(G1494,2)=LEFT('112'!$M$9,2),B1494&lt;'112'!$N$8,$L1494='112'!$I$6)),"x",""))</f>
        <v/>
      </c>
      <c r="U1494" s="39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39" t="str">
        <f>IF(OR(TH!L1494=TH!$W$7,M1494=TH!$W$7),"x","")</f>
        <v/>
      </c>
      <c r="X1494" s="39" t="str">
        <f>IF(AND(B1494&gt;='IN-NX'!$P$3,B1494&lt;='IN-NX'!$Q$3,'IN-NX'!$D$7=D1494,OR(LEFT(L1494,2)="15",AND(LEFT(M1494,2)&lt;&gt;"15",LEFT(M1494,2)&lt;&gt;"33"))),"x","")</f>
        <v/>
      </c>
      <c r="Y1494" s="39" t="str">
        <f>IF(AND(OR(LEFT(TH!L1494,2)="15",LEFT(TH!M1494,2)="15"),'152-CT'!$J$8=TH!F1494),"x","")</f>
        <v/>
      </c>
      <c r="Z1494" s="39" t="str">
        <f>IF(AND(OR(LEFT(TH!L1494,2)="15",LEFT(TH!M1494,2)="15"),TK!$E$7=TH!F1494),"x","")</f>
        <v/>
      </c>
      <c r="AA1494" s="39" t="str">
        <f>IF(AND(B1494&lt;=NKC!$N$8,B1494&gt;=NKC!$M$8),"x","")</f>
        <v/>
      </c>
      <c r="AB1494" s="821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95"/>
        <v/>
      </c>
      <c r="C1495" s="191"/>
      <c r="D1495" s="191"/>
      <c r="E1495" s="191"/>
      <c r="F1495" s="192"/>
      <c r="G1495" s="468"/>
      <c r="H1495" s="193"/>
      <c r="I1495" s="256"/>
      <c r="J1495" s="256"/>
      <c r="K1495" s="568"/>
      <c r="L1495" s="194"/>
      <c r="M1495" s="194"/>
      <c r="N1495" s="39" t="str">
        <f>IF(AND('331-CT'!$E$7=TH!H1495,OR(L1495="331",M1495="331")),"331",IF(AND(OR(L1495="131",M1495="131"),H1495='131-CT'!$E$7),"131",""))</f>
        <v/>
      </c>
      <c r="O1495" s="902" t="str">
        <f>IF(AND('341-CT'!$E$9=H1495,OR(LEFT(L1495,3)=$O$7,LEFT(M1495,3)=$O$7)),"x","")</f>
        <v/>
      </c>
      <c r="P1495" s="39" t="str">
        <f>IF(AND($B1495&gt;='111'!$N$11,$B1495&lt;='111'!$O$11,OR($L1495=$P$7,$M1495=$P$7)),"x","")</f>
        <v/>
      </c>
      <c r="Q1495" s="39" t="str">
        <f>IF(AND($L1495=$P$7,$B1495&lt;'111'!$N$11),"x","")</f>
        <v/>
      </c>
      <c r="R1495" s="39" t="str">
        <f>IF(AND($M1495=$P$7,$B1495&lt;'111'!$N$11),"x","")</f>
        <v/>
      </c>
      <c r="S1495" s="39" t="str">
        <f>IF(ISERROR(FIND('112'!$M$9,G1495,1)),"",IF((AND(FIND('112'!$M$9,G1495,1)&gt;=1,$B1495&gt;='112'!$N$8,$B1495&lt;='112'!$O$8,OR($L1495='112'!$I$6,$M1495='112'!$I$6))),"x",""))</f>
        <v/>
      </c>
      <c r="T1495" s="39" t="str">
        <f>IF(ISERROR(FIND('112'!$M$9,G1495,1)),"",IF((AND(LEFT(G1495,2)=LEFT('112'!$M$9,2),B1495&lt;'112'!$N$8,$L1495='112'!$I$6)),"x",""))</f>
        <v/>
      </c>
      <c r="U1495" s="39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39" t="str">
        <f>IF(OR(TH!L1495=TH!$W$7,M1495=TH!$W$7),"x","")</f>
        <v/>
      </c>
      <c r="X1495" s="39" t="str">
        <f>IF(AND(B1495&gt;='IN-NX'!$P$3,B1495&lt;='IN-NX'!$Q$3,'IN-NX'!$D$7=D1495,OR(LEFT(L1495,2)="15",AND(LEFT(M1495,2)&lt;&gt;"15",LEFT(M1495,2)&lt;&gt;"33"))),"x","")</f>
        <v/>
      </c>
      <c r="Y1495" s="39" t="str">
        <f>IF(AND(OR(LEFT(TH!L1495,2)="15",LEFT(TH!M1495,2)="15"),'152-CT'!$J$8=TH!F1495),"x","")</f>
        <v/>
      </c>
      <c r="Z1495" s="39" t="str">
        <f>IF(AND(OR(LEFT(TH!L1495,2)="15",LEFT(TH!M1495,2)="15"),TK!$E$7=TH!F1495),"x","")</f>
        <v/>
      </c>
      <c r="AA1495" s="39" t="str">
        <f>IF(AND(B1495&lt;=NKC!$N$8,B1495&gt;=NKC!$M$8),"x","")</f>
        <v/>
      </c>
      <c r="AB1495" s="821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95"/>
        <v/>
      </c>
      <c r="C1496" s="37"/>
      <c r="D1496" s="37"/>
      <c r="E1496" s="37"/>
      <c r="F1496" s="40"/>
      <c r="G1496" s="40"/>
      <c r="H1496" s="7"/>
      <c r="I1496" s="256"/>
      <c r="J1496" s="256"/>
      <c r="K1496" s="568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902" t="str">
        <f>IF(AND('341-CT'!$E$9=H1496,OR(LEFT(L1496,3)=$O$7,LEFT(M1496,3)=$O$7)),"x","")</f>
        <v/>
      </c>
      <c r="P1496" s="39" t="str">
        <f>IF(AND($B1496&gt;='111'!$N$11,$B1496&lt;='111'!$O$11,OR($L1496=$P$7,$M1496=$P$7)),"x","")</f>
        <v/>
      </c>
      <c r="Q1496" s="39" t="str">
        <f>IF(AND($L1496=$P$7,$B1496&lt;'111'!$N$11),"x","")</f>
        <v/>
      </c>
      <c r="R1496" s="39" t="str">
        <f>IF(AND($M1496=$P$7,$B1496&lt;'111'!$N$11),"x","")</f>
        <v/>
      </c>
      <c r="S1496" s="39" t="str">
        <f>IF(ISERROR(FIND('112'!$M$9,G1496,1)),"",IF((AND(FIND('112'!$M$9,G1496,1)&gt;=1,$B1496&gt;='112'!$N$8,$B1496&lt;='112'!$O$8,OR($L1496='112'!$I$6,$M1496='112'!$I$6))),"x",""))</f>
        <v/>
      </c>
      <c r="T1496" s="39" t="str">
        <f>IF(ISERROR(FIND('112'!$M$9,G1496,1)),"",IF((AND(LEFT(G1496,2)=LEFT('112'!$M$9,2),B1496&lt;'112'!$N$8,$L1496='112'!$I$6)),"x",""))</f>
        <v/>
      </c>
      <c r="U1496" s="39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39" t="str">
        <f>IF(OR(TH!L1496=TH!$W$7,M1496=TH!$W$7),"x","")</f>
        <v/>
      </c>
      <c r="X1496" s="39" t="str">
        <f>IF(AND(B1496&gt;='IN-NX'!$P$3,B1496&lt;='IN-NX'!$Q$3,'IN-NX'!$D$7=D1496,OR(LEFT(L1496,2)="15",AND(LEFT(M1496,2)&lt;&gt;"15",LEFT(M1496,2)&lt;&gt;"33"))),"x","")</f>
        <v/>
      </c>
      <c r="Y1496" s="39" t="str">
        <f>IF(AND(OR(LEFT(TH!L1496,2)="15",LEFT(TH!M1496,2)="15"),'152-CT'!$J$8=TH!F1496),"x","")</f>
        <v/>
      </c>
      <c r="Z1496" s="39" t="str">
        <f>IF(AND(OR(LEFT(TH!L1496,2)="15",LEFT(TH!M1496,2)="15"),TK!$E$7=TH!F1496),"x","")</f>
        <v/>
      </c>
      <c r="AA1496" s="39" t="str">
        <f>IF(AND(B1496&lt;=NKC!$N$8,B1496&gt;=NKC!$M$8),"x","")</f>
        <v/>
      </c>
      <c r="AB1496" s="821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si="95"/>
        <v/>
      </c>
      <c r="C1497" s="37"/>
      <c r="D1497" s="37"/>
      <c r="E1497" s="37"/>
      <c r="F1497" s="40"/>
      <c r="G1497" s="40"/>
      <c r="H1497" s="7"/>
      <c r="I1497" s="256"/>
      <c r="J1497" s="256"/>
      <c r="K1497" s="568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902" t="str">
        <f>IF(AND('341-CT'!$E$9=H1497,OR(LEFT(L1497,3)=$O$7,LEFT(M1497,3)=$O$7)),"x","")</f>
        <v/>
      </c>
      <c r="P1497" s="39" t="str">
        <f>IF(AND($B1497&gt;='111'!$N$11,$B1497&lt;='111'!$O$11,OR($L1497=$P$7,$M1497=$P$7)),"x","")</f>
        <v/>
      </c>
      <c r="Q1497" s="39" t="str">
        <f>IF(AND($L1497=$P$7,$B1497&lt;'111'!$N$11),"x","")</f>
        <v/>
      </c>
      <c r="R1497" s="39" t="str">
        <f>IF(AND($M1497=$P$7,$B1497&lt;'111'!$N$11),"x","")</f>
        <v/>
      </c>
      <c r="S1497" s="39" t="str">
        <f>IF(ISERROR(FIND('112'!$M$9,G1497,1)),"",IF((AND(FIND('112'!$M$9,G1497,1)&gt;=1,$B1497&gt;='112'!$N$8,$B1497&lt;='112'!$O$8,OR($L1497='112'!$I$6,$M1497='112'!$I$6))),"x",""))</f>
        <v/>
      </c>
      <c r="T1497" s="39" t="str">
        <f>IF(ISERROR(FIND('112'!$M$9,G1497,1)),"",IF((AND(LEFT(G1497,2)=LEFT('112'!$M$9,2),B1497&lt;'112'!$N$8,$L1497='112'!$I$6)),"x",""))</f>
        <v/>
      </c>
      <c r="U1497" s="39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39" t="str">
        <f>IF(OR(TH!L1497=TH!$W$7,M1497=TH!$W$7),"x","")</f>
        <v/>
      </c>
      <c r="X1497" s="39" t="str">
        <f>IF(AND(B1497&gt;='IN-NX'!$P$3,B1497&lt;='IN-NX'!$Q$3,'IN-NX'!$D$7=D1497,OR(LEFT(L1497,2)="15",AND(LEFT(M1497,2)&lt;&gt;"15",LEFT(M1497,2)&lt;&gt;"33"))),"x","")</f>
        <v/>
      </c>
      <c r="Y1497" s="39" t="str">
        <f>IF(AND(OR(LEFT(TH!L1497,2)="15",LEFT(TH!M1497,2)="15"),'152-CT'!$J$8=TH!F1497),"x","")</f>
        <v/>
      </c>
      <c r="Z1497" s="39" t="str">
        <f>IF(AND(OR(LEFT(TH!L1497,2)="15",LEFT(TH!M1497,2)="15"),TK!$E$7=TH!F1497),"x","")</f>
        <v/>
      </c>
      <c r="AA1497" s="39" t="str">
        <f>IF(AND(B1497&lt;=NKC!$N$8,B1497&gt;=NKC!$M$8),"x","")</f>
        <v/>
      </c>
      <c r="AB1497" s="821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95"/>
        <v/>
      </c>
      <c r="C1498" s="184"/>
      <c r="D1498" s="184"/>
      <c r="E1498" s="184"/>
      <c r="F1498" s="189"/>
      <c r="G1498" s="570"/>
      <c r="H1498" s="193"/>
      <c r="I1498" s="256"/>
      <c r="J1498" s="256"/>
      <c r="K1498" s="568"/>
      <c r="L1498" s="569"/>
      <c r="M1498" s="569"/>
      <c r="N1498" s="39" t="str">
        <f>IF(AND('331-CT'!$E$7=TH!H1498,OR(L1498="331",M1498="331")),"331",IF(AND(OR(L1498="131",M1498="131"),H1498='131-CT'!$E$7),"131",""))</f>
        <v/>
      </c>
      <c r="O1498" s="902" t="str">
        <f>IF(AND('341-CT'!$E$9=H1498,OR(LEFT(L1498,3)=$O$7,LEFT(M1498,3)=$O$7)),"x","")</f>
        <v/>
      </c>
      <c r="P1498" s="39" t="str">
        <f>IF(AND($B1498&gt;='111'!$N$11,$B1498&lt;='111'!$O$11,OR($L1498=$P$7,$M1498=$P$7)),"x","")</f>
        <v/>
      </c>
      <c r="Q1498" s="39" t="str">
        <f>IF(AND($L1498=$P$7,$B1498&lt;'111'!$N$11),"x","")</f>
        <v/>
      </c>
      <c r="R1498" s="39" t="str">
        <f>IF(AND($M1498=$P$7,$B1498&lt;'111'!$N$11),"x","")</f>
        <v/>
      </c>
      <c r="S1498" s="39" t="str">
        <f>IF(ISERROR(FIND('112'!$M$9,G1498,1)),"",IF((AND(FIND('112'!$M$9,G1498,1)&gt;=1,$B1498&gt;='112'!$N$8,$B1498&lt;='112'!$O$8,OR($L1498='112'!$I$6,$M1498='112'!$I$6))),"x",""))</f>
        <v/>
      </c>
      <c r="T1498" s="39" t="str">
        <f>IF(ISERROR(FIND('112'!$M$9,G1498,1)),"",IF((AND(LEFT(G1498,2)=LEFT('112'!$M$9,2),B1498&lt;'112'!$N$8,$L1498='112'!$I$6)),"x",""))</f>
        <v/>
      </c>
      <c r="U1498" s="39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39" t="str">
        <f>IF(OR(TH!L1498=TH!$W$7,M1498=TH!$W$7),"x","")</f>
        <v/>
      </c>
      <c r="X1498" s="39" t="str">
        <f>IF(AND(B1498&gt;='IN-NX'!$P$3,B1498&lt;='IN-NX'!$Q$3,'IN-NX'!$D$7=D1498,OR(LEFT(L1498,2)="15",AND(LEFT(M1498,2)&lt;&gt;"15",LEFT(M1498,2)&lt;&gt;"33"))),"x","")</f>
        <v/>
      </c>
      <c r="Y1498" s="39" t="str">
        <f>IF(AND(OR(LEFT(TH!L1498,2)="15",LEFT(TH!M1498,2)="15"),'152-CT'!$J$8=TH!F1498),"x","")</f>
        <v/>
      </c>
      <c r="Z1498" s="39" t="str">
        <f>IF(AND(OR(LEFT(TH!L1498,2)="15",LEFT(TH!M1498,2)="15"),TK!$E$7=TH!F1498),"x","")</f>
        <v/>
      </c>
      <c r="AA1498" s="39" t="str">
        <f>IF(AND(B1498&lt;=NKC!$N$8,B1498&gt;=NKC!$M$8),"x","")</f>
        <v/>
      </c>
      <c r="AB1498" s="821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95"/>
        <v/>
      </c>
      <c r="C1499" s="184"/>
      <c r="D1499" s="184"/>
      <c r="E1499" s="184"/>
      <c r="F1499" s="189"/>
      <c r="G1499" s="570"/>
      <c r="H1499" s="7"/>
      <c r="I1499" s="256"/>
      <c r="J1499" s="256"/>
      <c r="K1499" s="568"/>
      <c r="L1499" s="569"/>
      <c r="M1499" s="569"/>
      <c r="N1499" s="39" t="str">
        <f>IF(AND('331-CT'!$E$7=TH!H1499,OR(L1499="331",M1499="331")),"331",IF(AND(OR(L1499="131",M1499="131"),H1499='131-CT'!$E$7),"131",""))</f>
        <v/>
      </c>
      <c r="O1499" s="902" t="str">
        <f>IF(AND('341-CT'!$E$9=H1499,OR(LEFT(L1499,3)=$O$7,LEFT(M1499,3)=$O$7)),"x","")</f>
        <v/>
      </c>
      <c r="P1499" s="39" t="str">
        <f>IF(AND($B1499&gt;='111'!$N$11,$B1499&lt;='111'!$O$11,OR($L1499=$P$7,$M1499=$P$7)),"x","")</f>
        <v/>
      </c>
      <c r="Q1499" s="39" t="str">
        <f>IF(AND($L1499=$P$7,$B1499&lt;'111'!$N$11),"x","")</f>
        <v/>
      </c>
      <c r="R1499" s="39" t="str">
        <f>IF(AND($M1499=$P$7,$B1499&lt;'111'!$N$11),"x","")</f>
        <v/>
      </c>
      <c r="S1499" s="39" t="str">
        <f>IF(ISERROR(FIND('112'!$M$9,G1499,1)),"",IF((AND(FIND('112'!$M$9,G1499,1)&gt;=1,$B1499&gt;='112'!$N$8,$B1499&lt;='112'!$O$8,OR($L1499='112'!$I$6,$M1499='112'!$I$6))),"x",""))</f>
        <v/>
      </c>
      <c r="T1499" s="39" t="str">
        <f>IF(ISERROR(FIND('112'!$M$9,G1499,1)),"",IF((AND(LEFT(G1499,2)=LEFT('112'!$M$9,2),B1499&lt;'112'!$N$8,$L1499='112'!$I$6)),"x",""))</f>
        <v/>
      </c>
      <c r="U1499" s="39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39" t="str">
        <f>IF(OR(TH!L1499=TH!$W$7,M1499=TH!$W$7),"x","")</f>
        <v/>
      </c>
      <c r="X1499" s="39" t="str">
        <f>IF(AND(B1499&gt;='IN-NX'!$P$3,B1499&lt;='IN-NX'!$Q$3,'IN-NX'!$D$7=D1499,OR(LEFT(L1499,2)="15",AND(LEFT(M1499,2)&lt;&gt;"15",LEFT(M1499,2)&lt;&gt;"33"))),"x","")</f>
        <v/>
      </c>
      <c r="Y1499" s="39" t="str">
        <f>IF(AND(OR(LEFT(TH!L1499,2)="15",LEFT(TH!M1499,2)="15"),'152-CT'!$J$8=TH!F1499),"x","")</f>
        <v/>
      </c>
      <c r="Z1499" s="39" t="str">
        <f>IF(AND(OR(LEFT(TH!L1499,2)="15",LEFT(TH!M1499,2)="15"),TK!$E$7=TH!F1499),"x","")</f>
        <v/>
      </c>
      <c r="AA1499" s="39" t="str">
        <f>IF(AND(B1499&lt;=NKC!$N$8,B1499&gt;=NKC!$M$8),"x","")</f>
        <v/>
      </c>
      <c r="AB1499" s="821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95"/>
        <v/>
      </c>
      <c r="C1500" s="184"/>
      <c r="D1500" s="184"/>
      <c r="E1500" s="184"/>
      <c r="F1500" s="189"/>
      <c r="G1500" s="570"/>
      <c r="H1500" s="7"/>
      <c r="I1500" s="256"/>
      <c r="J1500" s="256"/>
      <c r="K1500" s="568"/>
      <c r="L1500" s="569"/>
      <c r="M1500" s="569"/>
      <c r="N1500" s="39" t="str">
        <f>IF(AND('331-CT'!$E$7=TH!H1500,OR(L1500="331",M1500="331")),"331",IF(AND(OR(L1500="131",M1500="131"),H1500='131-CT'!$E$7),"131",""))</f>
        <v/>
      </c>
      <c r="O1500" s="902" t="str">
        <f>IF(AND('341-CT'!$E$9=H1500,OR(LEFT(L1500,3)=$O$7,LEFT(M1500,3)=$O$7)),"x","")</f>
        <v/>
      </c>
      <c r="P1500" s="39" t="str">
        <f>IF(AND($B1500&gt;='111'!$N$11,$B1500&lt;='111'!$O$11,OR($L1500=$P$7,$M1500=$P$7)),"x","")</f>
        <v/>
      </c>
      <c r="Q1500" s="39" t="str">
        <f>IF(AND($L1500=$P$7,$B1500&lt;'111'!$N$11),"x","")</f>
        <v/>
      </c>
      <c r="R1500" s="39" t="str">
        <f>IF(AND($M1500=$P$7,$B1500&lt;'111'!$N$11),"x","")</f>
        <v/>
      </c>
      <c r="S1500" s="39" t="str">
        <f>IF(ISERROR(FIND('112'!$M$9,G1500,1)),"",IF((AND(FIND('112'!$M$9,G1500,1)&gt;=1,$B1500&gt;='112'!$N$8,$B1500&lt;='112'!$O$8,OR($L1500='112'!$I$6,$M1500='112'!$I$6))),"x",""))</f>
        <v/>
      </c>
      <c r="T1500" s="39" t="str">
        <f>IF(ISERROR(FIND('112'!$M$9,G1500,1)),"",IF((AND(LEFT(G1500,2)=LEFT('112'!$M$9,2),B1500&lt;'112'!$N$8,$L1500='112'!$I$6)),"x",""))</f>
        <v/>
      </c>
      <c r="U1500" s="39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39" t="str">
        <f>IF(OR(TH!L1500=TH!$W$7,M1500=TH!$W$7),"x","")</f>
        <v/>
      </c>
      <c r="X1500" s="39" t="str">
        <f>IF(AND(B1500&gt;='IN-NX'!$P$3,B1500&lt;='IN-NX'!$Q$3,'IN-NX'!$D$7=D1500,OR(LEFT(L1500,2)="15",AND(LEFT(M1500,2)&lt;&gt;"15",LEFT(M1500,2)&lt;&gt;"33"))),"x","")</f>
        <v/>
      </c>
      <c r="Y1500" s="39" t="str">
        <f>IF(AND(OR(LEFT(TH!L1500,2)="15",LEFT(TH!M1500,2)="15"),'152-CT'!$J$8=TH!F1500),"x","")</f>
        <v/>
      </c>
      <c r="Z1500" s="39" t="str">
        <f>IF(AND(OR(LEFT(TH!L1500,2)="15",LEFT(TH!M1500,2)="15"),TK!$E$7=TH!F1500),"x","")</f>
        <v/>
      </c>
      <c r="AA1500" s="39" t="str">
        <f>IF(AND(B1500&lt;=NKC!$N$8,B1500&gt;=NKC!$M$8),"x","")</f>
        <v/>
      </c>
      <c r="AB1500" s="821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95"/>
        <v/>
      </c>
      <c r="C1501" s="184"/>
      <c r="D1501" s="184"/>
      <c r="E1501" s="184"/>
      <c r="F1501" s="189"/>
      <c r="G1501" s="570"/>
      <c r="H1501" s="7"/>
      <c r="I1501" s="256"/>
      <c r="J1501" s="256"/>
      <c r="K1501" s="568"/>
      <c r="L1501" s="569"/>
      <c r="M1501" s="569"/>
      <c r="N1501" s="39" t="str">
        <f>IF(AND('331-CT'!$E$7=TH!H1501,OR(L1501="331",M1501="331")),"331",IF(AND(OR(L1501="131",M1501="131"),H1501='131-CT'!$E$7),"131",""))</f>
        <v/>
      </c>
      <c r="O1501" s="902" t="str">
        <f>IF(AND('341-CT'!$E$9=H1501,OR(LEFT(L1501,3)=$O$7,LEFT(M1501,3)=$O$7)),"x","")</f>
        <v/>
      </c>
      <c r="P1501" s="39" t="str">
        <f>IF(AND($B1501&gt;='111'!$N$11,$B1501&lt;='111'!$O$11,OR($L1501=$P$7,$M1501=$P$7)),"x","")</f>
        <v/>
      </c>
      <c r="Q1501" s="39" t="str">
        <f>IF(AND($L1501=$P$7,$B1501&lt;'111'!$N$11),"x","")</f>
        <v/>
      </c>
      <c r="R1501" s="39" t="str">
        <f>IF(AND($M1501=$P$7,$B1501&lt;'111'!$N$11),"x","")</f>
        <v/>
      </c>
      <c r="S1501" s="39" t="str">
        <f>IF(ISERROR(FIND('112'!$M$9,G1501,1)),"",IF((AND(FIND('112'!$M$9,G1501,1)&gt;=1,$B1501&gt;='112'!$N$8,$B1501&lt;='112'!$O$8,OR($L1501='112'!$I$6,$M1501='112'!$I$6))),"x",""))</f>
        <v/>
      </c>
      <c r="T1501" s="39" t="str">
        <f>IF(ISERROR(FIND('112'!$M$9,G1501,1)),"",IF((AND(LEFT(G1501,2)=LEFT('112'!$M$9,2),B1501&lt;'112'!$N$8,$L1501='112'!$I$6)),"x",""))</f>
        <v/>
      </c>
      <c r="U1501" s="39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39" t="str">
        <f>IF(OR(TH!L1501=TH!$W$7,M1501=TH!$W$7),"x","")</f>
        <v/>
      </c>
      <c r="X1501" s="39" t="str">
        <f>IF(AND(B1501&gt;='IN-NX'!$P$3,B1501&lt;='IN-NX'!$Q$3,'IN-NX'!$D$7=D1501,OR(LEFT(L1501,2)="15",AND(LEFT(M1501,2)&lt;&gt;"15",LEFT(M1501,2)&lt;&gt;"33"))),"x","")</f>
        <v/>
      </c>
      <c r="Y1501" s="39" t="str">
        <f>IF(AND(OR(LEFT(TH!L1501,2)="15",LEFT(TH!M1501,2)="15"),'152-CT'!$J$8=TH!F1501),"x","")</f>
        <v/>
      </c>
      <c r="Z1501" s="39" t="str">
        <f>IF(AND(OR(LEFT(TH!L1501,2)="15",LEFT(TH!M1501,2)="15"),TK!$E$7=TH!F1501),"x","")</f>
        <v/>
      </c>
      <c r="AA1501" s="39" t="str">
        <f>IF(AND(B1501&lt;=NKC!$N$8,B1501&gt;=NKC!$M$8),"x","")</f>
        <v/>
      </c>
      <c r="AB1501" s="821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95"/>
        <v/>
      </c>
      <c r="C1502" s="184"/>
      <c r="D1502" s="184"/>
      <c r="E1502" s="184"/>
      <c r="F1502" s="189"/>
      <c r="G1502" s="570"/>
      <c r="H1502" s="7"/>
      <c r="I1502" s="256"/>
      <c r="J1502" s="256"/>
      <c r="K1502" s="568"/>
      <c r="L1502" s="569"/>
      <c r="M1502" s="569"/>
      <c r="N1502" s="39" t="str">
        <f>IF(AND('331-CT'!$E$7=TH!H1502,OR(L1502="331",M1502="331")),"331",IF(AND(OR(L1502="131",M1502="131"),H1502='131-CT'!$E$7),"131",""))</f>
        <v/>
      </c>
      <c r="O1502" s="902" t="str">
        <f>IF(AND('341-CT'!$E$9=H1502,OR(LEFT(L1502,3)=$O$7,LEFT(M1502,3)=$O$7)),"x","")</f>
        <v/>
      </c>
      <c r="P1502" s="39" t="str">
        <f>IF(AND($B1502&gt;='111'!$N$11,$B1502&lt;='111'!$O$11,OR($L1502=$P$7,$M1502=$P$7)),"x","")</f>
        <v/>
      </c>
      <c r="Q1502" s="39" t="str">
        <f>IF(AND($L1502=$P$7,$B1502&lt;'111'!$N$11),"x","")</f>
        <v/>
      </c>
      <c r="R1502" s="39" t="str">
        <f>IF(AND($M1502=$P$7,$B1502&lt;'111'!$N$11),"x","")</f>
        <v/>
      </c>
      <c r="S1502" s="39" t="str">
        <f>IF(ISERROR(FIND('112'!$M$9,G1502,1)),"",IF((AND(FIND('112'!$M$9,G1502,1)&gt;=1,$B1502&gt;='112'!$N$8,$B1502&lt;='112'!$O$8,OR($L1502='112'!$I$6,$M1502='112'!$I$6))),"x",""))</f>
        <v/>
      </c>
      <c r="T1502" s="39" t="str">
        <f>IF(ISERROR(FIND('112'!$M$9,G1502,1)),"",IF((AND(LEFT(G1502,2)=LEFT('112'!$M$9,2),B1502&lt;'112'!$N$8,$L1502='112'!$I$6)),"x",""))</f>
        <v/>
      </c>
      <c r="U1502" s="39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39" t="str">
        <f>IF(OR(TH!L1502=TH!$W$7,M1502=TH!$W$7),"x","")</f>
        <v/>
      </c>
      <c r="X1502" s="39" t="str">
        <f>IF(AND(B1502&gt;='IN-NX'!$P$3,B1502&lt;='IN-NX'!$Q$3,'IN-NX'!$D$7=D1502,OR(LEFT(L1502,2)="15",AND(LEFT(M1502,2)&lt;&gt;"15",LEFT(M1502,2)&lt;&gt;"33"))),"x","")</f>
        <v/>
      </c>
      <c r="Y1502" s="39" t="str">
        <f>IF(AND(OR(LEFT(TH!L1502,2)="15",LEFT(TH!M1502,2)="15"),'152-CT'!$J$8=TH!F1502),"x","")</f>
        <v/>
      </c>
      <c r="Z1502" s="39" t="str">
        <f>IF(AND(OR(LEFT(TH!L1502,2)="15",LEFT(TH!M1502,2)="15"),TK!$E$7=TH!F1502),"x","")</f>
        <v/>
      </c>
      <c r="AA1502" s="39" t="str">
        <f>IF(AND(B1502&lt;=NKC!$N$8,B1502&gt;=NKC!$M$8),"x","")</f>
        <v/>
      </c>
      <c r="AB1502" s="821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si="95"/>
        <v/>
      </c>
      <c r="C1503" s="184"/>
      <c r="D1503" s="184"/>
      <c r="E1503" s="184"/>
      <c r="F1503" s="189"/>
      <c r="G1503" s="570"/>
      <c r="H1503" s="7"/>
      <c r="I1503" s="256"/>
      <c r="J1503" s="256"/>
      <c r="K1503" s="568"/>
      <c r="L1503" s="569"/>
      <c r="M1503" s="569"/>
      <c r="N1503" s="39" t="str">
        <f>IF(AND('331-CT'!$E$7=TH!H1503,OR(L1503="331",M1503="331")),"331",IF(AND(OR(L1503="131",M1503="131"),H1503='131-CT'!$E$7),"131",""))</f>
        <v/>
      </c>
      <c r="O1503" s="902" t="str">
        <f>IF(AND('341-CT'!$E$9=H1503,OR(LEFT(L1503,3)=$O$7,LEFT(M1503,3)=$O$7)),"x","")</f>
        <v/>
      </c>
      <c r="P1503" s="39" t="str">
        <f>IF(AND($B1503&gt;='111'!$N$11,$B1503&lt;='111'!$O$11,OR($L1503=$P$7,$M1503=$P$7)),"x","")</f>
        <v/>
      </c>
      <c r="Q1503" s="39" t="str">
        <f>IF(AND($L1503=$P$7,$B1503&lt;'111'!$N$11),"x","")</f>
        <v/>
      </c>
      <c r="R1503" s="39" t="str">
        <f>IF(AND($M1503=$P$7,$B1503&lt;'111'!$N$11),"x","")</f>
        <v/>
      </c>
      <c r="S1503" s="39" t="str">
        <f>IF(ISERROR(FIND('112'!$M$9,G1503,1)),"",IF((AND(FIND('112'!$M$9,G1503,1)&gt;=1,$B1503&gt;='112'!$N$8,$B1503&lt;='112'!$O$8,OR($L1503='112'!$I$6,$M1503='112'!$I$6))),"x",""))</f>
        <v/>
      </c>
      <c r="T1503" s="39" t="str">
        <f>IF(ISERROR(FIND('112'!$M$9,G1503,1)),"",IF((AND(LEFT(G1503,2)=LEFT('112'!$M$9,2),B1503&lt;'112'!$N$8,$L1503='112'!$I$6)),"x",""))</f>
        <v/>
      </c>
      <c r="U1503" s="39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39" t="str">
        <f>IF(OR(TH!L1503=TH!$W$7,M1503=TH!$W$7),"x","")</f>
        <v/>
      </c>
      <c r="X1503" s="39" t="str">
        <f>IF(AND(B1503&gt;='IN-NX'!$P$3,B1503&lt;='IN-NX'!$Q$3,'IN-NX'!$D$7=D1503,OR(LEFT(L1503,2)="15",AND(LEFT(M1503,2)&lt;&gt;"15",LEFT(M1503,2)&lt;&gt;"33"))),"x","")</f>
        <v/>
      </c>
      <c r="Y1503" s="39" t="str">
        <f>IF(AND(OR(LEFT(TH!L1503,2)="15",LEFT(TH!M1503,2)="15"),'152-CT'!$J$8=TH!F1503),"x","")</f>
        <v/>
      </c>
      <c r="Z1503" s="39" t="str">
        <f>IF(AND(OR(LEFT(TH!L1503,2)="15",LEFT(TH!M1503,2)="15"),TK!$E$7=TH!F1503),"x","")</f>
        <v/>
      </c>
      <c r="AA1503" s="39" t="str">
        <f>IF(AND(B1503&lt;=NKC!$N$8,B1503&gt;=NKC!$M$8),"x","")</f>
        <v/>
      </c>
      <c r="AB1503" s="821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95"/>
        <v/>
      </c>
      <c r="C1504" s="184"/>
      <c r="D1504" s="184"/>
      <c r="E1504" s="184"/>
      <c r="F1504" s="189"/>
      <c r="G1504" s="570"/>
      <c r="H1504" s="7"/>
      <c r="I1504" s="256"/>
      <c r="J1504" s="256"/>
      <c r="K1504" s="568"/>
      <c r="L1504" s="569"/>
      <c r="M1504" s="569"/>
      <c r="N1504" s="39" t="str">
        <f>IF(AND('331-CT'!$E$7=TH!H1504,OR(L1504="331",M1504="331")),"331",IF(AND(OR(L1504="131",M1504="131"),H1504='131-CT'!$E$7),"131",""))</f>
        <v/>
      </c>
      <c r="O1504" s="902" t="str">
        <f>IF(AND('341-CT'!$E$9=H1504,OR(LEFT(L1504,3)=$O$7,LEFT(M1504,3)=$O$7)),"x","")</f>
        <v/>
      </c>
      <c r="P1504" s="39" t="str">
        <f>IF(AND($B1504&gt;='111'!$N$11,$B1504&lt;='111'!$O$11,OR($L1504=$P$7,$M1504=$P$7)),"x","")</f>
        <v/>
      </c>
      <c r="Q1504" s="39" t="str">
        <f>IF(AND($L1504=$P$7,$B1504&lt;'111'!$N$11),"x","")</f>
        <v/>
      </c>
      <c r="R1504" s="39" t="str">
        <f>IF(AND($M1504=$P$7,$B1504&lt;'111'!$N$11),"x","")</f>
        <v/>
      </c>
      <c r="S1504" s="39" t="str">
        <f>IF(ISERROR(FIND('112'!$M$9,G1504,1)),"",IF((AND(FIND('112'!$M$9,G1504,1)&gt;=1,$B1504&gt;='112'!$N$8,$B1504&lt;='112'!$O$8,OR($L1504='112'!$I$6,$M1504='112'!$I$6))),"x",""))</f>
        <v/>
      </c>
      <c r="T1504" s="39" t="str">
        <f>IF(ISERROR(FIND('112'!$M$9,G1504,1)),"",IF((AND(LEFT(G1504,2)=LEFT('112'!$M$9,2),B1504&lt;'112'!$N$8,$L1504='112'!$I$6)),"x",""))</f>
        <v/>
      </c>
      <c r="U1504" s="39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39" t="str">
        <f>IF(OR(TH!L1504=TH!$W$7,M1504=TH!$W$7),"x","")</f>
        <v/>
      </c>
      <c r="X1504" s="39" t="str">
        <f>IF(AND(B1504&gt;='IN-NX'!$P$3,B1504&lt;='IN-NX'!$Q$3,'IN-NX'!$D$7=D1504,OR(LEFT(L1504,2)="15",AND(LEFT(M1504,2)&lt;&gt;"15",LEFT(M1504,2)&lt;&gt;"33"))),"x","")</f>
        <v/>
      </c>
      <c r="Y1504" s="39" t="str">
        <f>IF(AND(OR(LEFT(TH!L1504,2)="15",LEFT(TH!M1504,2)="15"),'152-CT'!$J$8=TH!F1504),"x","")</f>
        <v/>
      </c>
      <c r="Z1504" s="39" t="str">
        <f>IF(AND(OR(LEFT(TH!L1504,2)="15",LEFT(TH!M1504,2)="15"),TK!$E$7=TH!F1504),"x","")</f>
        <v/>
      </c>
      <c r="AA1504" s="39" t="str">
        <f>IF(AND(B1504&lt;=NKC!$N$8,B1504&gt;=NKC!$M$8),"x","")</f>
        <v/>
      </c>
      <c r="AB1504" s="821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95"/>
        <v/>
      </c>
      <c r="C1505" s="191"/>
      <c r="D1505" s="184"/>
      <c r="E1505" s="191"/>
      <c r="F1505" s="192"/>
      <c r="G1505" s="468"/>
      <c r="H1505" s="45"/>
      <c r="I1505" s="256"/>
      <c r="J1505" s="256"/>
      <c r="K1505" s="568"/>
      <c r="L1505" s="194"/>
      <c r="M1505" s="194"/>
      <c r="N1505" s="39" t="str">
        <f>IF(AND('331-CT'!$E$7=TH!H1505,OR(L1505="331",M1505="331")),"331",IF(AND(OR(L1505="131",M1505="131"),H1505='131-CT'!$E$7),"131",""))</f>
        <v/>
      </c>
      <c r="O1505" s="902" t="str">
        <f>IF(AND('341-CT'!$E$9=H1505,OR(LEFT(L1505,3)=$O$7,LEFT(M1505,3)=$O$7)),"x","")</f>
        <v/>
      </c>
      <c r="P1505" s="39" t="str">
        <f>IF(AND($B1505&gt;='111'!$N$11,$B1505&lt;='111'!$O$11,OR($L1505=$P$7,$M1505=$P$7)),"x","")</f>
        <v/>
      </c>
      <c r="Q1505" s="39" t="str">
        <f>IF(AND($L1505=$P$7,$B1505&lt;'111'!$N$11),"x","")</f>
        <v/>
      </c>
      <c r="R1505" s="39" t="str">
        <f>IF(AND($M1505=$P$7,$B1505&lt;'111'!$N$11),"x","")</f>
        <v/>
      </c>
      <c r="S1505" s="39" t="str">
        <f>IF(ISERROR(FIND('112'!$M$9,G1505,1)),"",IF((AND(FIND('112'!$M$9,G1505,1)&gt;=1,$B1505&gt;='112'!$N$8,$B1505&lt;='112'!$O$8,OR($L1505='112'!$I$6,$M1505='112'!$I$6))),"x",""))</f>
        <v/>
      </c>
      <c r="T1505" s="39" t="str">
        <f>IF(ISERROR(FIND('112'!$M$9,G1505,1)),"",IF((AND(LEFT(G1505,2)=LEFT('112'!$M$9,2),B1505&lt;'112'!$N$8,$L1505='112'!$I$6)),"x",""))</f>
        <v/>
      </c>
      <c r="U1505" s="39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39" t="str">
        <f>IF(OR(TH!L1505=TH!$W$7,M1505=TH!$W$7),"x","")</f>
        <v/>
      </c>
      <c r="X1505" s="39" t="str">
        <f>IF(AND(B1505&gt;='IN-NX'!$P$3,B1505&lt;='IN-NX'!$Q$3,'IN-NX'!$D$7=D1505,OR(LEFT(L1505,2)="15",AND(LEFT(M1505,2)&lt;&gt;"15",LEFT(M1505,2)&lt;&gt;"33"))),"x","")</f>
        <v/>
      </c>
      <c r="Y1505" s="39" t="str">
        <f>IF(AND(OR(LEFT(TH!L1505,2)="15",LEFT(TH!M1505,2)="15"),'152-CT'!$J$8=TH!F1505),"x","")</f>
        <v/>
      </c>
      <c r="Z1505" s="39" t="str">
        <f>IF(AND(OR(LEFT(TH!L1505,2)="15",LEFT(TH!M1505,2)="15"),TK!$E$7=TH!F1505),"x","")</f>
        <v/>
      </c>
      <c r="AA1505" s="39" t="str">
        <f>IF(AND(B1505&lt;=NKC!$N$8,B1505&gt;=NKC!$M$8),"x","")</f>
        <v/>
      </c>
      <c r="AB1505" s="821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95"/>
        <v/>
      </c>
      <c r="C1506" s="191"/>
      <c r="D1506" s="184"/>
      <c r="E1506" s="191"/>
      <c r="F1506" s="192"/>
      <c r="G1506" s="468"/>
      <c r="H1506" s="45"/>
      <c r="I1506" s="256"/>
      <c r="J1506" s="256"/>
      <c r="K1506" s="38"/>
      <c r="L1506" s="194"/>
      <c r="M1506" s="194"/>
      <c r="N1506" s="39" t="str">
        <f>IF(AND('331-CT'!$E$7=TH!H1506,OR(L1506="331",M1506="331")),"331",IF(AND(OR(L1506="131",M1506="131"),H1506='131-CT'!$E$7),"131",""))</f>
        <v/>
      </c>
      <c r="O1506" s="902" t="str">
        <f>IF(AND('341-CT'!$E$9=H1506,OR(LEFT(L1506,3)=$O$7,LEFT(M1506,3)=$O$7)),"x","")</f>
        <v/>
      </c>
      <c r="P1506" s="39" t="str">
        <f>IF(AND($B1506&gt;='111'!$N$11,$B1506&lt;='111'!$O$11,OR($L1506=$P$7,$M1506=$P$7)),"x","")</f>
        <v/>
      </c>
      <c r="Q1506" s="39" t="str">
        <f>IF(AND($L1506=$P$7,$B1506&lt;'111'!$N$11),"x","")</f>
        <v/>
      </c>
      <c r="R1506" s="39" t="str">
        <f>IF(AND($M1506=$P$7,$B1506&lt;'111'!$N$11),"x","")</f>
        <v/>
      </c>
      <c r="S1506" s="39" t="str">
        <f>IF(ISERROR(FIND('112'!$M$9,G1506,1)),"",IF((AND(FIND('112'!$M$9,G1506,1)&gt;=1,$B1506&gt;='112'!$N$8,$B1506&lt;='112'!$O$8,OR($L1506='112'!$I$6,$M1506='112'!$I$6))),"x",""))</f>
        <v/>
      </c>
      <c r="T1506" s="39" t="str">
        <f>IF(ISERROR(FIND('112'!$M$9,G1506,1)),"",IF((AND(LEFT(G1506,2)=LEFT('112'!$M$9,2),B1506&lt;'112'!$N$8,$L1506='112'!$I$6)),"x",""))</f>
        <v/>
      </c>
      <c r="U1506" s="39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39" t="str">
        <f>IF(OR(TH!L1506=TH!$W$7,M1506=TH!$W$7),"x","")</f>
        <v/>
      </c>
      <c r="X1506" s="39" t="str">
        <f>IF(AND(B1506&gt;='IN-NX'!$P$3,B1506&lt;='IN-NX'!$Q$3,'IN-NX'!$D$7=D1506,OR(LEFT(L1506,2)="15",AND(LEFT(M1506,2)&lt;&gt;"15",LEFT(M1506,2)&lt;&gt;"33"))),"x","")</f>
        <v/>
      </c>
      <c r="Y1506" s="39" t="str">
        <f>IF(AND(OR(LEFT(TH!L1506,2)="15",LEFT(TH!M1506,2)="15"),'152-CT'!$J$8=TH!F1506),"x","")</f>
        <v/>
      </c>
      <c r="Z1506" s="39" t="str">
        <f>IF(AND(OR(LEFT(TH!L1506,2)="15",LEFT(TH!M1506,2)="15"),TK!$E$7=TH!F1506),"x","")</f>
        <v/>
      </c>
      <c r="AA1506" s="39" t="str">
        <f>IF(AND(B1506&lt;=NKC!$N$8,B1506&gt;=NKC!$M$8),"x","")</f>
        <v/>
      </c>
      <c r="AB1506" s="821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95"/>
        <v/>
      </c>
      <c r="C1507" s="37"/>
      <c r="D1507" s="37"/>
      <c r="E1507" s="731"/>
      <c r="F1507" s="189"/>
      <c r="G1507" s="40"/>
      <c r="H1507" s="7"/>
      <c r="I1507" s="256"/>
      <c r="J1507" s="256"/>
      <c r="K1507" s="568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902" t="str">
        <f>IF(AND('341-CT'!$E$9=H1507,OR(LEFT(L1507,3)=$O$7,LEFT(M1507,3)=$O$7)),"x","")</f>
        <v/>
      </c>
      <c r="P1507" s="39" t="str">
        <f>IF(AND($B1507&gt;='111'!$N$11,$B1507&lt;='111'!$O$11,OR($L1507=$P$7,$M1507=$P$7)),"x","")</f>
        <v/>
      </c>
      <c r="Q1507" s="39" t="str">
        <f>IF(AND($L1507=$P$7,$B1507&lt;'111'!$N$11),"x","")</f>
        <v/>
      </c>
      <c r="R1507" s="39" t="str">
        <f>IF(AND($M1507=$P$7,$B1507&lt;'111'!$N$11),"x","")</f>
        <v/>
      </c>
      <c r="S1507" s="39" t="str">
        <f>IF(ISERROR(FIND('112'!$M$9,G1507,1)),"",IF((AND(FIND('112'!$M$9,G1507,1)&gt;=1,$B1507&gt;='112'!$N$8,$B1507&lt;='112'!$O$8,OR($L1507='112'!$I$6,$M1507='112'!$I$6))),"x",""))</f>
        <v/>
      </c>
      <c r="T1507" s="39" t="str">
        <f>IF(ISERROR(FIND('112'!$M$9,G1507,1)),"",IF((AND(LEFT(G1507,2)=LEFT('112'!$M$9,2),B1507&lt;'112'!$N$8,$L1507='112'!$I$6)),"x",""))</f>
        <v/>
      </c>
      <c r="U1507" s="39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39" t="str">
        <f>IF(OR(TH!L1507=TH!$W$7,M1507=TH!$W$7),"x","")</f>
        <v/>
      </c>
      <c r="X1507" s="39" t="str">
        <f>IF(AND(B1507&gt;='IN-NX'!$P$3,B1507&lt;='IN-NX'!$Q$3,'IN-NX'!$D$7=D1507,OR(LEFT(L1507,2)="15",AND(LEFT(M1507,2)&lt;&gt;"15",LEFT(M1507,2)&lt;&gt;"33"))),"x","")</f>
        <v/>
      </c>
      <c r="Y1507" s="39" t="str">
        <f>IF(AND(OR(LEFT(TH!L1507,2)="15",LEFT(TH!M1507,2)="15"),'152-CT'!$J$8=TH!F1507),"x","")</f>
        <v/>
      </c>
      <c r="Z1507" s="39" t="str">
        <f>IF(AND(OR(LEFT(TH!L1507,2)="15",LEFT(TH!M1507,2)="15"),TK!$E$7=TH!F1507),"x","")</f>
        <v/>
      </c>
      <c r="AA1507" s="39" t="str">
        <f>IF(AND(B1507&lt;=NKC!$N$8,B1507&gt;=NKC!$M$8),"x","")</f>
        <v/>
      </c>
      <c r="AB1507" s="821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95"/>
        <v/>
      </c>
      <c r="C1508" s="37"/>
      <c r="D1508" s="37"/>
      <c r="E1508" s="731"/>
      <c r="F1508" s="296"/>
      <c r="G1508" s="40"/>
      <c r="H1508" s="7"/>
      <c r="I1508" s="256"/>
      <c r="J1508" s="256"/>
      <c r="K1508" s="568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902" t="str">
        <f>IF(AND('341-CT'!$E$9=H1508,OR(LEFT(L1508,3)=$O$7,LEFT(M1508,3)=$O$7)),"x","")</f>
        <v/>
      </c>
      <c r="P1508" s="39" t="str">
        <f>IF(AND($B1508&gt;='111'!$N$11,$B1508&lt;='111'!$O$11,OR($L1508=$P$7,$M1508=$P$7)),"x","")</f>
        <v/>
      </c>
      <c r="Q1508" s="39" t="str">
        <f>IF(AND($L1508=$P$7,$B1508&lt;'111'!$N$11),"x","")</f>
        <v/>
      </c>
      <c r="R1508" s="39" t="str">
        <f>IF(AND($M1508=$P$7,$B1508&lt;'111'!$N$11),"x","")</f>
        <v/>
      </c>
      <c r="S1508" s="39" t="str">
        <f>IF(ISERROR(FIND('112'!$M$9,G1508,1)),"",IF((AND(FIND('112'!$M$9,G1508,1)&gt;=1,$B1508&gt;='112'!$N$8,$B1508&lt;='112'!$O$8,OR($L1508='112'!$I$6,$M1508='112'!$I$6))),"x",""))</f>
        <v/>
      </c>
      <c r="T1508" s="39" t="str">
        <f>IF(ISERROR(FIND('112'!$M$9,G1508,1)),"",IF((AND(LEFT(G1508,2)=LEFT('112'!$M$9,2),B1508&lt;'112'!$N$8,$L1508='112'!$I$6)),"x",""))</f>
        <v/>
      </c>
      <c r="U1508" s="39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39" t="str">
        <f>IF(OR(TH!L1508=TH!$W$7,M1508=TH!$W$7),"x","")</f>
        <v/>
      </c>
      <c r="X1508" s="39" t="str">
        <f>IF(AND(B1508&gt;='IN-NX'!$P$3,B1508&lt;='IN-NX'!$Q$3,'IN-NX'!$D$7=D1508,OR(LEFT(L1508,2)="15",AND(LEFT(M1508,2)&lt;&gt;"15",LEFT(M1508,2)&lt;&gt;"33"))),"x","")</f>
        <v/>
      </c>
      <c r="Y1508" s="39" t="str">
        <f>IF(AND(OR(LEFT(TH!L1508,2)="15",LEFT(TH!M1508,2)="15"),'152-CT'!$J$8=TH!F1508),"x","")</f>
        <v/>
      </c>
      <c r="Z1508" s="39" t="str">
        <f>IF(AND(OR(LEFT(TH!L1508,2)="15",LEFT(TH!M1508,2)="15"),TK!$E$7=TH!F1508),"x","")</f>
        <v/>
      </c>
      <c r="AA1508" s="39" t="str">
        <f>IF(AND(B1508&lt;=NKC!$N$8,B1508&gt;=NKC!$M$8),"x","")</f>
        <v/>
      </c>
      <c r="AB1508" s="821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95"/>
        <v/>
      </c>
      <c r="C1509" s="37"/>
      <c r="D1509" s="37"/>
      <c r="E1509" s="731"/>
      <c r="F1509" s="189"/>
      <c r="G1509" s="40"/>
      <c r="H1509" s="7"/>
      <c r="I1509" s="256"/>
      <c r="J1509" s="256"/>
      <c r="K1509" s="568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902" t="str">
        <f>IF(AND('341-CT'!$E$9=H1509,OR(LEFT(L1509,3)=$O$7,LEFT(M1509,3)=$O$7)),"x","")</f>
        <v/>
      </c>
      <c r="P1509" s="39" t="str">
        <f>IF(AND($B1509&gt;='111'!$N$11,$B1509&lt;='111'!$O$11,OR($L1509=$P$7,$M1509=$P$7)),"x","")</f>
        <v/>
      </c>
      <c r="Q1509" s="39" t="str">
        <f>IF(AND($L1509=$P$7,$B1509&lt;'111'!$N$11),"x","")</f>
        <v/>
      </c>
      <c r="R1509" s="39" t="str">
        <f>IF(AND($M1509=$P$7,$B1509&lt;'111'!$N$11),"x","")</f>
        <v/>
      </c>
      <c r="S1509" s="39" t="str">
        <f>IF(ISERROR(FIND('112'!$M$9,G1509,1)),"",IF((AND(FIND('112'!$M$9,G1509,1)&gt;=1,$B1509&gt;='112'!$N$8,$B1509&lt;='112'!$O$8,OR($L1509='112'!$I$6,$M1509='112'!$I$6))),"x",""))</f>
        <v/>
      </c>
      <c r="T1509" s="39" t="str">
        <f>IF(ISERROR(FIND('112'!$M$9,G1509,1)),"",IF((AND(LEFT(G1509,2)=LEFT('112'!$M$9,2),B1509&lt;'112'!$N$8,$L1509='112'!$I$6)),"x",""))</f>
        <v/>
      </c>
      <c r="U1509" s="39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39" t="str">
        <f>IF(OR(TH!L1509=TH!$W$7,M1509=TH!$W$7),"x","")</f>
        <v/>
      </c>
      <c r="X1509" s="39" t="str">
        <f>IF(AND(B1509&gt;='IN-NX'!$P$3,B1509&lt;='IN-NX'!$Q$3,'IN-NX'!$D$7=D1509,OR(LEFT(L1509,2)="15",AND(LEFT(M1509,2)&lt;&gt;"15",LEFT(M1509,2)&lt;&gt;"33"))),"x","")</f>
        <v/>
      </c>
      <c r="Y1509" s="39" t="str">
        <f>IF(AND(OR(LEFT(TH!L1509,2)="15",LEFT(TH!M1509,2)="15"),'152-CT'!$J$8=TH!F1509),"x","")</f>
        <v/>
      </c>
      <c r="Z1509" s="39" t="str">
        <f>IF(AND(OR(LEFT(TH!L1509,2)="15",LEFT(TH!M1509,2)="15"),TK!$E$7=TH!F1509),"x","")</f>
        <v/>
      </c>
      <c r="AA1509" s="39" t="str">
        <f>IF(AND(B1509&lt;=NKC!$N$8,B1509&gt;=NKC!$M$8),"x","")</f>
        <v/>
      </c>
      <c r="AB1509" s="821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95"/>
        <v/>
      </c>
      <c r="C1510" s="37"/>
      <c r="D1510" s="37"/>
      <c r="E1510" s="731"/>
      <c r="F1510" s="40"/>
      <c r="G1510" s="40"/>
      <c r="H1510" s="7"/>
      <c r="I1510" s="256"/>
      <c r="J1510" s="256"/>
      <c r="K1510" s="568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902" t="str">
        <f>IF(AND('341-CT'!$E$9=H1510,OR(LEFT(L1510,3)=$O$7,LEFT(M1510,3)=$O$7)),"x","")</f>
        <v/>
      </c>
      <c r="P1510" s="39" t="str">
        <f>IF(AND($B1510&gt;='111'!$N$11,$B1510&lt;='111'!$O$11,OR($L1510=$P$7,$M1510=$P$7)),"x","")</f>
        <v/>
      </c>
      <c r="Q1510" s="39" t="str">
        <f>IF(AND($L1510=$P$7,$B1510&lt;'111'!$N$11),"x","")</f>
        <v/>
      </c>
      <c r="R1510" s="39" t="str">
        <f>IF(AND($M1510=$P$7,$B1510&lt;'111'!$N$11),"x","")</f>
        <v/>
      </c>
      <c r="S1510" s="39" t="str">
        <f>IF(ISERROR(FIND('112'!$M$9,G1510,1)),"",IF((AND(FIND('112'!$M$9,G1510,1)&gt;=1,$B1510&gt;='112'!$N$8,$B1510&lt;='112'!$O$8,OR($L1510='112'!$I$6,$M1510='112'!$I$6))),"x",""))</f>
        <v/>
      </c>
      <c r="T1510" s="39" t="str">
        <f>IF(ISERROR(FIND('112'!$M$9,G1510,1)),"",IF((AND(LEFT(G1510,2)=LEFT('112'!$M$9,2),B1510&lt;'112'!$N$8,$L1510='112'!$I$6)),"x",""))</f>
        <v/>
      </c>
      <c r="U1510" s="39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39" t="str">
        <f>IF(OR(TH!L1510=TH!$W$7,M1510=TH!$W$7),"x","")</f>
        <v/>
      </c>
      <c r="X1510" s="39" t="str">
        <f>IF(AND(B1510&gt;='IN-NX'!$P$3,B1510&lt;='IN-NX'!$Q$3,'IN-NX'!$D$7=D1510,OR(LEFT(L1510,2)="15",AND(LEFT(M1510,2)&lt;&gt;"15",LEFT(M1510,2)&lt;&gt;"33"))),"x","")</f>
        <v/>
      </c>
      <c r="Y1510" s="39" t="str">
        <f>IF(AND(OR(LEFT(TH!L1510,2)="15",LEFT(TH!M1510,2)="15"),'152-CT'!$J$8=TH!F1510),"x","")</f>
        <v/>
      </c>
      <c r="Z1510" s="39" t="str">
        <f>IF(AND(OR(LEFT(TH!L1510,2)="15",LEFT(TH!M1510,2)="15"),TK!$E$7=TH!F1510),"x","")</f>
        <v/>
      </c>
      <c r="AA1510" s="39" t="str">
        <f>IF(AND(B1510&lt;=NKC!$N$8,B1510&gt;=NKC!$M$8),"x","")</f>
        <v/>
      </c>
      <c r="AB1510" s="821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95"/>
        <v/>
      </c>
      <c r="C1511" s="37"/>
      <c r="D1511" s="37"/>
      <c r="E1511" s="731"/>
      <c r="F1511" s="189"/>
      <c r="G1511" s="40"/>
      <c r="H1511" s="7"/>
      <c r="I1511" s="256"/>
      <c r="J1511" s="256"/>
      <c r="K1511" s="568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902" t="str">
        <f>IF(AND('341-CT'!$E$9=H1511,OR(LEFT(L1511,3)=$O$7,LEFT(M1511,3)=$O$7)),"x","")</f>
        <v/>
      </c>
      <c r="P1511" s="39" t="str">
        <f>IF(AND($B1511&gt;='111'!$N$11,$B1511&lt;='111'!$O$11,OR($L1511=$P$7,$M1511=$P$7)),"x","")</f>
        <v/>
      </c>
      <c r="Q1511" s="39" t="str">
        <f>IF(AND($L1511=$P$7,$B1511&lt;'111'!$N$11),"x","")</f>
        <v/>
      </c>
      <c r="R1511" s="39" t="str">
        <f>IF(AND($M1511=$P$7,$B1511&lt;'111'!$N$11),"x","")</f>
        <v/>
      </c>
      <c r="S1511" s="39" t="str">
        <f>IF(ISERROR(FIND('112'!$M$9,G1511,1)),"",IF((AND(FIND('112'!$M$9,G1511,1)&gt;=1,$B1511&gt;='112'!$N$8,$B1511&lt;='112'!$O$8,OR($L1511='112'!$I$6,$M1511='112'!$I$6))),"x",""))</f>
        <v/>
      </c>
      <c r="T1511" s="39" t="str">
        <f>IF(ISERROR(FIND('112'!$M$9,G1511,1)),"",IF((AND(LEFT(G1511,2)=LEFT('112'!$M$9,2),B1511&lt;'112'!$N$8,$L1511='112'!$I$6)),"x",""))</f>
        <v/>
      </c>
      <c r="U1511" s="39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39" t="str">
        <f>IF(OR(TH!L1511=TH!$W$7,M1511=TH!$W$7),"x","")</f>
        <v/>
      </c>
      <c r="X1511" s="39" t="str">
        <f>IF(AND(B1511&gt;='IN-NX'!$P$3,B1511&lt;='IN-NX'!$Q$3,'IN-NX'!$D$7=D1511,OR(LEFT(L1511,2)="15",AND(LEFT(M1511,2)&lt;&gt;"15",LEFT(M1511,2)&lt;&gt;"33"))),"x","")</f>
        <v/>
      </c>
      <c r="Y1511" s="39" t="str">
        <f>IF(AND(OR(LEFT(TH!L1511,2)="15",LEFT(TH!M1511,2)="15"),'152-CT'!$J$8=TH!F1511),"x","")</f>
        <v/>
      </c>
      <c r="Z1511" s="39" t="str">
        <f>IF(AND(OR(LEFT(TH!L1511,2)="15",LEFT(TH!M1511,2)="15"),TK!$E$7=TH!F1511),"x","")</f>
        <v/>
      </c>
      <c r="AA1511" s="39" t="str">
        <f>IF(AND(B1511&lt;=NKC!$N$8,B1511&gt;=NKC!$M$8),"x","")</f>
        <v/>
      </c>
      <c r="AB1511" s="821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95"/>
        <v/>
      </c>
      <c r="C1512" s="37"/>
      <c r="D1512" s="37"/>
      <c r="E1512" s="731"/>
      <c r="F1512" s="189"/>
      <c r="G1512" s="40"/>
      <c r="H1512" s="7"/>
      <c r="I1512" s="256"/>
      <c r="J1512" s="256"/>
      <c r="K1512" s="568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902" t="str">
        <f>IF(AND('341-CT'!$E$9=H1512,OR(LEFT(L1512,3)=$O$7,LEFT(M1512,3)=$O$7)),"x","")</f>
        <v/>
      </c>
      <c r="P1512" s="39" t="str">
        <f>IF(AND($B1512&gt;='111'!$N$11,$B1512&lt;='111'!$O$11,OR($L1512=$P$7,$M1512=$P$7)),"x","")</f>
        <v/>
      </c>
      <c r="Q1512" s="39" t="str">
        <f>IF(AND($L1512=$P$7,$B1512&lt;'111'!$N$11),"x","")</f>
        <v/>
      </c>
      <c r="R1512" s="39" t="str">
        <f>IF(AND($M1512=$P$7,$B1512&lt;'111'!$N$11),"x","")</f>
        <v/>
      </c>
      <c r="S1512" s="39" t="str">
        <f>IF(ISERROR(FIND('112'!$M$9,G1512,1)),"",IF((AND(FIND('112'!$M$9,G1512,1)&gt;=1,$B1512&gt;='112'!$N$8,$B1512&lt;='112'!$O$8,OR($L1512='112'!$I$6,$M1512='112'!$I$6))),"x",""))</f>
        <v/>
      </c>
      <c r="T1512" s="39" t="str">
        <f>IF(ISERROR(FIND('112'!$M$9,G1512,1)),"",IF((AND(LEFT(G1512,2)=LEFT('112'!$M$9,2),B1512&lt;'112'!$N$8,$L1512='112'!$I$6)),"x",""))</f>
        <v/>
      </c>
      <c r="U1512" s="39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39" t="str">
        <f>IF(OR(TH!L1512=TH!$W$7,M1512=TH!$W$7),"x","")</f>
        <v/>
      </c>
      <c r="X1512" s="39" t="str">
        <f>IF(AND(B1512&gt;='IN-NX'!$P$3,B1512&lt;='IN-NX'!$Q$3,'IN-NX'!$D$7=D1512,OR(LEFT(L1512,2)="15",AND(LEFT(M1512,2)&lt;&gt;"15",LEFT(M1512,2)&lt;&gt;"33"))),"x","")</f>
        <v/>
      </c>
      <c r="Y1512" s="39" t="str">
        <f>IF(AND(OR(LEFT(TH!L1512,2)="15",LEFT(TH!M1512,2)="15"),'152-CT'!$J$8=TH!F1512),"x","")</f>
        <v/>
      </c>
      <c r="Z1512" s="39" t="str">
        <f>IF(AND(OR(LEFT(TH!L1512,2)="15",LEFT(TH!M1512,2)="15"),TK!$E$7=TH!F1512),"x","")</f>
        <v/>
      </c>
      <c r="AA1512" s="39" t="str">
        <f>IF(AND(B1512&lt;=NKC!$N$8,B1512&gt;=NKC!$M$8),"x","")</f>
        <v/>
      </c>
      <c r="AB1512" s="821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95"/>
        <v/>
      </c>
      <c r="C1513" s="37"/>
      <c r="D1513" s="37"/>
      <c r="E1513" s="731"/>
      <c r="F1513" s="189"/>
      <c r="G1513" s="40"/>
      <c r="H1513" s="7"/>
      <c r="I1513" s="256"/>
      <c r="J1513" s="256"/>
      <c r="K1513" s="568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902" t="str">
        <f>IF(AND('341-CT'!$E$9=H1513,OR(LEFT(L1513,3)=$O$7,LEFT(M1513,3)=$O$7)),"x","")</f>
        <v/>
      </c>
      <c r="P1513" s="39" t="str">
        <f>IF(AND($B1513&gt;='111'!$N$11,$B1513&lt;='111'!$O$11,OR($L1513=$P$7,$M1513=$P$7)),"x","")</f>
        <v/>
      </c>
      <c r="Q1513" s="39" t="str">
        <f>IF(AND($L1513=$P$7,$B1513&lt;'111'!$N$11),"x","")</f>
        <v/>
      </c>
      <c r="R1513" s="39" t="str">
        <f>IF(AND($M1513=$P$7,$B1513&lt;'111'!$N$11),"x","")</f>
        <v/>
      </c>
      <c r="S1513" s="39" t="str">
        <f>IF(ISERROR(FIND('112'!$M$9,G1513,1)),"",IF((AND(FIND('112'!$M$9,G1513,1)&gt;=1,$B1513&gt;='112'!$N$8,$B1513&lt;='112'!$O$8,OR($L1513='112'!$I$6,$M1513='112'!$I$6))),"x",""))</f>
        <v/>
      </c>
      <c r="T1513" s="39" t="str">
        <f>IF(ISERROR(FIND('112'!$M$9,G1513,1)),"",IF((AND(LEFT(G1513,2)=LEFT('112'!$M$9,2),B1513&lt;'112'!$N$8,$L1513='112'!$I$6)),"x",""))</f>
        <v/>
      </c>
      <c r="U1513" s="39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39" t="str">
        <f>IF(OR(TH!L1513=TH!$W$7,M1513=TH!$W$7),"x","")</f>
        <v/>
      </c>
      <c r="X1513" s="39" t="str">
        <f>IF(AND(B1513&gt;='IN-NX'!$P$3,B1513&lt;='IN-NX'!$Q$3,'IN-NX'!$D$7=D1513,OR(LEFT(L1513,2)="15",AND(LEFT(M1513,2)&lt;&gt;"15",LEFT(M1513,2)&lt;&gt;"33"))),"x","")</f>
        <v/>
      </c>
      <c r="Y1513" s="39" t="str">
        <f>IF(AND(OR(LEFT(TH!L1513,2)="15",LEFT(TH!M1513,2)="15"),'152-CT'!$J$8=TH!F1513),"x","")</f>
        <v/>
      </c>
      <c r="Z1513" s="39" t="str">
        <f>IF(AND(OR(LEFT(TH!L1513,2)="15",LEFT(TH!M1513,2)="15"),TK!$E$7=TH!F1513),"x","")</f>
        <v/>
      </c>
      <c r="AA1513" s="39" t="str">
        <f>IF(AND(B1513&lt;=NKC!$N$8,B1513&gt;=NKC!$M$8),"x","")</f>
        <v/>
      </c>
      <c r="AB1513" s="821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95"/>
        <v/>
      </c>
      <c r="C1514" s="37"/>
      <c r="D1514" s="37"/>
      <c r="E1514" s="731"/>
      <c r="F1514" s="189"/>
      <c r="G1514" s="40"/>
      <c r="H1514" s="7"/>
      <c r="I1514" s="256"/>
      <c r="J1514" s="256"/>
      <c r="K1514" s="568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902" t="str">
        <f>IF(AND('341-CT'!$E$9=H1514,OR(LEFT(L1514,3)=$O$7,LEFT(M1514,3)=$O$7)),"x","")</f>
        <v/>
      </c>
      <c r="P1514" s="39" t="str">
        <f>IF(AND($B1514&gt;='111'!$N$11,$B1514&lt;='111'!$O$11,OR($L1514=$P$7,$M1514=$P$7)),"x","")</f>
        <v/>
      </c>
      <c r="Q1514" s="39" t="str">
        <f>IF(AND($L1514=$P$7,$B1514&lt;'111'!$N$11),"x","")</f>
        <v/>
      </c>
      <c r="R1514" s="39" t="str">
        <f>IF(AND($M1514=$P$7,$B1514&lt;'111'!$N$11),"x","")</f>
        <v/>
      </c>
      <c r="S1514" s="39" t="str">
        <f>IF(ISERROR(FIND('112'!$M$9,G1514,1)),"",IF((AND(FIND('112'!$M$9,G1514,1)&gt;=1,$B1514&gt;='112'!$N$8,$B1514&lt;='112'!$O$8,OR($L1514='112'!$I$6,$M1514='112'!$I$6))),"x",""))</f>
        <v/>
      </c>
      <c r="T1514" s="39" t="str">
        <f>IF(ISERROR(FIND('112'!$M$9,G1514,1)),"",IF((AND(LEFT(G1514,2)=LEFT('112'!$M$9,2),B1514&lt;'112'!$N$8,$L1514='112'!$I$6)),"x",""))</f>
        <v/>
      </c>
      <c r="U1514" s="39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39" t="str">
        <f>IF(OR(TH!L1514=TH!$W$7,M1514=TH!$W$7),"x","")</f>
        <v/>
      </c>
      <c r="X1514" s="39" t="str">
        <f>IF(AND(B1514&gt;='IN-NX'!$P$3,B1514&lt;='IN-NX'!$Q$3,'IN-NX'!$D$7=D1514,OR(LEFT(L1514,2)="15",AND(LEFT(M1514,2)&lt;&gt;"15",LEFT(M1514,2)&lt;&gt;"33"))),"x","")</f>
        <v/>
      </c>
      <c r="Y1514" s="39" t="str">
        <f>IF(AND(OR(LEFT(TH!L1514,2)="15",LEFT(TH!M1514,2)="15"),'152-CT'!$J$8=TH!F1514),"x","")</f>
        <v/>
      </c>
      <c r="Z1514" s="39" t="str">
        <f>IF(AND(OR(LEFT(TH!L1514,2)="15",LEFT(TH!M1514,2)="15"),TK!$E$7=TH!F1514),"x","")</f>
        <v/>
      </c>
      <c r="AA1514" s="39" t="str">
        <f>IF(AND(B1514&lt;=NKC!$N$8,B1514&gt;=NKC!$M$8),"x","")</f>
        <v/>
      </c>
      <c r="AB1514" s="821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95"/>
        <v/>
      </c>
      <c r="C1515" s="191"/>
      <c r="D1515" s="191"/>
      <c r="E1515" s="191"/>
      <c r="F1515" s="192"/>
      <c r="G1515" s="468"/>
      <c r="H1515" s="193"/>
      <c r="I1515" s="256"/>
      <c r="J1515" s="256"/>
      <c r="K1515" s="568"/>
      <c r="L1515" s="194"/>
      <c r="M1515" s="194"/>
      <c r="N1515" s="39" t="str">
        <f>IF(AND('331-CT'!$E$7=TH!H1515,OR(L1515="331",M1515="331")),"331",IF(AND(OR(L1515="131",M1515="131"),H1515='131-CT'!$E$7),"131",""))</f>
        <v/>
      </c>
      <c r="O1515" s="902" t="str">
        <f>IF(AND('341-CT'!$E$9=H1515,OR(LEFT(L1515,3)=$O$7,LEFT(M1515,3)=$O$7)),"x","")</f>
        <v/>
      </c>
      <c r="P1515" s="39" t="str">
        <f>IF(AND($B1515&gt;='111'!$N$11,$B1515&lt;='111'!$O$11,OR($L1515=$P$7,$M1515=$P$7)),"x","")</f>
        <v/>
      </c>
      <c r="Q1515" s="39" t="str">
        <f>IF(AND($L1515=$P$7,$B1515&lt;'111'!$N$11),"x","")</f>
        <v/>
      </c>
      <c r="R1515" s="39" t="str">
        <f>IF(AND($M1515=$P$7,$B1515&lt;'111'!$N$11),"x","")</f>
        <v/>
      </c>
      <c r="S1515" s="39" t="str">
        <f>IF(ISERROR(FIND('112'!$M$9,G1515,1)),"",IF((AND(FIND('112'!$M$9,G1515,1)&gt;=1,$B1515&gt;='112'!$N$8,$B1515&lt;='112'!$O$8,OR($L1515='112'!$I$6,$M1515='112'!$I$6))),"x",""))</f>
        <v/>
      </c>
      <c r="T1515" s="39" t="str">
        <f>IF(ISERROR(FIND('112'!$M$9,G1515,1)),"",IF((AND(LEFT(G1515,2)=LEFT('112'!$M$9,2),B1515&lt;'112'!$N$8,$L1515='112'!$I$6)),"x",""))</f>
        <v/>
      </c>
      <c r="U1515" s="39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39" t="str">
        <f>IF(OR(TH!L1515=TH!$W$7,M1515=TH!$W$7),"x","")</f>
        <v/>
      </c>
      <c r="X1515" s="39" t="str">
        <f>IF(AND(B1515&gt;='IN-NX'!$P$3,B1515&lt;='IN-NX'!$Q$3,'IN-NX'!$D$7=D1515,OR(LEFT(L1515,2)="15",AND(LEFT(M1515,2)&lt;&gt;"15",LEFT(M1515,2)&lt;&gt;"33"))),"x","")</f>
        <v/>
      </c>
      <c r="Y1515" s="39" t="str">
        <f>IF(AND(OR(LEFT(TH!L1515,2)="15",LEFT(TH!M1515,2)="15"),'152-CT'!$J$8=TH!F1515),"x","")</f>
        <v/>
      </c>
      <c r="Z1515" s="39" t="str">
        <f>IF(AND(OR(LEFT(TH!L1515,2)="15",LEFT(TH!M1515,2)="15"),TK!$E$7=TH!F1515),"x","")</f>
        <v/>
      </c>
      <c r="AA1515" s="39" t="str">
        <f>IF(AND(B1515&lt;=NKC!$N$8,B1515&gt;=NKC!$M$8),"x","")</f>
        <v/>
      </c>
      <c r="AB1515" s="821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95"/>
        <v/>
      </c>
      <c r="C1516" s="191"/>
      <c r="D1516" s="191"/>
      <c r="E1516" s="191"/>
      <c r="F1516" s="192"/>
      <c r="G1516" s="468"/>
      <c r="H1516" s="193"/>
      <c r="I1516" s="256"/>
      <c r="J1516" s="256"/>
      <c r="K1516" s="568"/>
      <c r="L1516" s="194"/>
      <c r="M1516" s="194"/>
      <c r="N1516" s="39" t="str">
        <f>IF(AND('331-CT'!$E$7=TH!H1516,OR(L1516="331",M1516="331")),"331",IF(AND(OR(L1516="131",M1516="131"),H1516='131-CT'!$E$7),"131",""))</f>
        <v/>
      </c>
      <c r="O1516" s="902" t="str">
        <f>IF(AND('341-CT'!$E$9=H1516,OR(LEFT(L1516,3)=$O$7,LEFT(M1516,3)=$O$7)),"x","")</f>
        <v/>
      </c>
      <c r="P1516" s="39" t="str">
        <f>IF(AND($B1516&gt;='111'!$N$11,$B1516&lt;='111'!$O$11,OR($L1516=$P$7,$M1516=$P$7)),"x","")</f>
        <v/>
      </c>
      <c r="Q1516" s="39" t="str">
        <f>IF(AND($L1516=$P$7,$B1516&lt;'111'!$N$11),"x","")</f>
        <v/>
      </c>
      <c r="R1516" s="39" t="str">
        <f>IF(AND($M1516=$P$7,$B1516&lt;'111'!$N$11),"x","")</f>
        <v/>
      </c>
      <c r="S1516" s="39" t="str">
        <f>IF(ISERROR(FIND('112'!$M$9,G1516,1)),"",IF((AND(FIND('112'!$M$9,G1516,1)&gt;=1,$B1516&gt;='112'!$N$8,$B1516&lt;='112'!$O$8,OR($L1516='112'!$I$6,$M1516='112'!$I$6))),"x",""))</f>
        <v/>
      </c>
      <c r="T1516" s="39" t="str">
        <f>IF(ISERROR(FIND('112'!$M$9,G1516,1)),"",IF((AND(LEFT(G1516,2)=LEFT('112'!$M$9,2),B1516&lt;'112'!$N$8,$L1516='112'!$I$6)),"x",""))</f>
        <v/>
      </c>
      <c r="U1516" s="39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39" t="str">
        <f>IF(OR(TH!L1516=TH!$W$7,M1516=TH!$W$7),"x","")</f>
        <v/>
      </c>
      <c r="X1516" s="39" t="str">
        <f>IF(AND(B1516&gt;='IN-NX'!$P$3,B1516&lt;='IN-NX'!$Q$3,'IN-NX'!$D$7=D1516,OR(LEFT(L1516,2)="15",AND(LEFT(M1516,2)&lt;&gt;"15",LEFT(M1516,2)&lt;&gt;"33"))),"x","")</f>
        <v/>
      </c>
      <c r="Y1516" s="39" t="str">
        <f>IF(AND(OR(LEFT(TH!L1516,2)="15",LEFT(TH!M1516,2)="15"),'152-CT'!$J$8=TH!F1516),"x","")</f>
        <v/>
      </c>
      <c r="Z1516" s="39" t="str">
        <f>IF(AND(OR(LEFT(TH!L1516,2)="15",LEFT(TH!M1516,2)="15"),TK!$E$7=TH!F1516),"x","")</f>
        <v/>
      </c>
      <c r="AA1516" s="39" t="str">
        <f>IF(AND(B1516&lt;=NKC!$N$8,B1516&gt;=NKC!$M$8),"x","")</f>
        <v/>
      </c>
      <c r="AB1516" s="821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95"/>
        <v/>
      </c>
      <c r="C1517" s="191"/>
      <c r="D1517" s="191"/>
      <c r="E1517" s="191"/>
      <c r="F1517" s="192"/>
      <c r="G1517" s="468"/>
      <c r="H1517" s="193"/>
      <c r="I1517" s="256"/>
      <c r="J1517" s="256"/>
      <c r="K1517" s="568"/>
      <c r="L1517" s="194"/>
      <c r="M1517" s="194"/>
      <c r="N1517" s="39" t="str">
        <f>IF(AND('331-CT'!$E$7=TH!H1517,OR(L1517="331",M1517="331")),"331",IF(AND(OR(L1517="131",M1517="131"),H1517='131-CT'!$E$7),"131",""))</f>
        <v/>
      </c>
      <c r="O1517" s="902" t="str">
        <f>IF(AND('341-CT'!$E$9=H1517,OR(LEFT(L1517,3)=$O$7,LEFT(M1517,3)=$O$7)),"x","")</f>
        <v/>
      </c>
      <c r="P1517" s="39" t="str">
        <f>IF(AND($B1517&gt;='111'!$N$11,$B1517&lt;='111'!$O$11,OR($L1517=$P$7,$M1517=$P$7)),"x","")</f>
        <v/>
      </c>
      <c r="Q1517" s="39" t="str">
        <f>IF(AND($L1517=$P$7,$B1517&lt;'111'!$N$11),"x","")</f>
        <v/>
      </c>
      <c r="R1517" s="39" t="str">
        <f>IF(AND($M1517=$P$7,$B1517&lt;'111'!$N$11),"x","")</f>
        <v/>
      </c>
      <c r="S1517" s="39" t="str">
        <f>IF(ISERROR(FIND('112'!$M$9,G1517,1)),"",IF((AND(FIND('112'!$M$9,G1517,1)&gt;=1,$B1517&gt;='112'!$N$8,$B1517&lt;='112'!$O$8,OR($L1517='112'!$I$6,$M1517='112'!$I$6))),"x",""))</f>
        <v/>
      </c>
      <c r="T1517" s="39" t="str">
        <f>IF(ISERROR(FIND('112'!$M$9,G1517,1)),"",IF((AND(LEFT(G1517,2)=LEFT('112'!$M$9,2),B1517&lt;'112'!$N$8,$L1517='112'!$I$6)),"x",""))</f>
        <v/>
      </c>
      <c r="U1517" s="39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39" t="str">
        <f>IF(OR(TH!L1517=TH!$W$7,M1517=TH!$W$7),"x","")</f>
        <v/>
      </c>
      <c r="X1517" s="39" t="str">
        <f>IF(AND(B1517&gt;='IN-NX'!$P$3,B1517&lt;='IN-NX'!$Q$3,'IN-NX'!$D$7=D1517,OR(LEFT(L1517,2)="15",AND(LEFT(M1517,2)&lt;&gt;"15",LEFT(M1517,2)&lt;&gt;"33"))),"x","")</f>
        <v/>
      </c>
      <c r="Y1517" s="39" t="str">
        <f>IF(AND(OR(LEFT(TH!L1517,2)="15",LEFT(TH!M1517,2)="15"),'152-CT'!$J$8=TH!F1517),"x","")</f>
        <v/>
      </c>
      <c r="Z1517" s="39" t="str">
        <f>IF(AND(OR(LEFT(TH!L1517,2)="15",LEFT(TH!M1517,2)="15"),TK!$E$7=TH!F1517),"x","")</f>
        <v/>
      </c>
      <c r="AA1517" s="39" t="str">
        <f>IF(AND(B1517&lt;=NKC!$N$8,B1517&gt;=NKC!$M$8),"x","")</f>
        <v/>
      </c>
      <c r="AB1517" s="821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95"/>
        <v/>
      </c>
      <c r="C1518" s="191"/>
      <c r="D1518" s="191"/>
      <c r="E1518" s="191"/>
      <c r="F1518" s="192"/>
      <c r="G1518" s="468"/>
      <c r="H1518" s="193"/>
      <c r="I1518" s="256"/>
      <c r="J1518" s="256"/>
      <c r="K1518" s="568"/>
      <c r="L1518" s="194"/>
      <c r="M1518" s="194"/>
      <c r="N1518" s="39" t="str">
        <f>IF(AND('331-CT'!$E$7=TH!H1518,OR(L1518="331",M1518="331")),"331",IF(AND(OR(L1518="131",M1518="131"),H1518='131-CT'!$E$7),"131",""))</f>
        <v/>
      </c>
      <c r="O1518" s="902" t="str">
        <f>IF(AND('341-CT'!$E$9=H1518,OR(LEFT(L1518,3)=$O$7,LEFT(M1518,3)=$O$7)),"x","")</f>
        <v/>
      </c>
      <c r="P1518" s="39" t="str">
        <f>IF(AND($B1518&gt;='111'!$N$11,$B1518&lt;='111'!$O$11,OR($L1518=$P$7,$M1518=$P$7)),"x","")</f>
        <v/>
      </c>
      <c r="Q1518" s="39" t="str">
        <f>IF(AND($L1518=$P$7,$B1518&lt;'111'!$N$11),"x","")</f>
        <v/>
      </c>
      <c r="R1518" s="39" t="str">
        <f>IF(AND($M1518=$P$7,$B1518&lt;'111'!$N$11),"x","")</f>
        <v/>
      </c>
      <c r="S1518" s="39" t="str">
        <f>IF(ISERROR(FIND('112'!$M$9,G1518,1)),"",IF((AND(FIND('112'!$M$9,G1518,1)&gt;=1,$B1518&gt;='112'!$N$8,$B1518&lt;='112'!$O$8,OR($L1518='112'!$I$6,$M1518='112'!$I$6))),"x",""))</f>
        <v/>
      </c>
      <c r="T1518" s="39" t="str">
        <f>IF(ISERROR(FIND('112'!$M$9,G1518,1)),"",IF((AND(LEFT(G1518,2)=LEFT('112'!$M$9,2),B1518&lt;'112'!$N$8,$L1518='112'!$I$6)),"x",""))</f>
        <v/>
      </c>
      <c r="U1518" s="39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39" t="str">
        <f>IF(OR(TH!L1518=TH!$W$7,M1518=TH!$W$7),"x","")</f>
        <v/>
      </c>
      <c r="X1518" s="39" t="str">
        <f>IF(AND(B1518&gt;='IN-NX'!$P$3,B1518&lt;='IN-NX'!$Q$3,'IN-NX'!$D$7=D1518,OR(LEFT(L1518,2)="15",AND(LEFT(M1518,2)&lt;&gt;"15",LEFT(M1518,2)&lt;&gt;"33"))),"x","")</f>
        <v/>
      </c>
      <c r="Y1518" s="39" t="str">
        <f>IF(AND(OR(LEFT(TH!L1518,2)="15",LEFT(TH!M1518,2)="15"),'152-CT'!$J$8=TH!F1518),"x","")</f>
        <v/>
      </c>
      <c r="Z1518" s="39" t="str">
        <f>IF(AND(OR(LEFT(TH!L1518,2)="15",LEFT(TH!M1518,2)="15"),TK!$E$7=TH!F1518),"x","")</f>
        <v/>
      </c>
      <c r="AA1518" s="39" t="str">
        <f>IF(AND(B1518&lt;=NKC!$N$8,B1518&gt;=NKC!$M$8),"x","")</f>
        <v/>
      </c>
      <c r="AB1518" s="821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95"/>
        <v/>
      </c>
      <c r="C1519" s="191"/>
      <c r="D1519" s="191"/>
      <c r="E1519" s="191"/>
      <c r="F1519" s="192"/>
      <c r="G1519" s="468"/>
      <c r="H1519" s="193"/>
      <c r="I1519" s="256"/>
      <c r="J1519" s="256"/>
      <c r="K1519" s="568"/>
      <c r="L1519" s="194"/>
      <c r="M1519" s="194"/>
      <c r="N1519" s="39" t="str">
        <f>IF(AND('331-CT'!$E$7=TH!H1519,OR(L1519="331",M1519="331")),"331",IF(AND(OR(L1519="131",M1519="131"),H1519='131-CT'!$E$7),"131",""))</f>
        <v/>
      </c>
      <c r="O1519" s="902" t="str">
        <f>IF(AND('341-CT'!$E$9=H1519,OR(LEFT(L1519,3)=$O$7,LEFT(M1519,3)=$O$7)),"x","")</f>
        <v/>
      </c>
      <c r="P1519" s="39" t="str">
        <f>IF(AND($B1519&gt;='111'!$N$11,$B1519&lt;='111'!$O$11,OR($L1519=$P$7,$M1519=$P$7)),"x","")</f>
        <v/>
      </c>
      <c r="Q1519" s="39" t="str">
        <f>IF(AND($L1519=$P$7,$B1519&lt;'111'!$N$11),"x","")</f>
        <v/>
      </c>
      <c r="R1519" s="39" t="str">
        <f>IF(AND($M1519=$P$7,$B1519&lt;'111'!$N$11),"x","")</f>
        <v/>
      </c>
      <c r="S1519" s="39" t="str">
        <f>IF(ISERROR(FIND('112'!$M$9,G1519,1)),"",IF((AND(FIND('112'!$M$9,G1519,1)&gt;=1,$B1519&gt;='112'!$N$8,$B1519&lt;='112'!$O$8,OR($L1519='112'!$I$6,$M1519='112'!$I$6))),"x",""))</f>
        <v/>
      </c>
      <c r="T1519" s="39" t="str">
        <f>IF(ISERROR(FIND('112'!$M$9,G1519,1)),"",IF((AND(LEFT(G1519,2)=LEFT('112'!$M$9,2),B1519&lt;'112'!$N$8,$L1519='112'!$I$6)),"x",""))</f>
        <v/>
      </c>
      <c r="U1519" s="39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39" t="str">
        <f>IF(OR(TH!L1519=TH!$W$7,M1519=TH!$W$7),"x","")</f>
        <v/>
      </c>
      <c r="X1519" s="39" t="str">
        <f>IF(AND(B1519&gt;='IN-NX'!$P$3,B1519&lt;='IN-NX'!$Q$3,'IN-NX'!$D$7=D1519,OR(LEFT(L1519,2)="15",AND(LEFT(M1519,2)&lt;&gt;"15",LEFT(M1519,2)&lt;&gt;"33"))),"x","")</f>
        <v/>
      </c>
      <c r="Y1519" s="39" t="str">
        <f>IF(AND(OR(LEFT(TH!L1519,2)="15",LEFT(TH!M1519,2)="15"),'152-CT'!$J$8=TH!F1519),"x","")</f>
        <v/>
      </c>
      <c r="Z1519" s="39" t="str">
        <f>IF(AND(OR(LEFT(TH!L1519,2)="15",LEFT(TH!M1519,2)="15"),TK!$E$7=TH!F1519),"x","")</f>
        <v/>
      </c>
      <c r="AA1519" s="39" t="str">
        <f>IF(AND(B1519&lt;=NKC!$N$8,B1519&gt;=NKC!$M$8),"x","")</f>
        <v/>
      </c>
      <c r="AB1519" s="821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95"/>
        <v/>
      </c>
      <c r="C1520" s="191"/>
      <c r="D1520" s="191"/>
      <c r="E1520" s="191"/>
      <c r="F1520" s="192"/>
      <c r="G1520" s="468"/>
      <c r="H1520" s="193"/>
      <c r="I1520" s="256"/>
      <c r="J1520" s="256"/>
      <c r="K1520" s="568"/>
      <c r="L1520" s="194"/>
      <c r="M1520" s="194"/>
      <c r="N1520" s="39" t="str">
        <f>IF(AND('331-CT'!$E$7=TH!H1520,OR(L1520="331",M1520="331")),"331",IF(AND(OR(L1520="131",M1520="131"),H1520='131-CT'!$E$7),"131",""))</f>
        <v/>
      </c>
      <c r="O1520" s="902" t="str">
        <f>IF(AND('341-CT'!$E$9=H1520,OR(LEFT(L1520,3)=$O$7,LEFT(M1520,3)=$O$7)),"x","")</f>
        <v/>
      </c>
      <c r="P1520" s="39" t="str">
        <f>IF(AND($B1520&gt;='111'!$N$11,$B1520&lt;='111'!$O$11,OR($L1520=$P$7,$M1520=$P$7)),"x","")</f>
        <v/>
      </c>
      <c r="Q1520" s="39" t="str">
        <f>IF(AND($L1520=$P$7,$B1520&lt;'111'!$N$11),"x","")</f>
        <v/>
      </c>
      <c r="R1520" s="39" t="str">
        <f>IF(AND($M1520=$P$7,$B1520&lt;'111'!$N$11),"x","")</f>
        <v/>
      </c>
      <c r="S1520" s="39" t="str">
        <f>IF(ISERROR(FIND('112'!$M$9,G1520,1)),"",IF((AND(FIND('112'!$M$9,G1520,1)&gt;=1,$B1520&gt;='112'!$N$8,$B1520&lt;='112'!$O$8,OR($L1520='112'!$I$6,$M1520='112'!$I$6))),"x",""))</f>
        <v/>
      </c>
      <c r="T1520" s="39" t="str">
        <f>IF(ISERROR(FIND('112'!$M$9,G1520,1)),"",IF((AND(LEFT(G1520,2)=LEFT('112'!$M$9,2),B1520&lt;'112'!$N$8,$L1520='112'!$I$6)),"x",""))</f>
        <v/>
      </c>
      <c r="U1520" s="39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39" t="str">
        <f>IF(OR(TH!L1520=TH!$W$7,M1520=TH!$W$7),"x","")</f>
        <v/>
      </c>
      <c r="X1520" s="39" t="str">
        <f>IF(AND(B1520&gt;='IN-NX'!$P$3,B1520&lt;='IN-NX'!$Q$3,'IN-NX'!$D$7=D1520,OR(LEFT(L1520,2)="15",AND(LEFT(M1520,2)&lt;&gt;"15",LEFT(M1520,2)&lt;&gt;"33"))),"x","")</f>
        <v/>
      </c>
      <c r="Y1520" s="39" t="str">
        <f>IF(AND(OR(LEFT(TH!L1520,2)="15",LEFT(TH!M1520,2)="15"),'152-CT'!$J$8=TH!F1520),"x","")</f>
        <v/>
      </c>
      <c r="Z1520" s="39" t="str">
        <f>IF(AND(OR(LEFT(TH!L1520,2)="15",LEFT(TH!M1520,2)="15"),TK!$E$7=TH!F1520),"x","")</f>
        <v/>
      </c>
      <c r="AA1520" s="39" t="str">
        <f>IF(AND(B1520&lt;=NKC!$N$8,B1520&gt;=NKC!$M$8),"x","")</f>
        <v/>
      </c>
      <c r="AB1520" s="821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95"/>
        <v/>
      </c>
      <c r="C1521" s="191"/>
      <c r="D1521" s="191"/>
      <c r="E1521" s="191"/>
      <c r="F1521" s="192"/>
      <c r="G1521" s="468"/>
      <c r="H1521" s="193"/>
      <c r="I1521" s="256"/>
      <c r="J1521" s="256"/>
      <c r="K1521" s="568"/>
      <c r="L1521" s="194"/>
      <c r="M1521" s="194"/>
      <c r="N1521" s="39" t="str">
        <f>IF(AND('331-CT'!$E$7=TH!H1521,OR(L1521="331",M1521="331")),"331",IF(AND(OR(L1521="131",M1521="131"),H1521='131-CT'!$E$7),"131",""))</f>
        <v/>
      </c>
      <c r="O1521" s="902" t="str">
        <f>IF(AND('341-CT'!$E$9=H1521,OR(LEFT(L1521,3)=$O$7,LEFT(M1521,3)=$O$7)),"x","")</f>
        <v/>
      </c>
      <c r="P1521" s="39" t="str">
        <f>IF(AND($B1521&gt;='111'!$N$11,$B1521&lt;='111'!$O$11,OR($L1521=$P$7,$M1521=$P$7)),"x","")</f>
        <v/>
      </c>
      <c r="Q1521" s="39" t="str">
        <f>IF(AND($L1521=$P$7,$B1521&lt;'111'!$N$11),"x","")</f>
        <v/>
      </c>
      <c r="R1521" s="39" t="str">
        <f>IF(AND($M1521=$P$7,$B1521&lt;'111'!$N$11),"x","")</f>
        <v/>
      </c>
      <c r="S1521" s="39" t="str">
        <f>IF(ISERROR(FIND('112'!$M$9,G1521,1)),"",IF((AND(FIND('112'!$M$9,G1521,1)&gt;=1,$B1521&gt;='112'!$N$8,$B1521&lt;='112'!$O$8,OR($L1521='112'!$I$6,$M1521='112'!$I$6))),"x",""))</f>
        <v/>
      </c>
      <c r="T1521" s="39" t="str">
        <f>IF(ISERROR(FIND('112'!$M$9,G1521,1)),"",IF((AND(LEFT(G1521,2)=LEFT('112'!$M$9,2),B1521&lt;'112'!$N$8,$L1521='112'!$I$6)),"x",""))</f>
        <v/>
      </c>
      <c r="U1521" s="39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39" t="str">
        <f>IF(OR(TH!L1521=TH!$W$7,M1521=TH!$W$7),"x","")</f>
        <v/>
      </c>
      <c r="X1521" s="39" t="str">
        <f>IF(AND(B1521&gt;='IN-NX'!$P$3,B1521&lt;='IN-NX'!$Q$3,'IN-NX'!$D$7=D1521,OR(LEFT(L1521,2)="15",AND(LEFT(M1521,2)&lt;&gt;"15",LEFT(M1521,2)&lt;&gt;"33"))),"x","")</f>
        <v/>
      </c>
      <c r="Y1521" s="39" t="str">
        <f>IF(AND(OR(LEFT(TH!L1521,2)="15",LEFT(TH!M1521,2)="15"),'152-CT'!$J$8=TH!F1521),"x","")</f>
        <v/>
      </c>
      <c r="Z1521" s="39" t="str">
        <f>IF(AND(OR(LEFT(TH!L1521,2)="15",LEFT(TH!M1521,2)="15"),TK!$E$7=TH!F1521),"x","")</f>
        <v/>
      </c>
      <c r="AA1521" s="39" t="str">
        <f>IF(AND(B1521&lt;=NKC!$N$8,B1521&gt;=NKC!$M$8),"x","")</f>
        <v/>
      </c>
      <c r="AB1521" s="821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95"/>
        <v/>
      </c>
      <c r="C1522" s="191"/>
      <c r="D1522" s="191"/>
      <c r="E1522" s="191"/>
      <c r="F1522" s="192"/>
      <c r="G1522" s="468"/>
      <c r="H1522" s="193"/>
      <c r="I1522" s="256"/>
      <c r="J1522" s="256"/>
      <c r="K1522" s="568"/>
      <c r="L1522" s="194"/>
      <c r="M1522" s="194"/>
      <c r="N1522" s="39" t="str">
        <f>IF(AND('331-CT'!$E$7=TH!H1522,OR(L1522="331",M1522="331")),"331",IF(AND(OR(L1522="131",M1522="131"),H1522='131-CT'!$E$7),"131",""))</f>
        <v/>
      </c>
      <c r="O1522" s="902" t="str">
        <f>IF(AND('341-CT'!$E$9=H1522,OR(LEFT(L1522,3)=$O$7,LEFT(M1522,3)=$O$7)),"x","")</f>
        <v/>
      </c>
      <c r="P1522" s="39" t="str">
        <f>IF(AND($B1522&gt;='111'!$N$11,$B1522&lt;='111'!$O$11,OR($L1522=$P$7,$M1522=$P$7)),"x","")</f>
        <v/>
      </c>
      <c r="Q1522" s="39" t="str">
        <f>IF(AND($L1522=$P$7,$B1522&lt;'111'!$N$11),"x","")</f>
        <v/>
      </c>
      <c r="R1522" s="39" t="str">
        <f>IF(AND($M1522=$P$7,$B1522&lt;'111'!$N$11),"x","")</f>
        <v/>
      </c>
      <c r="S1522" s="39" t="str">
        <f>IF(ISERROR(FIND('112'!$M$9,G1522,1)),"",IF((AND(FIND('112'!$M$9,G1522,1)&gt;=1,$B1522&gt;='112'!$N$8,$B1522&lt;='112'!$O$8,OR($L1522='112'!$I$6,$M1522='112'!$I$6))),"x",""))</f>
        <v/>
      </c>
      <c r="T1522" s="39" t="str">
        <f>IF(ISERROR(FIND('112'!$M$9,G1522,1)),"",IF((AND(LEFT(G1522,2)=LEFT('112'!$M$9,2),B1522&lt;'112'!$N$8,$L1522='112'!$I$6)),"x",""))</f>
        <v/>
      </c>
      <c r="U1522" s="39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39" t="str">
        <f>IF(OR(TH!L1522=TH!$W$7,M1522=TH!$W$7),"x","")</f>
        <v/>
      </c>
      <c r="X1522" s="39" t="str">
        <f>IF(AND(B1522&gt;='IN-NX'!$P$3,B1522&lt;='IN-NX'!$Q$3,'IN-NX'!$D$7=D1522,OR(LEFT(L1522,2)="15",AND(LEFT(M1522,2)&lt;&gt;"15",LEFT(M1522,2)&lt;&gt;"33"))),"x","")</f>
        <v/>
      </c>
      <c r="Y1522" s="39" t="str">
        <f>IF(AND(OR(LEFT(TH!L1522,2)="15",LEFT(TH!M1522,2)="15"),'152-CT'!$J$8=TH!F1522),"x","")</f>
        <v/>
      </c>
      <c r="Z1522" s="39" t="str">
        <f>IF(AND(OR(LEFT(TH!L1522,2)="15",LEFT(TH!M1522,2)="15"),TK!$E$7=TH!F1522),"x","")</f>
        <v/>
      </c>
      <c r="AA1522" s="39" t="str">
        <f>IF(AND(B1522&lt;=NKC!$N$8,B1522&gt;=NKC!$M$8),"x","")</f>
        <v/>
      </c>
      <c r="AB1522" s="821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95"/>
        <v/>
      </c>
      <c r="C1523" s="191"/>
      <c r="D1523" s="191"/>
      <c r="E1523" s="191"/>
      <c r="F1523" s="192"/>
      <c r="G1523" s="468"/>
      <c r="H1523" s="193"/>
      <c r="I1523" s="256"/>
      <c r="J1523" s="256"/>
      <c r="K1523" s="568"/>
      <c r="L1523" s="194"/>
      <c r="M1523" s="194"/>
      <c r="N1523" s="39" t="str">
        <f>IF(AND('331-CT'!$E$7=TH!H1523,OR(L1523="331",M1523="331")),"331",IF(AND(OR(L1523="131",M1523="131"),H1523='131-CT'!$E$7),"131",""))</f>
        <v/>
      </c>
      <c r="O1523" s="902" t="str">
        <f>IF(AND('341-CT'!$E$9=H1523,OR(LEFT(L1523,3)=$O$7,LEFT(M1523,3)=$O$7)),"x","")</f>
        <v/>
      </c>
      <c r="P1523" s="39" t="str">
        <f>IF(AND($B1523&gt;='111'!$N$11,$B1523&lt;='111'!$O$11,OR($L1523=$P$7,$M1523=$P$7)),"x","")</f>
        <v/>
      </c>
      <c r="Q1523" s="39" t="str">
        <f>IF(AND($L1523=$P$7,$B1523&lt;'111'!$N$11),"x","")</f>
        <v/>
      </c>
      <c r="R1523" s="39" t="str">
        <f>IF(AND($M1523=$P$7,$B1523&lt;'111'!$N$11),"x","")</f>
        <v/>
      </c>
      <c r="S1523" s="39" t="str">
        <f>IF(ISERROR(FIND('112'!$M$9,G1523,1)),"",IF((AND(FIND('112'!$M$9,G1523,1)&gt;=1,$B1523&gt;='112'!$N$8,$B1523&lt;='112'!$O$8,OR($L1523='112'!$I$6,$M1523='112'!$I$6))),"x",""))</f>
        <v/>
      </c>
      <c r="T1523" s="39" t="str">
        <f>IF(ISERROR(FIND('112'!$M$9,G1523,1)),"",IF((AND(LEFT(G1523,2)=LEFT('112'!$M$9,2),B1523&lt;'112'!$N$8,$L1523='112'!$I$6)),"x",""))</f>
        <v/>
      </c>
      <c r="U1523" s="39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39" t="str">
        <f>IF(OR(TH!L1523=TH!$W$7,M1523=TH!$W$7),"x","")</f>
        <v/>
      </c>
      <c r="X1523" s="39" t="str">
        <f>IF(AND(B1523&gt;='IN-NX'!$P$3,B1523&lt;='IN-NX'!$Q$3,'IN-NX'!$D$7=D1523,OR(LEFT(L1523,2)="15",AND(LEFT(M1523,2)&lt;&gt;"15",LEFT(M1523,2)&lt;&gt;"33"))),"x","")</f>
        <v/>
      </c>
      <c r="Y1523" s="39" t="str">
        <f>IF(AND(OR(LEFT(TH!L1523,2)="15",LEFT(TH!M1523,2)="15"),'152-CT'!$J$8=TH!F1523),"x","")</f>
        <v/>
      </c>
      <c r="Z1523" s="39" t="str">
        <f>IF(AND(OR(LEFT(TH!L1523,2)="15",LEFT(TH!M1523,2)="15"),TK!$E$7=TH!F1523),"x","")</f>
        <v/>
      </c>
      <c r="AA1523" s="39" t="str">
        <f>IF(AND(B1523&lt;=NKC!$N$8,B1523&gt;=NKC!$M$8),"x","")</f>
        <v/>
      </c>
      <c r="AB1523" s="821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si="95"/>
        <v/>
      </c>
      <c r="C1524" s="37"/>
      <c r="D1524" s="37"/>
      <c r="E1524" s="37"/>
      <c r="F1524" s="40"/>
      <c r="G1524" s="40"/>
      <c r="H1524" s="7"/>
      <c r="I1524" s="256"/>
      <c r="J1524" s="256"/>
      <c r="K1524" s="568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902" t="str">
        <f>IF(AND('341-CT'!$E$9=H1524,OR(LEFT(L1524,3)=$O$7,LEFT(M1524,3)=$O$7)),"x","")</f>
        <v/>
      </c>
      <c r="P1524" s="39" t="str">
        <f>IF(AND($B1524&gt;='111'!$N$11,$B1524&lt;='111'!$O$11,OR($L1524=$P$7,$M1524=$P$7)),"x","")</f>
        <v/>
      </c>
      <c r="Q1524" s="39" t="str">
        <f>IF(AND($L1524=$P$7,$B1524&lt;'111'!$N$11),"x","")</f>
        <v/>
      </c>
      <c r="R1524" s="39" t="str">
        <f>IF(AND($M1524=$P$7,$B1524&lt;'111'!$N$11),"x","")</f>
        <v/>
      </c>
      <c r="S1524" s="39" t="str">
        <f>IF(ISERROR(FIND('112'!$M$9,G1524,1)),"",IF((AND(FIND('112'!$M$9,G1524,1)&gt;=1,$B1524&gt;='112'!$N$8,$B1524&lt;='112'!$O$8,OR($L1524='112'!$I$6,$M1524='112'!$I$6))),"x",""))</f>
        <v/>
      </c>
      <c r="T1524" s="39" t="str">
        <f>IF(ISERROR(FIND('112'!$M$9,G1524,1)),"",IF((AND(LEFT(G1524,2)=LEFT('112'!$M$9,2),B1524&lt;'112'!$N$8,$L1524='112'!$I$6)),"x",""))</f>
        <v/>
      </c>
      <c r="U1524" s="39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39" t="str">
        <f>IF(OR(TH!L1524=TH!$W$7,M1524=TH!$W$7),"x","")</f>
        <v/>
      </c>
      <c r="X1524" s="39" t="str">
        <f>IF(AND(B1524&gt;='IN-NX'!$P$3,B1524&lt;='IN-NX'!$Q$3,'IN-NX'!$D$7=D1524,OR(LEFT(L1524,2)="15",AND(LEFT(M1524,2)&lt;&gt;"15",LEFT(M1524,2)&lt;&gt;"33"))),"x","")</f>
        <v/>
      </c>
      <c r="Y1524" s="39" t="str">
        <f>IF(AND(OR(LEFT(TH!L1524,2)="15",LEFT(TH!M1524,2)="15"),'152-CT'!$J$8=TH!F1524),"x","")</f>
        <v/>
      </c>
      <c r="Z1524" s="39" t="str">
        <f>IF(AND(OR(LEFT(TH!L1524,2)="15",LEFT(TH!M1524,2)="15"),TK!$E$7=TH!F1524),"x","")</f>
        <v/>
      </c>
      <c r="AA1524" s="39" t="str">
        <f>IF(AND(B1524&lt;=NKC!$N$8,B1524&gt;=NKC!$M$8),"x","")</f>
        <v/>
      </c>
      <c r="AB1524" s="821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95"/>
        <v/>
      </c>
      <c r="C1525" s="37"/>
      <c r="D1525" s="37"/>
      <c r="E1525" s="37"/>
      <c r="F1525" s="40"/>
      <c r="G1525" s="40"/>
      <c r="H1525" s="7"/>
      <c r="I1525" s="256"/>
      <c r="J1525" s="256"/>
      <c r="K1525" s="56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902" t="str">
        <f>IF(AND('341-CT'!$E$9=H1525,OR(LEFT(L1525,3)=$O$7,LEFT(M1525,3)=$O$7)),"x","")</f>
        <v/>
      </c>
      <c r="P1525" s="39" t="str">
        <f>IF(AND($B1525&gt;='111'!$N$11,$B1525&lt;='111'!$O$11,OR($L1525=$P$7,$M1525=$P$7)),"x","")</f>
        <v/>
      </c>
      <c r="Q1525" s="39" t="str">
        <f>IF(AND($L1525=$P$7,$B1525&lt;'111'!$N$11),"x","")</f>
        <v/>
      </c>
      <c r="R1525" s="39" t="str">
        <f>IF(AND($M1525=$P$7,$B1525&lt;'111'!$N$11),"x","")</f>
        <v/>
      </c>
      <c r="S1525" s="39" t="str">
        <f>IF(ISERROR(FIND('112'!$M$9,G1525,1)),"",IF((AND(FIND('112'!$M$9,G1525,1)&gt;=1,$B1525&gt;='112'!$N$8,$B1525&lt;='112'!$O$8,OR($L1525='112'!$I$6,$M1525='112'!$I$6))),"x",""))</f>
        <v/>
      </c>
      <c r="T1525" s="39" t="str">
        <f>IF(ISERROR(FIND('112'!$M$9,G1525,1)),"",IF((AND(LEFT(G1525,2)=LEFT('112'!$M$9,2),B1525&lt;'112'!$N$8,$L1525='112'!$I$6)),"x",""))</f>
        <v/>
      </c>
      <c r="U1525" s="39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39" t="str">
        <f>IF(OR(TH!L1525=TH!$W$7,M1525=TH!$W$7),"x","")</f>
        <v/>
      </c>
      <c r="X1525" s="39" t="str">
        <f>IF(AND(B1525&gt;='IN-NX'!$P$3,B1525&lt;='IN-NX'!$Q$3,'IN-NX'!$D$7=D1525,OR(LEFT(L1525,2)="15",AND(LEFT(M1525,2)&lt;&gt;"15",LEFT(M1525,2)&lt;&gt;"33"))),"x","")</f>
        <v/>
      </c>
      <c r="Y1525" s="39" t="str">
        <f>IF(AND(OR(LEFT(TH!L1525,2)="15",LEFT(TH!M1525,2)="15"),'152-CT'!$J$8=TH!F1525),"x","")</f>
        <v/>
      </c>
      <c r="Z1525" s="39" t="str">
        <f>IF(AND(OR(LEFT(TH!L1525,2)="15",LEFT(TH!M1525,2)="15"),TK!$E$7=TH!F1525),"x","")</f>
        <v/>
      </c>
      <c r="AA1525" s="39" t="str">
        <f>IF(AND(B1525&lt;=NKC!$N$8,B1525&gt;=NKC!$M$8),"x","")</f>
        <v/>
      </c>
      <c r="AB1525" s="821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95"/>
        <v/>
      </c>
      <c r="C1526" s="37"/>
      <c r="D1526" s="37"/>
      <c r="E1526" s="37"/>
      <c r="F1526" s="192"/>
      <c r="G1526" s="40"/>
      <c r="H1526" s="7"/>
      <c r="I1526" s="256"/>
      <c r="J1526" s="256"/>
      <c r="K1526" s="56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902" t="str">
        <f>IF(AND('341-CT'!$E$9=H1526,OR(LEFT(L1526,3)=$O$7,LEFT(M1526,3)=$O$7)),"x","")</f>
        <v/>
      </c>
      <c r="P1526" s="39" t="str">
        <f>IF(AND($B1526&gt;='111'!$N$11,$B1526&lt;='111'!$O$11,OR($L1526=$P$7,$M1526=$P$7)),"x","")</f>
        <v/>
      </c>
      <c r="Q1526" s="39" t="str">
        <f>IF(AND($L1526=$P$7,$B1526&lt;'111'!$N$11),"x","")</f>
        <v/>
      </c>
      <c r="R1526" s="39" t="str">
        <f>IF(AND($M1526=$P$7,$B1526&lt;'111'!$N$11),"x","")</f>
        <v/>
      </c>
      <c r="S1526" s="39" t="str">
        <f>IF(ISERROR(FIND('112'!$M$9,G1526,1)),"",IF((AND(FIND('112'!$M$9,G1526,1)&gt;=1,$B1526&gt;='112'!$N$8,$B1526&lt;='112'!$O$8,OR($L1526='112'!$I$6,$M1526='112'!$I$6))),"x",""))</f>
        <v/>
      </c>
      <c r="T1526" s="39" t="str">
        <f>IF(ISERROR(FIND('112'!$M$9,G1526,1)),"",IF((AND(LEFT(G1526,2)=LEFT('112'!$M$9,2),B1526&lt;'112'!$N$8,$L1526='112'!$I$6)),"x",""))</f>
        <v/>
      </c>
      <c r="U1526" s="39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39" t="str">
        <f>IF(OR(TH!L1526=TH!$W$7,M1526=TH!$W$7),"x","")</f>
        <v/>
      </c>
      <c r="X1526" s="39" t="str">
        <f>IF(AND(B1526&gt;='IN-NX'!$P$3,B1526&lt;='IN-NX'!$Q$3,'IN-NX'!$D$7=D1526,OR(LEFT(L1526,2)="15",AND(LEFT(M1526,2)&lt;&gt;"15",LEFT(M1526,2)&lt;&gt;"33"))),"x","")</f>
        <v/>
      </c>
      <c r="Y1526" s="39" t="str">
        <f>IF(AND(OR(LEFT(TH!L1526,2)="15",LEFT(TH!M1526,2)="15"),'152-CT'!$J$8=TH!F1526),"x","")</f>
        <v/>
      </c>
      <c r="Z1526" s="39" t="str">
        <f>IF(AND(OR(LEFT(TH!L1526,2)="15",LEFT(TH!M1526,2)="15"),TK!$E$7=TH!F1526),"x","")</f>
        <v/>
      </c>
      <c r="AA1526" s="39" t="str">
        <f>IF(AND(B1526&lt;=NKC!$N$8,B1526&gt;=NKC!$M$8),"x","")</f>
        <v/>
      </c>
      <c r="AB1526" s="821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95"/>
        <v/>
      </c>
      <c r="C1527" s="37"/>
      <c r="D1527" s="37"/>
      <c r="E1527" s="37"/>
      <c r="F1527" s="40"/>
      <c r="G1527" s="40"/>
      <c r="H1527" s="7"/>
      <c r="I1527" s="256"/>
      <c r="J1527" s="256"/>
      <c r="K1527" s="56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902" t="str">
        <f>IF(AND('341-CT'!$E$9=H1527,OR(LEFT(L1527,3)=$O$7,LEFT(M1527,3)=$O$7)),"x","")</f>
        <v/>
      </c>
      <c r="P1527" s="39" t="str">
        <f>IF(AND($B1527&gt;='111'!$N$11,$B1527&lt;='111'!$O$11,OR($L1527=$P$7,$M1527=$P$7)),"x","")</f>
        <v/>
      </c>
      <c r="Q1527" s="39" t="str">
        <f>IF(AND($L1527=$P$7,$B1527&lt;'111'!$N$11),"x","")</f>
        <v/>
      </c>
      <c r="R1527" s="39" t="str">
        <f>IF(AND($M1527=$P$7,$B1527&lt;'111'!$N$11),"x","")</f>
        <v/>
      </c>
      <c r="S1527" s="39" t="str">
        <f>IF(ISERROR(FIND('112'!$M$9,G1527,1)),"",IF((AND(FIND('112'!$M$9,G1527,1)&gt;=1,$B1527&gt;='112'!$N$8,$B1527&lt;='112'!$O$8,OR($L1527='112'!$I$6,$M1527='112'!$I$6))),"x",""))</f>
        <v/>
      </c>
      <c r="T1527" s="39" t="str">
        <f>IF(ISERROR(FIND('112'!$M$9,G1527,1)),"",IF((AND(LEFT(G1527,2)=LEFT('112'!$M$9,2),B1527&lt;'112'!$N$8,$L1527='112'!$I$6)),"x",""))</f>
        <v/>
      </c>
      <c r="U1527" s="39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39" t="str">
        <f>IF(OR(TH!L1527=TH!$W$7,M1527=TH!$W$7),"x","")</f>
        <v/>
      </c>
      <c r="X1527" s="39" t="str">
        <f>IF(AND(B1527&gt;='IN-NX'!$P$3,B1527&lt;='IN-NX'!$Q$3,'IN-NX'!$D$7=D1527,OR(LEFT(L1527,2)="15",AND(LEFT(M1527,2)&lt;&gt;"15",LEFT(M1527,2)&lt;&gt;"33"))),"x","")</f>
        <v/>
      </c>
      <c r="Y1527" s="39" t="str">
        <f>IF(AND(OR(LEFT(TH!L1527,2)="15",LEFT(TH!M1527,2)="15"),'152-CT'!$J$8=TH!F1527),"x","")</f>
        <v/>
      </c>
      <c r="Z1527" s="39" t="str">
        <f>IF(AND(OR(LEFT(TH!L1527,2)="15",LEFT(TH!M1527,2)="15"),TK!$E$7=TH!F1527),"x","")</f>
        <v/>
      </c>
      <c r="AA1527" s="39" t="str">
        <f>IF(AND(B1527&lt;=NKC!$N$8,B1527&gt;=NKC!$M$8),"x","")</f>
        <v/>
      </c>
      <c r="AB1527" s="821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95"/>
        <v/>
      </c>
      <c r="C1528" s="37"/>
      <c r="D1528" s="37"/>
      <c r="E1528" s="37"/>
      <c r="F1528" s="192"/>
      <c r="G1528" s="40"/>
      <c r="H1528" s="7"/>
      <c r="I1528" s="256"/>
      <c r="J1528" s="256"/>
      <c r="K1528" s="568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902" t="str">
        <f>IF(AND('341-CT'!$E$9=H1528,OR(LEFT(L1528,3)=$O$7,LEFT(M1528,3)=$O$7)),"x","")</f>
        <v/>
      </c>
      <c r="P1528" s="39" t="str">
        <f>IF(AND($B1528&gt;='111'!$N$11,$B1528&lt;='111'!$O$11,OR($L1528=$P$7,$M1528=$P$7)),"x","")</f>
        <v/>
      </c>
      <c r="Q1528" s="39" t="str">
        <f>IF(AND($L1528=$P$7,$B1528&lt;'111'!$N$11),"x","")</f>
        <v/>
      </c>
      <c r="R1528" s="39" t="str">
        <f>IF(AND($M1528=$P$7,$B1528&lt;'111'!$N$11),"x","")</f>
        <v/>
      </c>
      <c r="S1528" s="39" t="str">
        <f>IF(ISERROR(FIND('112'!$M$9,G1528,1)),"",IF((AND(FIND('112'!$M$9,G1528,1)&gt;=1,$B1528&gt;='112'!$N$8,$B1528&lt;='112'!$O$8,OR($L1528='112'!$I$6,$M1528='112'!$I$6))),"x",""))</f>
        <v/>
      </c>
      <c r="T1528" s="39" t="str">
        <f>IF(ISERROR(FIND('112'!$M$9,G1528,1)),"",IF((AND(LEFT(G1528,2)=LEFT('112'!$M$9,2),B1528&lt;'112'!$N$8,$L1528='112'!$I$6)),"x",""))</f>
        <v/>
      </c>
      <c r="U1528" s="39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39" t="str">
        <f>IF(OR(TH!L1528=TH!$W$7,M1528=TH!$W$7),"x","")</f>
        <v/>
      </c>
      <c r="X1528" s="39" t="str">
        <f>IF(AND(B1528&gt;='IN-NX'!$P$3,B1528&lt;='IN-NX'!$Q$3,'IN-NX'!$D$7=D1528,OR(LEFT(L1528,2)="15",AND(LEFT(M1528,2)&lt;&gt;"15",LEFT(M1528,2)&lt;&gt;"33"))),"x","")</f>
        <v/>
      </c>
      <c r="Y1528" s="39" t="str">
        <f>IF(AND(OR(LEFT(TH!L1528,2)="15",LEFT(TH!M1528,2)="15"),'152-CT'!$J$8=TH!F1528),"x","")</f>
        <v/>
      </c>
      <c r="Z1528" s="39" t="str">
        <f>IF(AND(OR(LEFT(TH!L1528,2)="15",LEFT(TH!M1528,2)="15"),TK!$E$7=TH!F1528),"x","")</f>
        <v/>
      </c>
      <c r="AA1528" s="39" t="str">
        <f>IF(AND(B1528&lt;=NKC!$N$8,B1528&gt;=NKC!$M$8),"x","")</f>
        <v/>
      </c>
      <c r="AB1528" s="821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ref="B1529:B1592" si="96">IF(C1529&lt;&gt;"",MONTH(C1529),"")</f>
        <v/>
      </c>
      <c r="C1529" s="37"/>
      <c r="D1529" s="37"/>
      <c r="E1529" s="37"/>
      <c r="F1529" s="40"/>
      <c r="G1529" s="40"/>
      <c r="H1529" s="7"/>
      <c r="I1529" s="256"/>
      <c r="J1529" s="256"/>
      <c r="K1529" s="568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902" t="str">
        <f>IF(AND('341-CT'!$E$9=H1529,OR(LEFT(L1529,3)=$O$7,LEFT(M1529,3)=$O$7)),"x","")</f>
        <v/>
      </c>
      <c r="P1529" s="39" t="str">
        <f>IF(AND($B1529&gt;='111'!$N$11,$B1529&lt;='111'!$O$11,OR($L1529=$P$7,$M1529=$P$7)),"x","")</f>
        <v/>
      </c>
      <c r="Q1529" s="39" t="str">
        <f>IF(AND($L1529=$P$7,$B1529&lt;'111'!$N$11),"x","")</f>
        <v/>
      </c>
      <c r="R1529" s="39" t="str">
        <f>IF(AND($M1529=$P$7,$B1529&lt;'111'!$N$11),"x","")</f>
        <v/>
      </c>
      <c r="S1529" s="39" t="str">
        <f>IF(ISERROR(FIND('112'!$M$9,G1529,1)),"",IF((AND(FIND('112'!$M$9,G1529,1)&gt;=1,$B1529&gt;='112'!$N$8,$B1529&lt;='112'!$O$8,OR($L1529='112'!$I$6,$M1529='112'!$I$6))),"x",""))</f>
        <v/>
      </c>
      <c r="T1529" s="39" t="str">
        <f>IF(ISERROR(FIND('112'!$M$9,G1529,1)),"",IF((AND(LEFT(G1529,2)=LEFT('112'!$M$9,2),B1529&lt;'112'!$N$8,$L1529='112'!$I$6)),"x",""))</f>
        <v/>
      </c>
      <c r="U1529" s="39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39" t="str">
        <f>IF(OR(TH!L1529=TH!$W$7,M1529=TH!$W$7),"x","")</f>
        <v/>
      </c>
      <c r="X1529" s="39" t="str">
        <f>IF(AND(B1529&gt;='IN-NX'!$P$3,B1529&lt;='IN-NX'!$Q$3,'IN-NX'!$D$7=D1529,OR(LEFT(L1529,2)="15",AND(LEFT(M1529,2)&lt;&gt;"15",LEFT(M1529,2)&lt;&gt;"33"))),"x","")</f>
        <v/>
      </c>
      <c r="Y1529" s="39" t="str">
        <f>IF(AND(OR(LEFT(TH!L1529,2)="15",LEFT(TH!M1529,2)="15"),'152-CT'!$J$8=TH!F1529),"x","")</f>
        <v/>
      </c>
      <c r="Z1529" s="39" t="str">
        <f>IF(AND(OR(LEFT(TH!L1529,2)="15",LEFT(TH!M1529,2)="15"),TK!$E$7=TH!F1529),"x","")</f>
        <v/>
      </c>
      <c r="AA1529" s="39" t="str">
        <f>IF(AND(B1529&lt;=NKC!$N$8,B1529&gt;=NKC!$M$8),"x","")</f>
        <v/>
      </c>
      <c r="AB1529" s="821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96"/>
        <v/>
      </c>
      <c r="C1530" s="37"/>
      <c r="D1530" s="37"/>
      <c r="E1530" s="37"/>
      <c r="F1530" s="40"/>
      <c r="G1530" s="40"/>
      <c r="H1530" s="7"/>
      <c r="I1530" s="256"/>
      <c r="J1530" s="256"/>
      <c r="K1530" s="568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902" t="str">
        <f>IF(AND('341-CT'!$E$9=H1530,OR(LEFT(L1530,3)=$O$7,LEFT(M1530,3)=$O$7)),"x","")</f>
        <v/>
      </c>
      <c r="P1530" s="39" t="str">
        <f>IF(AND($B1530&gt;='111'!$N$11,$B1530&lt;='111'!$O$11,OR($L1530=$P$7,$M1530=$P$7)),"x","")</f>
        <v/>
      </c>
      <c r="Q1530" s="39" t="str">
        <f>IF(AND($L1530=$P$7,$B1530&lt;'111'!$N$11),"x","")</f>
        <v/>
      </c>
      <c r="R1530" s="39" t="str">
        <f>IF(AND($M1530=$P$7,$B1530&lt;'111'!$N$11),"x","")</f>
        <v/>
      </c>
      <c r="S1530" s="39" t="str">
        <f>IF(ISERROR(FIND('112'!$M$9,G1530,1)),"",IF((AND(FIND('112'!$M$9,G1530,1)&gt;=1,$B1530&gt;='112'!$N$8,$B1530&lt;='112'!$O$8,OR($L1530='112'!$I$6,$M1530='112'!$I$6))),"x",""))</f>
        <v/>
      </c>
      <c r="T1530" s="39" t="str">
        <f>IF(ISERROR(FIND('112'!$M$9,G1530,1)),"",IF((AND(LEFT(G1530,2)=LEFT('112'!$M$9,2),B1530&lt;'112'!$N$8,$L1530='112'!$I$6)),"x",""))</f>
        <v/>
      </c>
      <c r="U1530" s="39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39" t="str">
        <f>IF(OR(TH!L1530=TH!$W$7,M1530=TH!$W$7),"x","")</f>
        <v/>
      </c>
      <c r="X1530" s="39" t="str">
        <f>IF(AND(B1530&gt;='IN-NX'!$P$3,B1530&lt;='IN-NX'!$Q$3,'IN-NX'!$D$7=D1530,OR(LEFT(L1530,2)="15",AND(LEFT(M1530,2)&lt;&gt;"15",LEFT(M1530,2)&lt;&gt;"33"))),"x","")</f>
        <v/>
      </c>
      <c r="Y1530" s="39" t="str">
        <f>IF(AND(OR(LEFT(TH!L1530,2)="15",LEFT(TH!M1530,2)="15"),'152-CT'!$J$8=TH!F1530),"x","")</f>
        <v/>
      </c>
      <c r="Z1530" s="39" t="str">
        <f>IF(AND(OR(LEFT(TH!L1530,2)="15",LEFT(TH!M1530,2)="15"),TK!$E$7=TH!F1530),"x","")</f>
        <v/>
      </c>
      <c r="AA1530" s="39" t="str">
        <f>IF(AND(B1530&lt;=NKC!$N$8,B1530&gt;=NKC!$M$8),"x","")</f>
        <v/>
      </c>
      <c r="AB1530" s="821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96"/>
        <v/>
      </c>
      <c r="C1531" s="37"/>
      <c r="D1531" s="37"/>
      <c r="E1531" s="37"/>
      <c r="F1531" s="40"/>
      <c r="G1531" s="40"/>
      <c r="H1531" s="7"/>
      <c r="I1531" s="256"/>
      <c r="J1531" s="256"/>
      <c r="K1531" s="568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902" t="str">
        <f>IF(AND('341-CT'!$E$9=H1531,OR(LEFT(L1531,3)=$O$7,LEFT(M1531,3)=$O$7)),"x","")</f>
        <v/>
      </c>
      <c r="P1531" s="39" t="str">
        <f>IF(AND($B1531&gt;='111'!$N$11,$B1531&lt;='111'!$O$11,OR($L1531=$P$7,$M1531=$P$7)),"x","")</f>
        <v/>
      </c>
      <c r="Q1531" s="39" t="str">
        <f>IF(AND($L1531=$P$7,$B1531&lt;'111'!$N$11),"x","")</f>
        <v/>
      </c>
      <c r="R1531" s="39" t="str">
        <f>IF(AND($M1531=$P$7,$B1531&lt;'111'!$N$11),"x","")</f>
        <v/>
      </c>
      <c r="S1531" s="39" t="str">
        <f>IF(ISERROR(FIND('112'!$M$9,G1531,1)),"",IF((AND(FIND('112'!$M$9,G1531,1)&gt;=1,$B1531&gt;='112'!$N$8,$B1531&lt;='112'!$O$8,OR($L1531='112'!$I$6,$M1531='112'!$I$6))),"x",""))</f>
        <v/>
      </c>
      <c r="T1531" s="39" t="str">
        <f>IF(ISERROR(FIND('112'!$M$9,G1531,1)),"",IF((AND(LEFT(G1531,2)=LEFT('112'!$M$9,2),B1531&lt;'112'!$N$8,$L1531='112'!$I$6)),"x",""))</f>
        <v/>
      </c>
      <c r="U1531" s="39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39" t="str">
        <f>IF(OR(TH!L1531=TH!$W$7,M1531=TH!$W$7),"x","")</f>
        <v/>
      </c>
      <c r="X1531" s="39" t="str">
        <f>IF(AND(B1531&gt;='IN-NX'!$P$3,B1531&lt;='IN-NX'!$Q$3,'IN-NX'!$D$7=D1531,OR(LEFT(L1531,2)="15",AND(LEFT(M1531,2)&lt;&gt;"15",LEFT(M1531,2)&lt;&gt;"33"))),"x","")</f>
        <v/>
      </c>
      <c r="Y1531" s="39" t="str">
        <f>IF(AND(OR(LEFT(TH!L1531,2)="15",LEFT(TH!M1531,2)="15"),'152-CT'!$J$8=TH!F1531),"x","")</f>
        <v/>
      </c>
      <c r="Z1531" s="39" t="str">
        <f>IF(AND(OR(LEFT(TH!L1531,2)="15",LEFT(TH!M1531,2)="15"),TK!$E$7=TH!F1531),"x","")</f>
        <v/>
      </c>
      <c r="AA1531" s="39" t="str">
        <f>IF(AND(B1531&lt;=NKC!$N$8,B1531&gt;=NKC!$M$8),"x","")</f>
        <v/>
      </c>
      <c r="AB1531" s="821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96"/>
        <v/>
      </c>
      <c r="C1532" s="37"/>
      <c r="D1532" s="37"/>
      <c r="E1532" s="37"/>
      <c r="F1532" s="40"/>
      <c r="G1532" s="40"/>
      <c r="H1532" s="7"/>
      <c r="I1532" s="256"/>
      <c r="J1532" s="256"/>
      <c r="K1532" s="568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902" t="str">
        <f>IF(AND('341-CT'!$E$9=H1532,OR(LEFT(L1532,3)=$O$7,LEFT(M1532,3)=$O$7)),"x","")</f>
        <v/>
      </c>
      <c r="P1532" s="39" t="str">
        <f>IF(AND($B1532&gt;='111'!$N$11,$B1532&lt;='111'!$O$11,OR($L1532=$P$7,$M1532=$P$7)),"x","")</f>
        <v/>
      </c>
      <c r="Q1532" s="39" t="str">
        <f>IF(AND($L1532=$P$7,$B1532&lt;'111'!$N$11),"x","")</f>
        <v/>
      </c>
      <c r="R1532" s="39" t="str">
        <f>IF(AND($M1532=$P$7,$B1532&lt;'111'!$N$11),"x","")</f>
        <v/>
      </c>
      <c r="S1532" s="39" t="str">
        <f>IF(ISERROR(FIND('112'!$M$9,G1532,1)),"",IF((AND(FIND('112'!$M$9,G1532,1)&gt;=1,$B1532&gt;='112'!$N$8,$B1532&lt;='112'!$O$8,OR($L1532='112'!$I$6,$M1532='112'!$I$6))),"x",""))</f>
        <v/>
      </c>
      <c r="T1532" s="39" t="str">
        <f>IF(ISERROR(FIND('112'!$M$9,G1532,1)),"",IF((AND(LEFT(G1532,2)=LEFT('112'!$M$9,2),B1532&lt;'112'!$N$8,$L1532='112'!$I$6)),"x",""))</f>
        <v/>
      </c>
      <c r="U1532" s="39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39" t="str">
        <f>IF(OR(TH!L1532=TH!$W$7,M1532=TH!$W$7),"x","")</f>
        <v/>
      </c>
      <c r="X1532" s="39" t="str">
        <f>IF(AND(B1532&gt;='IN-NX'!$P$3,B1532&lt;='IN-NX'!$Q$3,'IN-NX'!$D$7=D1532,OR(LEFT(L1532,2)="15",AND(LEFT(M1532,2)&lt;&gt;"15",LEFT(M1532,2)&lt;&gt;"33"))),"x","")</f>
        <v/>
      </c>
      <c r="Y1532" s="39" t="str">
        <f>IF(AND(OR(LEFT(TH!L1532,2)="15",LEFT(TH!M1532,2)="15"),'152-CT'!$J$8=TH!F1532),"x","")</f>
        <v/>
      </c>
      <c r="Z1532" s="39" t="str">
        <f>IF(AND(OR(LEFT(TH!L1532,2)="15",LEFT(TH!M1532,2)="15"),TK!$E$7=TH!F1532),"x","")</f>
        <v/>
      </c>
      <c r="AA1532" s="39" t="str">
        <f>IF(AND(B1532&lt;=NKC!$N$8,B1532&gt;=NKC!$M$8),"x","")</f>
        <v/>
      </c>
      <c r="AB1532" s="821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96"/>
        <v/>
      </c>
      <c r="C1533" s="37"/>
      <c r="D1533" s="37"/>
      <c r="E1533" s="37"/>
      <c r="F1533" s="40"/>
      <c r="G1533" s="40"/>
      <c r="H1533" s="7"/>
      <c r="I1533" s="256"/>
      <c r="J1533" s="256"/>
      <c r="K1533" s="568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902" t="str">
        <f>IF(AND('341-CT'!$E$9=H1533,OR(LEFT(L1533,3)=$O$7,LEFT(M1533,3)=$O$7)),"x","")</f>
        <v/>
      </c>
      <c r="P1533" s="39" t="str">
        <f>IF(AND($B1533&gt;='111'!$N$11,$B1533&lt;='111'!$O$11,OR($L1533=$P$7,$M1533=$P$7)),"x","")</f>
        <v/>
      </c>
      <c r="Q1533" s="39" t="str">
        <f>IF(AND($L1533=$P$7,$B1533&lt;'111'!$N$11),"x","")</f>
        <v/>
      </c>
      <c r="R1533" s="39" t="str">
        <f>IF(AND($M1533=$P$7,$B1533&lt;'111'!$N$11),"x","")</f>
        <v/>
      </c>
      <c r="S1533" s="39" t="str">
        <f>IF(ISERROR(FIND('112'!$M$9,G1533,1)),"",IF((AND(FIND('112'!$M$9,G1533,1)&gt;=1,$B1533&gt;='112'!$N$8,$B1533&lt;='112'!$O$8,OR($L1533='112'!$I$6,$M1533='112'!$I$6))),"x",""))</f>
        <v/>
      </c>
      <c r="T1533" s="39" t="str">
        <f>IF(ISERROR(FIND('112'!$M$9,G1533,1)),"",IF((AND(LEFT(G1533,2)=LEFT('112'!$M$9,2),B1533&lt;'112'!$N$8,$L1533='112'!$I$6)),"x",""))</f>
        <v/>
      </c>
      <c r="U1533" s="39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39" t="str">
        <f>IF(OR(TH!L1533=TH!$W$7,M1533=TH!$W$7),"x","")</f>
        <v/>
      </c>
      <c r="X1533" s="39" t="str">
        <f>IF(AND(B1533&gt;='IN-NX'!$P$3,B1533&lt;='IN-NX'!$Q$3,'IN-NX'!$D$7=D1533,OR(LEFT(L1533,2)="15",AND(LEFT(M1533,2)&lt;&gt;"15",LEFT(M1533,2)&lt;&gt;"33"))),"x","")</f>
        <v/>
      </c>
      <c r="Y1533" s="39" t="str">
        <f>IF(AND(OR(LEFT(TH!L1533,2)="15",LEFT(TH!M1533,2)="15"),'152-CT'!$J$8=TH!F1533),"x","")</f>
        <v/>
      </c>
      <c r="Z1533" s="39" t="str">
        <f>IF(AND(OR(LEFT(TH!L1533,2)="15",LEFT(TH!M1533,2)="15"),TK!$E$7=TH!F1533),"x","")</f>
        <v/>
      </c>
      <c r="AA1533" s="39" t="str">
        <f>IF(AND(B1533&lt;=NKC!$N$8,B1533&gt;=NKC!$M$8),"x","")</f>
        <v/>
      </c>
      <c r="AB1533" s="821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96"/>
        <v/>
      </c>
      <c r="C1534" s="37"/>
      <c r="D1534" s="37"/>
      <c r="E1534" s="37"/>
      <c r="F1534" s="192"/>
      <c r="G1534" s="40"/>
      <c r="H1534" s="7"/>
      <c r="I1534" s="256"/>
      <c r="J1534" s="256"/>
      <c r="K1534" s="56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902" t="str">
        <f>IF(AND('341-CT'!$E$9=H1534,OR(LEFT(L1534,3)=$O$7,LEFT(M1534,3)=$O$7)),"x","")</f>
        <v/>
      </c>
      <c r="P1534" s="39" t="str">
        <f>IF(AND($B1534&gt;='111'!$N$11,$B1534&lt;='111'!$O$11,OR($L1534=$P$7,$M1534=$P$7)),"x","")</f>
        <v/>
      </c>
      <c r="Q1534" s="39" t="str">
        <f>IF(AND($L1534=$P$7,$B1534&lt;'111'!$N$11),"x","")</f>
        <v/>
      </c>
      <c r="R1534" s="39" t="str">
        <f>IF(AND($M1534=$P$7,$B1534&lt;'111'!$N$11),"x","")</f>
        <v/>
      </c>
      <c r="S1534" s="39" t="str">
        <f>IF(ISERROR(FIND('112'!$M$9,G1534,1)),"",IF((AND(FIND('112'!$M$9,G1534,1)&gt;=1,$B1534&gt;='112'!$N$8,$B1534&lt;='112'!$O$8,OR($L1534='112'!$I$6,$M1534='112'!$I$6))),"x",""))</f>
        <v/>
      </c>
      <c r="T1534" s="39" t="str">
        <f>IF(ISERROR(FIND('112'!$M$9,G1534,1)),"",IF((AND(LEFT(G1534,2)=LEFT('112'!$M$9,2),B1534&lt;'112'!$N$8,$L1534='112'!$I$6)),"x",""))</f>
        <v/>
      </c>
      <c r="U1534" s="39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39" t="str">
        <f>IF(OR(TH!L1534=TH!$W$7,M1534=TH!$W$7),"x","")</f>
        <v/>
      </c>
      <c r="X1534" s="39" t="str">
        <f>IF(AND(B1534&gt;='IN-NX'!$P$3,B1534&lt;='IN-NX'!$Q$3,'IN-NX'!$D$7=D1534,OR(LEFT(L1534,2)="15",AND(LEFT(M1534,2)&lt;&gt;"15",LEFT(M1534,2)&lt;&gt;"33"))),"x","")</f>
        <v/>
      </c>
      <c r="Y1534" s="39" t="str">
        <f>IF(AND(OR(LEFT(TH!L1534,2)="15",LEFT(TH!M1534,2)="15"),'152-CT'!$J$8=TH!F1534),"x","")</f>
        <v/>
      </c>
      <c r="Z1534" s="39" t="str">
        <f>IF(AND(OR(LEFT(TH!L1534,2)="15",LEFT(TH!M1534,2)="15"),TK!$E$7=TH!F1534),"x","")</f>
        <v/>
      </c>
      <c r="AA1534" s="39" t="str">
        <f>IF(AND(B1534&lt;=NKC!$N$8,B1534&gt;=NKC!$M$8),"x","")</f>
        <v/>
      </c>
      <c r="AB1534" s="821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96"/>
        <v/>
      </c>
      <c r="C1535" s="37"/>
      <c r="D1535" s="37"/>
      <c r="E1535" s="37"/>
      <c r="F1535" s="40"/>
      <c r="G1535" s="40"/>
      <c r="H1535" s="7"/>
      <c r="I1535" s="256"/>
      <c r="J1535" s="256"/>
      <c r="K1535" s="56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902" t="str">
        <f>IF(AND('341-CT'!$E$9=H1535,OR(LEFT(L1535,3)=$O$7,LEFT(M1535,3)=$O$7)),"x","")</f>
        <v/>
      </c>
      <c r="P1535" s="39" t="str">
        <f>IF(AND($B1535&gt;='111'!$N$11,$B1535&lt;='111'!$O$11,OR($L1535=$P$7,$M1535=$P$7)),"x","")</f>
        <v/>
      </c>
      <c r="Q1535" s="39" t="str">
        <f>IF(AND($L1535=$P$7,$B1535&lt;'111'!$N$11),"x","")</f>
        <v/>
      </c>
      <c r="R1535" s="39" t="str">
        <f>IF(AND($M1535=$P$7,$B1535&lt;'111'!$N$11),"x","")</f>
        <v/>
      </c>
      <c r="S1535" s="39" t="str">
        <f>IF(ISERROR(FIND('112'!$M$9,G1535,1)),"",IF((AND(FIND('112'!$M$9,G1535,1)&gt;=1,$B1535&gt;='112'!$N$8,$B1535&lt;='112'!$O$8,OR($L1535='112'!$I$6,$M1535='112'!$I$6))),"x",""))</f>
        <v/>
      </c>
      <c r="T1535" s="39" t="str">
        <f>IF(ISERROR(FIND('112'!$M$9,G1535,1)),"",IF((AND(LEFT(G1535,2)=LEFT('112'!$M$9,2),B1535&lt;'112'!$N$8,$L1535='112'!$I$6)),"x",""))</f>
        <v/>
      </c>
      <c r="U1535" s="39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39" t="str">
        <f>IF(OR(TH!L1535=TH!$W$7,M1535=TH!$W$7),"x","")</f>
        <v/>
      </c>
      <c r="X1535" s="39" t="str">
        <f>IF(AND(B1535&gt;='IN-NX'!$P$3,B1535&lt;='IN-NX'!$Q$3,'IN-NX'!$D$7=D1535,OR(LEFT(L1535,2)="15",AND(LEFT(M1535,2)&lt;&gt;"15",LEFT(M1535,2)&lt;&gt;"33"))),"x","")</f>
        <v/>
      </c>
      <c r="Y1535" s="39" t="str">
        <f>IF(AND(OR(LEFT(TH!L1535,2)="15",LEFT(TH!M1535,2)="15"),'152-CT'!$J$8=TH!F1535),"x","")</f>
        <v/>
      </c>
      <c r="Z1535" s="39" t="str">
        <f>IF(AND(OR(LEFT(TH!L1535,2)="15",LEFT(TH!M1535,2)="15"),TK!$E$7=TH!F1535),"x","")</f>
        <v/>
      </c>
      <c r="AA1535" s="39" t="str">
        <f>IF(AND(B1535&lt;=NKC!$N$8,B1535&gt;=NKC!$M$8),"x","")</f>
        <v/>
      </c>
      <c r="AB1535" s="821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96"/>
        <v/>
      </c>
      <c r="C1536" s="37"/>
      <c r="D1536" s="37"/>
      <c r="E1536" s="37"/>
      <c r="F1536" s="192"/>
      <c r="G1536" s="40"/>
      <c r="H1536" s="7"/>
      <c r="I1536" s="256"/>
      <c r="J1536" s="256"/>
      <c r="K1536" s="568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902" t="str">
        <f>IF(AND('341-CT'!$E$9=H1536,OR(LEFT(L1536,3)=$O$7,LEFT(M1536,3)=$O$7)),"x","")</f>
        <v/>
      </c>
      <c r="P1536" s="39" t="str">
        <f>IF(AND($B1536&gt;='111'!$N$11,$B1536&lt;='111'!$O$11,OR($L1536=$P$7,$M1536=$P$7)),"x","")</f>
        <v/>
      </c>
      <c r="Q1536" s="39" t="str">
        <f>IF(AND($L1536=$P$7,$B1536&lt;'111'!$N$11),"x","")</f>
        <v/>
      </c>
      <c r="R1536" s="39" t="str">
        <f>IF(AND($M1536=$P$7,$B1536&lt;'111'!$N$11),"x","")</f>
        <v/>
      </c>
      <c r="S1536" s="39" t="str">
        <f>IF(ISERROR(FIND('112'!$M$9,G1536,1)),"",IF((AND(FIND('112'!$M$9,G1536,1)&gt;=1,$B1536&gt;='112'!$N$8,$B1536&lt;='112'!$O$8,OR($L1536='112'!$I$6,$M1536='112'!$I$6))),"x",""))</f>
        <v/>
      </c>
      <c r="T1536" s="39" t="str">
        <f>IF(ISERROR(FIND('112'!$M$9,G1536,1)),"",IF((AND(LEFT(G1536,2)=LEFT('112'!$M$9,2),B1536&lt;'112'!$N$8,$L1536='112'!$I$6)),"x",""))</f>
        <v/>
      </c>
      <c r="U1536" s="39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39" t="str">
        <f>IF(OR(TH!L1536=TH!$W$7,M1536=TH!$W$7),"x","")</f>
        <v/>
      </c>
      <c r="X1536" s="39" t="str">
        <f>IF(AND(B1536&gt;='IN-NX'!$P$3,B1536&lt;='IN-NX'!$Q$3,'IN-NX'!$D$7=D1536,OR(LEFT(L1536,2)="15",AND(LEFT(M1536,2)&lt;&gt;"15",LEFT(M1536,2)&lt;&gt;"33"))),"x","")</f>
        <v/>
      </c>
      <c r="Y1536" s="39" t="str">
        <f>IF(AND(OR(LEFT(TH!L1536,2)="15",LEFT(TH!M1536,2)="15"),'152-CT'!$J$8=TH!F1536),"x","")</f>
        <v/>
      </c>
      <c r="Z1536" s="39" t="str">
        <f>IF(AND(OR(LEFT(TH!L1536,2)="15",LEFT(TH!M1536,2)="15"),TK!$E$7=TH!F1536),"x","")</f>
        <v/>
      </c>
      <c r="AA1536" s="39" t="str">
        <f>IF(AND(B1536&lt;=NKC!$N$8,B1536&gt;=NKC!$M$8),"x","")</f>
        <v/>
      </c>
      <c r="AB1536" s="821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96"/>
        <v/>
      </c>
      <c r="C1537" s="37"/>
      <c r="D1537" s="37"/>
      <c r="E1537" s="37"/>
      <c r="F1537" s="40"/>
      <c r="G1537" s="40"/>
      <c r="H1537" s="7"/>
      <c r="I1537" s="256"/>
      <c r="J1537" s="256"/>
      <c r="K1537" s="568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902" t="str">
        <f>IF(AND('341-CT'!$E$9=H1537,OR(LEFT(L1537,3)=$O$7,LEFT(M1537,3)=$O$7)),"x","")</f>
        <v/>
      </c>
      <c r="P1537" s="39" t="str">
        <f>IF(AND($B1537&gt;='111'!$N$11,$B1537&lt;='111'!$O$11,OR($L1537=$P$7,$M1537=$P$7)),"x","")</f>
        <v/>
      </c>
      <c r="Q1537" s="39" t="str">
        <f>IF(AND($L1537=$P$7,$B1537&lt;'111'!$N$11),"x","")</f>
        <v/>
      </c>
      <c r="R1537" s="39" t="str">
        <f>IF(AND($M1537=$P$7,$B1537&lt;'111'!$N$11),"x","")</f>
        <v/>
      </c>
      <c r="S1537" s="39" t="str">
        <f>IF(ISERROR(FIND('112'!$M$9,G1537,1)),"",IF((AND(FIND('112'!$M$9,G1537,1)&gt;=1,$B1537&gt;='112'!$N$8,$B1537&lt;='112'!$O$8,OR($L1537='112'!$I$6,$M1537='112'!$I$6))),"x",""))</f>
        <v/>
      </c>
      <c r="T1537" s="39" t="str">
        <f>IF(ISERROR(FIND('112'!$M$9,G1537,1)),"",IF((AND(LEFT(G1537,2)=LEFT('112'!$M$9,2),B1537&lt;'112'!$N$8,$L1537='112'!$I$6)),"x",""))</f>
        <v/>
      </c>
      <c r="U1537" s="39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39" t="str">
        <f>IF(OR(TH!L1537=TH!$W$7,M1537=TH!$W$7),"x","")</f>
        <v/>
      </c>
      <c r="X1537" s="39" t="str">
        <f>IF(AND(B1537&gt;='IN-NX'!$P$3,B1537&lt;='IN-NX'!$Q$3,'IN-NX'!$D$7=D1537,OR(LEFT(L1537,2)="15",AND(LEFT(M1537,2)&lt;&gt;"15",LEFT(M1537,2)&lt;&gt;"33"))),"x","")</f>
        <v/>
      </c>
      <c r="Y1537" s="39" t="str">
        <f>IF(AND(OR(LEFT(TH!L1537,2)="15",LEFT(TH!M1537,2)="15"),'152-CT'!$J$8=TH!F1537),"x","")</f>
        <v/>
      </c>
      <c r="Z1537" s="39" t="str">
        <f>IF(AND(OR(LEFT(TH!L1537,2)="15",LEFT(TH!M1537,2)="15"),TK!$E$7=TH!F1537),"x","")</f>
        <v/>
      </c>
      <c r="AA1537" s="39" t="str">
        <f>IF(AND(B1537&lt;=NKC!$N$8,B1537&gt;=NKC!$M$8),"x","")</f>
        <v/>
      </c>
      <c r="AB1537" s="821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96"/>
        <v/>
      </c>
      <c r="C1538" s="37"/>
      <c r="D1538" s="37"/>
      <c r="E1538" s="37"/>
      <c r="F1538" s="40"/>
      <c r="G1538" s="40"/>
      <c r="H1538" s="7"/>
      <c r="I1538" s="256"/>
      <c r="J1538" s="256"/>
      <c r="K1538" s="568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902" t="str">
        <f>IF(AND('341-CT'!$E$9=H1538,OR(LEFT(L1538,3)=$O$7,LEFT(M1538,3)=$O$7)),"x","")</f>
        <v/>
      </c>
      <c r="P1538" s="39" t="str">
        <f>IF(AND($B1538&gt;='111'!$N$11,$B1538&lt;='111'!$O$11,OR($L1538=$P$7,$M1538=$P$7)),"x","")</f>
        <v/>
      </c>
      <c r="Q1538" s="39" t="str">
        <f>IF(AND($L1538=$P$7,$B1538&lt;'111'!$N$11),"x","")</f>
        <v/>
      </c>
      <c r="R1538" s="39" t="str">
        <f>IF(AND($M1538=$P$7,$B1538&lt;'111'!$N$11),"x","")</f>
        <v/>
      </c>
      <c r="S1538" s="39" t="str">
        <f>IF(ISERROR(FIND('112'!$M$9,G1538,1)),"",IF((AND(FIND('112'!$M$9,G1538,1)&gt;=1,$B1538&gt;='112'!$N$8,$B1538&lt;='112'!$O$8,OR($L1538='112'!$I$6,$M1538='112'!$I$6))),"x",""))</f>
        <v/>
      </c>
      <c r="T1538" s="39" t="str">
        <f>IF(ISERROR(FIND('112'!$M$9,G1538,1)),"",IF((AND(LEFT(G1538,2)=LEFT('112'!$M$9,2),B1538&lt;'112'!$N$8,$L1538='112'!$I$6)),"x",""))</f>
        <v/>
      </c>
      <c r="U1538" s="39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39" t="str">
        <f>IF(OR(TH!L1538=TH!$W$7,M1538=TH!$W$7),"x","")</f>
        <v/>
      </c>
      <c r="X1538" s="39" t="str">
        <f>IF(AND(B1538&gt;='IN-NX'!$P$3,B1538&lt;='IN-NX'!$Q$3,'IN-NX'!$D$7=D1538,OR(LEFT(L1538,2)="15",AND(LEFT(M1538,2)&lt;&gt;"15",LEFT(M1538,2)&lt;&gt;"33"))),"x","")</f>
        <v/>
      </c>
      <c r="Y1538" s="39" t="str">
        <f>IF(AND(OR(LEFT(TH!L1538,2)="15",LEFT(TH!M1538,2)="15"),'152-CT'!$J$8=TH!F1538),"x","")</f>
        <v/>
      </c>
      <c r="Z1538" s="39" t="str">
        <f>IF(AND(OR(LEFT(TH!L1538,2)="15",LEFT(TH!M1538,2)="15"),TK!$E$7=TH!F1538),"x","")</f>
        <v/>
      </c>
      <c r="AA1538" s="39" t="str">
        <f>IF(AND(B1538&lt;=NKC!$N$8,B1538&gt;=NKC!$M$8),"x","")</f>
        <v/>
      </c>
      <c r="AB1538" s="821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96"/>
        <v/>
      </c>
      <c r="C1539" s="37"/>
      <c r="D1539" s="37"/>
      <c r="E1539" s="37"/>
      <c r="F1539" s="40"/>
      <c r="G1539" s="40"/>
      <c r="H1539" s="7"/>
      <c r="I1539" s="256"/>
      <c r="J1539" s="256"/>
      <c r="K1539" s="568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902" t="str">
        <f>IF(AND('341-CT'!$E$9=H1539,OR(LEFT(L1539,3)=$O$7,LEFT(M1539,3)=$O$7)),"x","")</f>
        <v/>
      </c>
      <c r="P1539" s="39" t="str">
        <f>IF(AND($B1539&gt;='111'!$N$11,$B1539&lt;='111'!$O$11,OR($L1539=$P$7,$M1539=$P$7)),"x","")</f>
        <v/>
      </c>
      <c r="Q1539" s="39" t="str">
        <f>IF(AND($L1539=$P$7,$B1539&lt;'111'!$N$11),"x","")</f>
        <v/>
      </c>
      <c r="R1539" s="39" t="str">
        <f>IF(AND($M1539=$P$7,$B1539&lt;'111'!$N$11),"x","")</f>
        <v/>
      </c>
      <c r="S1539" s="39" t="str">
        <f>IF(ISERROR(FIND('112'!$M$9,G1539,1)),"",IF((AND(FIND('112'!$M$9,G1539,1)&gt;=1,$B1539&gt;='112'!$N$8,$B1539&lt;='112'!$O$8,OR($L1539='112'!$I$6,$M1539='112'!$I$6))),"x",""))</f>
        <v/>
      </c>
      <c r="T1539" s="39" t="str">
        <f>IF(ISERROR(FIND('112'!$M$9,G1539,1)),"",IF((AND(LEFT(G1539,2)=LEFT('112'!$M$9,2),B1539&lt;'112'!$N$8,$L1539='112'!$I$6)),"x",""))</f>
        <v/>
      </c>
      <c r="U1539" s="39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39" t="str">
        <f>IF(OR(TH!L1539=TH!$W$7,M1539=TH!$W$7),"x","")</f>
        <v/>
      </c>
      <c r="X1539" s="39" t="str">
        <f>IF(AND(B1539&gt;='IN-NX'!$P$3,B1539&lt;='IN-NX'!$Q$3,'IN-NX'!$D$7=D1539,OR(LEFT(L1539,2)="15",AND(LEFT(M1539,2)&lt;&gt;"15",LEFT(M1539,2)&lt;&gt;"33"))),"x","")</f>
        <v/>
      </c>
      <c r="Y1539" s="39" t="str">
        <f>IF(AND(OR(LEFT(TH!L1539,2)="15",LEFT(TH!M1539,2)="15"),'152-CT'!$J$8=TH!F1539),"x","")</f>
        <v/>
      </c>
      <c r="Z1539" s="39" t="str">
        <f>IF(AND(OR(LEFT(TH!L1539,2)="15",LEFT(TH!M1539,2)="15"),TK!$E$7=TH!F1539),"x","")</f>
        <v/>
      </c>
      <c r="AA1539" s="39" t="str">
        <f>IF(AND(B1539&lt;=NKC!$N$8,B1539&gt;=NKC!$M$8),"x","")</f>
        <v/>
      </c>
      <c r="AB1539" s="821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96"/>
        <v/>
      </c>
      <c r="C1540" s="191"/>
      <c r="D1540" s="184"/>
      <c r="E1540" s="191"/>
      <c r="F1540" s="192"/>
      <c r="G1540" s="468"/>
      <c r="H1540" s="193"/>
      <c r="I1540" s="256"/>
      <c r="J1540" s="256"/>
      <c r="K1540" s="568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902" t="str">
        <f>IF(AND('341-CT'!$E$9=H1540,OR(LEFT(L1540,3)=$O$7,LEFT(M1540,3)=$O$7)),"x","")</f>
        <v/>
      </c>
      <c r="P1540" s="39" t="str">
        <f>IF(AND($B1540&gt;='111'!$N$11,$B1540&lt;='111'!$O$11,OR($L1540=$P$7,$M1540=$P$7)),"x","")</f>
        <v/>
      </c>
      <c r="Q1540" s="39" t="str">
        <f>IF(AND($L1540=$P$7,$B1540&lt;'111'!$N$11),"x","")</f>
        <v/>
      </c>
      <c r="R1540" s="39" t="str">
        <f>IF(AND($M1540=$P$7,$B1540&lt;'111'!$N$11),"x","")</f>
        <v/>
      </c>
      <c r="S1540" s="39" t="str">
        <f>IF(ISERROR(FIND('112'!$M$9,G1540,1)),"",IF((AND(FIND('112'!$M$9,G1540,1)&gt;=1,$B1540&gt;='112'!$N$8,$B1540&lt;='112'!$O$8,OR($L1540='112'!$I$6,$M1540='112'!$I$6))),"x",""))</f>
        <v/>
      </c>
      <c r="T1540" s="39" t="str">
        <f>IF(ISERROR(FIND('112'!$M$9,G1540,1)),"",IF((AND(LEFT(G1540,2)=LEFT('112'!$M$9,2),B1540&lt;'112'!$N$8,$L1540='112'!$I$6)),"x",""))</f>
        <v/>
      </c>
      <c r="U1540" s="39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39" t="str">
        <f>IF(OR(TH!L1540=TH!$W$7,M1540=TH!$W$7),"x","")</f>
        <v/>
      </c>
      <c r="X1540" s="39" t="str">
        <f>IF(AND(B1540&gt;='IN-NX'!$P$3,B1540&lt;='IN-NX'!$Q$3,'IN-NX'!$D$7=D1540,OR(LEFT(L1540,2)="15",AND(LEFT(M1540,2)&lt;&gt;"15",LEFT(M1540,2)&lt;&gt;"33"))),"x","")</f>
        <v/>
      </c>
      <c r="Y1540" s="39" t="str">
        <f>IF(AND(OR(LEFT(TH!L1540,2)="15",LEFT(TH!M1540,2)="15"),'152-CT'!$J$8=TH!F1540),"x","")</f>
        <v/>
      </c>
      <c r="Z1540" s="39" t="str">
        <f>IF(AND(OR(LEFT(TH!L1540,2)="15",LEFT(TH!M1540,2)="15"),TK!$E$7=TH!F1540),"x","")</f>
        <v/>
      </c>
      <c r="AA1540" s="39" t="str">
        <f>IF(AND(B1540&lt;=NKC!$N$8,B1540&gt;=NKC!$M$8),"x","")</f>
        <v/>
      </c>
      <c r="AB1540" s="821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96"/>
        <v/>
      </c>
      <c r="C1541" s="191"/>
      <c r="D1541" s="184"/>
      <c r="E1541" s="191"/>
      <c r="F1541" s="192"/>
      <c r="G1541" s="468"/>
      <c r="H1541" s="193"/>
      <c r="I1541" s="256"/>
      <c r="J1541" s="256"/>
      <c r="K1541" s="38"/>
      <c r="L1541" s="194"/>
      <c r="M1541" s="194"/>
      <c r="N1541" s="39" t="str">
        <f>IF(AND('331-CT'!$E$7=TH!H1541,OR(L1541="331",M1541="331")),"331",IF(AND(OR(L1541="131",M1541="131"),H1541='131-CT'!$E$7),"131",""))</f>
        <v/>
      </c>
      <c r="O1541" s="902" t="str">
        <f>IF(AND('341-CT'!$E$9=H1541,OR(LEFT(L1541,3)=$O$7,LEFT(M1541,3)=$O$7)),"x","")</f>
        <v/>
      </c>
      <c r="P1541" s="39" t="str">
        <f>IF(AND($B1541&gt;='111'!$N$11,$B1541&lt;='111'!$O$11,OR($L1541=$P$7,$M1541=$P$7)),"x","")</f>
        <v/>
      </c>
      <c r="Q1541" s="39" t="str">
        <f>IF(AND($L1541=$P$7,$B1541&lt;'111'!$N$11),"x","")</f>
        <v/>
      </c>
      <c r="R1541" s="39" t="str">
        <f>IF(AND($M1541=$P$7,$B1541&lt;'111'!$N$11),"x","")</f>
        <v/>
      </c>
      <c r="S1541" s="39" t="str">
        <f>IF(ISERROR(FIND('112'!$M$9,G1541,1)),"",IF((AND(FIND('112'!$M$9,G1541,1)&gt;=1,$B1541&gt;='112'!$N$8,$B1541&lt;='112'!$O$8,OR($L1541='112'!$I$6,$M1541='112'!$I$6))),"x",""))</f>
        <v/>
      </c>
      <c r="T1541" s="39" t="str">
        <f>IF(ISERROR(FIND('112'!$M$9,G1541,1)),"",IF((AND(LEFT(G1541,2)=LEFT('112'!$M$9,2),B1541&lt;'112'!$N$8,$L1541='112'!$I$6)),"x",""))</f>
        <v/>
      </c>
      <c r="U1541" s="39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39" t="str">
        <f>IF(OR(TH!L1541=TH!$W$7,M1541=TH!$W$7),"x","")</f>
        <v/>
      </c>
      <c r="X1541" s="39" t="str">
        <f>IF(AND(B1541&gt;='IN-NX'!$P$3,B1541&lt;='IN-NX'!$Q$3,'IN-NX'!$D$7=D1541,OR(LEFT(L1541,2)="15",AND(LEFT(M1541,2)&lt;&gt;"15",LEFT(M1541,2)&lt;&gt;"33"))),"x","")</f>
        <v/>
      </c>
      <c r="Y1541" s="39" t="str">
        <f>IF(AND(OR(LEFT(TH!L1541,2)="15",LEFT(TH!M1541,2)="15"),'152-CT'!$J$8=TH!F1541),"x","")</f>
        <v/>
      </c>
      <c r="Z1541" s="39" t="str">
        <f>IF(AND(OR(LEFT(TH!L1541,2)="15",LEFT(TH!M1541,2)="15"),TK!$E$7=TH!F1541),"x","")</f>
        <v/>
      </c>
      <c r="AA1541" s="39" t="str">
        <f>IF(AND(B1541&lt;=NKC!$N$8,B1541&gt;=NKC!$M$8),"x","")</f>
        <v/>
      </c>
      <c r="AB1541" s="821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96"/>
        <v/>
      </c>
      <c r="C1542" s="191"/>
      <c r="D1542" s="184"/>
      <c r="E1542" s="191"/>
      <c r="F1542" s="192"/>
      <c r="G1542" s="465"/>
      <c r="H1542" s="45"/>
      <c r="I1542" s="257"/>
      <c r="J1542" s="256"/>
      <c r="K1542" s="38"/>
      <c r="L1542" s="194"/>
      <c r="M1542" s="569"/>
      <c r="N1542" s="39" t="str">
        <f>IF(AND('331-CT'!$E$7=TH!H1542,OR(L1542="331",M1542="331")),"331",IF(AND(OR(L1542="131",M1542="131"),H1542='131-CT'!$E$7),"131",""))</f>
        <v/>
      </c>
      <c r="O1542" s="902" t="str">
        <f>IF(AND('341-CT'!$E$9=H1542,OR(LEFT(L1542,3)=$O$7,LEFT(M1542,3)=$O$7)),"x","")</f>
        <v/>
      </c>
      <c r="P1542" s="39" t="str">
        <f>IF(AND($B1542&gt;='111'!$N$11,$B1542&lt;='111'!$O$11,OR($L1542=$P$7,$M1542=$P$7)),"x","")</f>
        <v/>
      </c>
      <c r="Q1542" s="39" t="str">
        <f>IF(AND($L1542=$P$7,$B1542&lt;'111'!$N$11),"x","")</f>
        <v/>
      </c>
      <c r="R1542" s="39" t="str">
        <f>IF(AND($M1542=$P$7,$B1542&lt;'111'!$N$11),"x","")</f>
        <v/>
      </c>
      <c r="S1542" s="39" t="str">
        <f>IF(ISERROR(FIND('112'!$M$9,G1542,1)),"",IF((AND(FIND('112'!$M$9,G1542,1)&gt;=1,$B1542&gt;='112'!$N$8,$B1542&lt;='112'!$O$8,OR($L1542='112'!$I$6,$M1542='112'!$I$6))),"x",""))</f>
        <v/>
      </c>
      <c r="T1542" s="39" t="str">
        <f>IF(ISERROR(FIND('112'!$M$9,G1542,1)),"",IF((AND(LEFT(G1542,2)=LEFT('112'!$M$9,2),B1542&lt;'112'!$N$8,$L1542='112'!$I$6)),"x",""))</f>
        <v/>
      </c>
      <c r="U1542" s="39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39" t="str">
        <f>IF(OR(TH!L1542=TH!$W$7,M1542=TH!$W$7),"x","")</f>
        <v/>
      </c>
      <c r="X1542" s="39" t="str">
        <f>IF(AND(B1542&gt;='IN-NX'!$P$3,B1542&lt;='IN-NX'!$Q$3,'IN-NX'!$D$7=D1542,OR(LEFT(L1542,2)="15",AND(LEFT(M1542,2)&lt;&gt;"15",LEFT(M1542,2)&lt;&gt;"33"))),"x","")</f>
        <v/>
      </c>
      <c r="Y1542" s="39" t="str">
        <f>IF(AND(OR(LEFT(TH!L1542,2)="15",LEFT(TH!M1542,2)="15"),'152-CT'!$J$8=TH!F1542),"x","")</f>
        <v/>
      </c>
      <c r="Z1542" s="39" t="str">
        <f>IF(AND(OR(LEFT(TH!L1542,2)="15",LEFT(TH!M1542,2)="15"),TK!$E$7=TH!F1542),"x","")</f>
        <v/>
      </c>
      <c r="AA1542" s="39" t="str">
        <f>IF(AND(B1542&lt;=NKC!$N$8,B1542&gt;=NKC!$M$8),"x","")</f>
        <v/>
      </c>
      <c r="AB1542" s="821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96"/>
        <v/>
      </c>
      <c r="C1543" s="191"/>
      <c r="D1543" s="184"/>
      <c r="E1543" s="191"/>
      <c r="F1543" s="192"/>
      <c r="G1543" s="465"/>
      <c r="H1543" s="45"/>
      <c r="I1543" s="257"/>
      <c r="J1543" s="256"/>
      <c r="K1543" s="38"/>
      <c r="L1543" s="194"/>
      <c r="M1543" s="569"/>
      <c r="N1543" s="39" t="str">
        <f>IF(AND('331-CT'!$E$7=TH!H1543,OR(L1543="331",M1543="331")),"331",IF(AND(OR(L1543="131",M1543="131"),H1543='131-CT'!$E$7),"131",""))</f>
        <v/>
      </c>
      <c r="O1543" s="902" t="str">
        <f>IF(AND('341-CT'!$E$9=H1543,OR(LEFT(L1543,3)=$O$7,LEFT(M1543,3)=$O$7)),"x","")</f>
        <v/>
      </c>
      <c r="P1543" s="39" t="str">
        <f>IF(AND($B1543&gt;='111'!$N$11,$B1543&lt;='111'!$O$11,OR($L1543=$P$7,$M1543=$P$7)),"x","")</f>
        <v/>
      </c>
      <c r="Q1543" s="39" t="str">
        <f>IF(AND($L1543=$P$7,$B1543&lt;'111'!$N$11),"x","")</f>
        <v/>
      </c>
      <c r="R1543" s="39" t="str">
        <f>IF(AND($M1543=$P$7,$B1543&lt;'111'!$N$11),"x","")</f>
        <v/>
      </c>
      <c r="S1543" s="39" t="str">
        <f>IF(ISERROR(FIND('112'!$M$9,G1543,1)),"",IF((AND(FIND('112'!$M$9,G1543,1)&gt;=1,$B1543&gt;='112'!$N$8,$B1543&lt;='112'!$O$8,OR($L1543='112'!$I$6,$M1543='112'!$I$6))),"x",""))</f>
        <v/>
      </c>
      <c r="T1543" s="39" t="str">
        <f>IF(ISERROR(FIND('112'!$M$9,G1543,1)),"",IF((AND(LEFT(G1543,2)=LEFT('112'!$M$9,2),B1543&lt;'112'!$N$8,$L1543='112'!$I$6)),"x",""))</f>
        <v/>
      </c>
      <c r="U1543" s="39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39" t="str">
        <f>IF(OR(TH!L1543=TH!$W$7,M1543=TH!$W$7),"x","")</f>
        <v/>
      </c>
      <c r="X1543" s="39" t="str">
        <f>IF(AND(B1543&gt;='IN-NX'!$P$3,B1543&lt;='IN-NX'!$Q$3,'IN-NX'!$D$7=D1543,OR(LEFT(L1543,2)="15",AND(LEFT(M1543,2)&lt;&gt;"15",LEFT(M1543,2)&lt;&gt;"33"))),"x","")</f>
        <v/>
      </c>
      <c r="Y1543" s="39" t="str">
        <f>IF(AND(OR(LEFT(TH!L1543,2)="15",LEFT(TH!M1543,2)="15"),'152-CT'!$J$8=TH!F1543),"x","")</f>
        <v/>
      </c>
      <c r="Z1543" s="39" t="str">
        <f>IF(AND(OR(LEFT(TH!L1543,2)="15",LEFT(TH!M1543,2)="15"),TK!$E$7=TH!F1543),"x","")</f>
        <v/>
      </c>
      <c r="AA1543" s="39" t="str">
        <f>IF(AND(B1543&lt;=NKC!$N$8,B1543&gt;=NKC!$M$8),"x","")</f>
        <v/>
      </c>
      <c r="AB1543" s="821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96"/>
        <v/>
      </c>
      <c r="C1544" s="37"/>
      <c r="D1544" s="37"/>
      <c r="E1544" s="731"/>
      <c r="F1544" s="189"/>
      <c r="G1544" s="40"/>
      <c r="H1544" s="7"/>
      <c r="I1544" s="256"/>
      <c r="J1544" s="256"/>
      <c r="K1544" s="568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902" t="str">
        <f>IF(AND('341-CT'!$E$9=H1544,OR(LEFT(L1544,3)=$O$7,LEFT(M1544,3)=$O$7)),"x","")</f>
        <v/>
      </c>
      <c r="P1544" s="39" t="str">
        <f>IF(AND($B1544&gt;='111'!$N$11,$B1544&lt;='111'!$O$11,OR($L1544=$P$7,$M1544=$P$7)),"x","")</f>
        <v/>
      </c>
      <c r="Q1544" s="39" t="str">
        <f>IF(AND($L1544=$P$7,$B1544&lt;'111'!$N$11),"x","")</f>
        <v/>
      </c>
      <c r="R1544" s="39" t="str">
        <f>IF(AND($M1544=$P$7,$B1544&lt;'111'!$N$11),"x","")</f>
        <v/>
      </c>
      <c r="S1544" s="39" t="str">
        <f>IF(ISERROR(FIND('112'!$M$9,G1544,1)),"",IF((AND(FIND('112'!$M$9,G1544,1)&gt;=1,$B1544&gt;='112'!$N$8,$B1544&lt;='112'!$O$8,OR($L1544='112'!$I$6,$M1544='112'!$I$6))),"x",""))</f>
        <v/>
      </c>
      <c r="T1544" s="39" t="str">
        <f>IF(ISERROR(FIND('112'!$M$9,G1544,1)),"",IF((AND(LEFT(G1544,2)=LEFT('112'!$M$9,2),B1544&lt;'112'!$N$8,$L1544='112'!$I$6)),"x",""))</f>
        <v/>
      </c>
      <c r="U1544" s="39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39" t="str">
        <f>IF(OR(TH!L1544=TH!$W$7,M1544=TH!$W$7),"x","")</f>
        <v/>
      </c>
      <c r="X1544" s="39" t="str">
        <f>IF(AND(B1544&gt;='IN-NX'!$P$3,B1544&lt;='IN-NX'!$Q$3,'IN-NX'!$D$7=D1544,OR(LEFT(L1544,2)="15",AND(LEFT(M1544,2)&lt;&gt;"15",LEFT(M1544,2)&lt;&gt;"33"))),"x","")</f>
        <v/>
      </c>
      <c r="Y1544" s="39" t="str">
        <f>IF(AND(OR(LEFT(TH!L1544,2)="15",LEFT(TH!M1544,2)="15"),'152-CT'!$J$8=TH!F1544),"x","")</f>
        <v/>
      </c>
      <c r="Z1544" s="39" t="str">
        <f>IF(AND(OR(LEFT(TH!L1544,2)="15",LEFT(TH!M1544,2)="15"),TK!$E$7=TH!F1544),"x","")</f>
        <v/>
      </c>
      <c r="AA1544" s="39" t="str">
        <f>IF(AND(B1544&lt;=NKC!$N$8,B1544&gt;=NKC!$M$8),"x","")</f>
        <v/>
      </c>
      <c r="AB1544" s="821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96"/>
        <v/>
      </c>
      <c r="C1545" s="37"/>
      <c r="D1545" s="37"/>
      <c r="E1545" s="731"/>
      <c r="F1545" s="40"/>
      <c r="G1545" s="40"/>
      <c r="H1545" s="7"/>
      <c r="I1545" s="256"/>
      <c r="J1545" s="256"/>
      <c r="K1545" s="56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902" t="str">
        <f>IF(AND('341-CT'!$E$9=H1545,OR(LEFT(L1545,3)=$O$7,LEFT(M1545,3)=$O$7)),"x","")</f>
        <v/>
      </c>
      <c r="P1545" s="39" t="str">
        <f>IF(AND($B1545&gt;='111'!$N$11,$B1545&lt;='111'!$O$11,OR($L1545=$P$7,$M1545=$P$7)),"x","")</f>
        <v/>
      </c>
      <c r="Q1545" s="39" t="str">
        <f>IF(AND($L1545=$P$7,$B1545&lt;'111'!$N$11),"x","")</f>
        <v/>
      </c>
      <c r="R1545" s="39" t="str">
        <f>IF(AND($M1545=$P$7,$B1545&lt;'111'!$N$11),"x","")</f>
        <v/>
      </c>
      <c r="S1545" s="39" t="str">
        <f>IF(ISERROR(FIND('112'!$M$9,G1545,1)),"",IF((AND(FIND('112'!$M$9,G1545,1)&gt;=1,$B1545&gt;='112'!$N$8,$B1545&lt;='112'!$O$8,OR($L1545='112'!$I$6,$M1545='112'!$I$6))),"x",""))</f>
        <v/>
      </c>
      <c r="T1545" s="39" t="str">
        <f>IF(ISERROR(FIND('112'!$M$9,G1545,1)),"",IF((AND(LEFT(G1545,2)=LEFT('112'!$M$9,2),B1545&lt;'112'!$N$8,$L1545='112'!$I$6)),"x",""))</f>
        <v/>
      </c>
      <c r="U1545" s="39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39" t="str">
        <f>IF(OR(TH!L1545=TH!$W$7,M1545=TH!$W$7),"x","")</f>
        <v/>
      </c>
      <c r="X1545" s="39" t="str">
        <f>IF(AND(B1545&gt;='IN-NX'!$P$3,B1545&lt;='IN-NX'!$Q$3,'IN-NX'!$D$7=D1545,OR(LEFT(L1545,2)="15",AND(LEFT(M1545,2)&lt;&gt;"15",LEFT(M1545,2)&lt;&gt;"33"))),"x","")</f>
        <v/>
      </c>
      <c r="Y1545" s="39" t="str">
        <f>IF(AND(OR(LEFT(TH!L1545,2)="15",LEFT(TH!M1545,2)="15"),'152-CT'!$J$8=TH!F1545),"x","")</f>
        <v/>
      </c>
      <c r="Z1545" s="39" t="str">
        <f>IF(AND(OR(LEFT(TH!L1545,2)="15",LEFT(TH!M1545,2)="15"),TK!$E$7=TH!F1545),"x","")</f>
        <v/>
      </c>
      <c r="AA1545" s="39" t="str">
        <f>IF(AND(B1545&lt;=NKC!$N$8,B1545&gt;=NKC!$M$8),"x","")</f>
        <v/>
      </c>
      <c r="AB1545" s="821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96"/>
        <v/>
      </c>
      <c r="C1546" s="37"/>
      <c r="D1546" s="37"/>
      <c r="E1546" s="731"/>
      <c r="F1546" s="189"/>
      <c r="G1546" s="40"/>
      <c r="H1546" s="7"/>
      <c r="I1546" s="256"/>
      <c r="J1546" s="256"/>
      <c r="K1546" s="56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902" t="str">
        <f>IF(AND('341-CT'!$E$9=H1546,OR(LEFT(L1546,3)=$O$7,LEFT(M1546,3)=$O$7)),"x","")</f>
        <v/>
      </c>
      <c r="P1546" s="39" t="str">
        <f>IF(AND($B1546&gt;='111'!$N$11,$B1546&lt;='111'!$O$11,OR($L1546=$P$7,$M1546=$P$7)),"x","")</f>
        <v/>
      </c>
      <c r="Q1546" s="39" t="str">
        <f>IF(AND($L1546=$P$7,$B1546&lt;'111'!$N$11),"x","")</f>
        <v/>
      </c>
      <c r="R1546" s="39" t="str">
        <f>IF(AND($M1546=$P$7,$B1546&lt;'111'!$N$11),"x","")</f>
        <v/>
      </c>
      <c r="S1546" s="39" t="str">
        <f>IF(ISERROR(FIND('112'!$M$9,G1546,1)),"",IF((AND(FIND('112'!$M$9,G1546,1)&gt;=1,$B1546&gt;='112'!$N$8,$B1546&lt;='112'!$O$8,OR($L1546='112'!$I$6,$M1546='112'!$I$6))),"x",""))</f>
        <v/>
      </c>
      <c r="T1546" s="39" t="str">
        <f>IF(ISERROR(FIND('112'!$M$9,G1546,1)),"",IF((AND(LEFT(G1546,2)=LEFT('112'!$M$9,2),B1546&lt;'112'!$N$8,$L1546='112'!$I$6)),"x",""))</f>
        <v/>
      </c>
      <c r="U1546" s="39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39" t="str">
        <f>IF(OR(TH!L1546=TH!$W$7,M1546=TH!$W$7),"x","")</f>
        <v/>
      </c>
      <c r="X1546" s="39" t="str">
        <f>IF(AND(B1546&gt;='IN-NX'!$P$3,B1546&lt;='IN-NX'!$Q$3,'IN-NX'!$D$7=D1546,OR(LEFT(L1546,2)="15",AND(LEFT(M1546,2)&lt;&gt;"15",LEFT(M1546,2)&lt;&gt;"33"))),"x","")</f>
        <v/>
      </c>
      <c r="Y1546" s="39" t="str">
        <f>IF(AND(OR(LEFT(TH!L1546,2)="15",LEFT(TH!M1546,2)="15"),'152-CT'!$J$8=TH!F1546),"x","")</f>
        <v/>
      </c>
      <c r="Z1546" s="39" t="str">
        <f>IF(AND(OR(LEFT(TH!L1546,2)="15",LEFT(TH!M1546,2)="15"),TK!$E$7=TH!F1546),"x","")</f>
        <v/>
      </c>
      <c r="AA1546" s="39" t="str">
        <f>IF(AND(B1546&lt;=NKC!$N$8,B1546&gt;=NKC!$M$8),"x","")</f>
        <v/>
      </c>
      <c r="AB1546" s="821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96"/>
        <v/>
      </c>
      <c r="C1547" s="37"/>
      <c r="D1547" s="37"/>
      <c r="E1547" s="731"/>
      <c r="F1547" s="296"/>
      <c r="G1547" s="40"/>
      <c r="H1547" s="7"/>
      <c r="I1547" s="256"/>
      <c r="J1547" s="256"/>
      <c r="K1547" s="56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902" t="str">
        <f>IF(AND('341-CT'!$E$9=H1547,OR(LEFT(L1547,3)=$O$7,LEFT(M1547,3)=$O$7)),"x","")</f>
        <v/>
      </c>
      <c r="P1547" s="39" t="str">
        <f>IF(AND($B1547&gt;='111'!$N$11,$B1547&lt;='111'!$O$11,OR($L1547=$P$7,$M1547=$P$7)),"x","")</f>
        <v/>
      </c>
      <c r="Q1547" s="39" t="str">
        <f>IF(AND($L1547=$P$7,$B1547&lt;'111'!$N$11),"x","")</f>
        <v/>
      </c>
      <c r="R1547" s="39" t="str">
        <f>IF(AND($M1547=$P$7,$B1547&lt;'111'!$N$11),"x","")</f>
        <v/>
      </c>
      <c r="S1547" s="39" t="str">
        <f>IF(ISERROR(FIND('112'!$M$9,G1547,1)),"",IF((AND(FIND('112'!$M$9,G1547,1)&gt;=1,$B1547&gt;='112'!$N$8,$B1547&lt;='112'!$O$8,OR($L1547='112'!$I$6,$M1547='112'!$I$6))),"x",""))</f>
        <v/>
      </c>
      <c r="T1547" s="39" t="str">
        <f>IF(ISERROR(FIND('112'!$M$9,G1547,1)),"",IF((AND(LEFT(G1547,2)=LEFT('112'!$M$9,2),B1547&lt;'112'!$N$8,$L1547='112'!$I$6)),"x",""))</f>
        <v/>
      </c>
      <c r="U1547" s="39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39" t="str">
        <f>IF(OR(TH!L1547=TH!$W$7,M1547=TH!$W$7),"x","")</f>
        <v/>
      </c>
      <c r="X1547" s="39" t="str">
        <f>IF(AND(B1547&gt;='IN-NX'!$P$3,B1547&lt;='IN-NX'!$Q$3,'IN-NX'!$D$7=D1547,OR(LEFT(L1547,2)="15",AND(LEFT(M1547,2)&lt;&gt;"15",LEFT(M1547,2)&lt;&gt;"33"))),"x","")</f>
        <v/>
      </c>
      <c r="Y1547" s="39" t="str">
        <f>IF(AND(OR(LEFT(TH!L1547,2)="15",LEFT(TH!M1547,2)="15"),'152-CT'!$J$8=TH!F1547),"x","")</f>
        <v/>
      </c>
      <c r="Z1547" s="39" t="str">
        <f>IF(AND(OR(LEFT(TH!L1547,2)="15",LEFT(TH!M1547,2)="15"),TK!$E$7=TH!F1547),"x","")</f>
        <v/>
      </c>
      <c r="AA1547" s="39" t="str">
        <f>IF(AND(B1547&lt;=NKC!$N$8,B1547&gt;=NKC!$M$8),"x","")</f>
        <v/>
      </c>
      <c r="AB1547" s="821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96"/>
        <v/>
      </c>
      <c r="C1548" s="37"/>
      <c r="D1548" s="37"/>
      <c r="E1548" s="731"/>
      <c r="F1548" s="296"/>
      <c r="G1548" s="40"/>
      <c r="H1548" s="7"/>
      <c r="I1548" s="256"/>
      <c r="J1548" s="256"/>
      <c r="K1548" s="56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902" t="str">
        <f>IF(AND('341-CT'!$E$9=H1548,OR(LEFT(L1548,3)=$O$7,LEFT(M1548,3)=$O$7)),"x","")</f>
        <v/>
      </c>
      <c r="P1548" s="39" t="str">
        <f>IF(AND($B1548&gt;='111'!$N$11,$B1548&lt;='111'!$O$11,OR($L1548=$P$7,$M1548=$P$7)),"x","")</f>
        <v/>
      </c>
      <c r="Q1548" s="39" t="str">
        <f>IF(AND($L1548=$P$7,$B1548&lt;'111'!$N$11),"x","")</f>
        <v/>
      </c>
      <c r="R1548" s="39" t="str">
        <f>IF(AND($M1548=$P$7,$B1548&lt;'111'!$N$11),"x","")</f>
        <v/>
      </c>
      <c r="S1548" s="39" t="str">
        <f>IF(ISERROR(FIND('112'!$M$9,G1548,1)),"",IF((AND(FIND('112'!$M$9,G1548,1)&gt;=1,$B1548&gt;='112'!$N$8,$B1548&lt;='112'!$O$8,OR($L1548='112'!$I$6,$M1548='112'!$I$6))),"x",""))</f>
        <v/>
      </c>
      <c r="T1548" s="39" t="str">
        <f>IF(ISERROR(FIND('112'!$M$9,G1548,1)),"",IF((AND(LEFT(G1548,2)=LEFT('112'!$M$9,2),B1548&lt;'112'!$N$8,$L1548='112'!$I$6)),"x",""))</f>
        <v/>
      </c>
      <c r="U1548" s="39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39" t="str">
        <f>IF(OR(TH!L1548=TH!$W$7,M1548=TH!$W$7),"x","")</f>
        <v/>
      </c>
      <c r="X1548" s="39" t="str">
        <f>IF(AND(B1548&gt;='IN-NX'!$P$3,B1548&lt;='IN-NX'!$Q$3,'IN-NX'!$D$7=D1548,OR(LEFT(L1548,2)="15",AND(LEFT(M1548,2)&lt;&gt;"15",LEFT(M1548,2)&lt;&gt;"33"))),"x","")</f>
        <v/>
      </c>
      <c r="Y1548" s="39" t="str">
        <f>IF(AND(OR(LEFT(TH!L1548,2)="15",LEFT(TH!M1548,2)="15"),'152-CT'!$J$8=TH!F1548),"x","")</f>
        <v/>
      </c>
      <c r="Z1548" s="39" t="str">
        <f>IF(AND(OR(LEFT(TH!L1548,2)="15",LEFT(TH!M1548,2)="15"),TK!$E$7=TH!F1548),"x","")</f>
        <v/>
      </c>
      <c r="AA1548" s="39" t="str">
        <f>IF(AND(B1548&lt;=NKC!$N$8,B1548&gt;=NKC!$M$8),"x","")</f>
        <v/>
      </c>
      <c r="AB1548" s="821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96"/>
        <v/>
      </c>
      <c r="C1549" s="37"/>
      <c r="D1549" s="37"/>
      <c r="E1549" s="731"/>
      <c r="F1549" s="189"/>
      <c r="G1549" s="40"/>
      <c r="H1549" s="7"/>
      <c r="I1549" s="256"/>
      <c r="J1549" s="256"/>
      <c r="K1549" s="56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902" t="str">
        <f>IF(AND('341-CT'!$E$9=H1549,OR(LEFT(L1549,3)=$O$7,LEFT(M1549,3)=$O$7)),"x","")</f>
        <v/>
      </c>
      <c r="P1549" s="39" t="str">
        <f>IF(AND($B1549&gt;='111'!$N$11,$B1549&lt;='111'!$O$11,OR($L1549=$P$7,$M1549=$P$7)),"x","")</f>
        <v/>
      </c>
      <c r="Q1549" s="39" t="str">
        <f>IF(AND($L1549=$P$7,$B1549&lt;'111'!$N$11),"x","")</f>
        <v/>
      </c>
      <c r="R1549" s="39" t="str">
        <f>IF(AND($M1549=$P$7,$B1549&lt;'111'!$N$11),"x","")</f>
        <v/>
      </c>
      <c r="S1549" s="39" t="str">
        <f>IF(ISERROR(FIND('112'!$M$9,G1549,1)),"",IF((AND(FIND('112'!$M$9,G1549,1)&gt;=1,$B1549&gt;='112'!$N$8,$B1549&lt;='112'!$O$8,OR($L1549='112'!$I$6,$M1549='112'!$I$6))),"x",""))</f>
        <v/>
      </c>
      <c r="T1549" s="39" t="str">
        <f>IF(ISERROR(FIND('112'!$M$9,G1549,1)),"",IF((AND(LEFT(G1549,2)=LEFT('112'!$M$9,2),B1549&lt;'112'!$N$8,$L1549='112'!$I$6)),"x",""))</f>
        <v/>
      </c>
      <c r="U1549" s="39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39" t="str">
        <f>IF(OR(TH!L1549=TH!$W$7,M1549=TH!$W$7),"x","")</f>
        <v/>
      </c>
      <c r="X1549" s="39" t="str">
        <f>IF(AND(B1549&gt;='IN-NX'!$P$3,B1549&lt;='IN-NX'!$Q$3,'IN-NX'!$D$7=D1549,OR(LEFT(L1549,2)="15",AND(LEFT(M1549,2)&lt;&gt;"15",LEFT(M1549,2)&lt;&gt;"33"))),"x","")</f>
        <v/>
      </c>
      <c r="Y1549" s="39" t="str">
        <f>IF(AND(OR(LEFT(TH!L1549,2)="15",LEFT(TH!M1549,2)="15"),'152-CT'!$J$8=TH!F1549),"x","")</f>
        <v/>
      </c>
      <c r="Z1549" s="39" t="str">
        <f>IF(AND(OR(LEFT(TH!L1549,2)="15",LEFT(TH!M1549,2)="15"),TK!$E$7=TH!F1549),"x","")</f>
        <v/>
      </c>
      <c r="AA1549" s="39" t="str">
        <f>IF(AND(B1549&lt;=NKC!$N$8,B1549&gt;=NKC!$M$8),"x","")</f>
        <v/>
      </c>
      <c r="AB1549" s="821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96"/>
        <v/>
      </c>
      <c r="C1550" s="37"/>
      <c r="D1550" s="37"/>
      <c r="E1550" s="731"/>
      <c r="F1550" s="189"/>
      <c r="G1550" s="40"/>
      <c r="H1550" s="7"/>
      <c r="I1550" s="256"/>
      <c r="J1550" s="256"/>
      <c r="K1550" s="568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902" t="str">
        <f>IF(AND('341-CT'!$E$9=H1550,OR(LEFT(L1550,3)=$O$7,LEFT(M1550,3)=$O$7)),"x","")</f>
        <v/>
      </c>
      <c r="P1550" s="39" t="str">
        <f>IF(AND($B1550&gt;='111'!$N$11,$B1550&lt;='111'!$O$11,OR($L1550=$P$7,$M1550=$P$7)),"x","")</f>
        <v/>
      </c>
      <c r="Q1550" s="39" t="str">
        <f>IF(AND($L1550=$P$7,$B1550&lt;'111'!$N$11),"x","")</f>
        <v/>
      </c>
      <c r="R1550" s="39" t="str">
        <f>IF(AND($M1550=$P$7,$B1550&lt;'111'!$N$11),"x","")</f>
        <v/>
      </c>
      <c r="S1550" s="39" t="str">
        <f>IF(ISERROR(FIND('112'!$M$9,G1550,1)),"",IF((AND(FIND('112'!$M$9,G1550,1)&gt;=1,$B1550&gt;='112'!$N$8,$B1550&lt;='112'!$O$8,OR($L1550='112'!$I$6,$M1550='112'!$I$6))),"x",""))</f>
        <v/>
      </c>
      <c r="T1550" s="39" t="str">
        <f>IF(ISERROR(FIND('112'!$M$9,G1550,1)),"",IF((AND(LEFT(G1550,2)=LEFT('112'!$M$9,2),B1550&lt;'112'!$N$8,$L1550='112'!$I$6)),"x",""))</f>
        <v/>
      </c>
      <c r="U1550" s="39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39" t="str">
        <f>IF(OR(TH!L1550=TH!$W$7,M1550=TH!$W$7),"x","")</f>
        <v/>
      </c>
      <c r="X1550" s="39" t="str">
        <f>IF(AND(B1550&gt;='IN-NX'!$P$3,B1550&lt;='IN-NX'!$Q$3,'IN-NX'!$D$7=D1550,OR(LEFT(L1550,2)="15",AND(LEFT(M1550,2)&lt;&gt;"15",LEFT(M1550,2)&lt;&gt;"33"))),"x","")</f>
        <v/>
      </c>
      <c r="Y1550" s="39" t="str">
        <f>IF(AND(OR(LEFT(TH!L1550,2)="15",LEFT(TH!M1550,2)="15"),'152-CT'!$J$8=TH!F1550),"x","")</f>
        <v/>
      </c>
      <c r="Z1550" s="39" t="str">
        <f>IF(AND(OR(LEFT(TH!L1550,2)="15",LEFT(TH!M1550,2)="15"),TK!$E$7=TH!F1550),"x","")</f>
        <v/>
      </c>
      <c r="AA1550" s="39" t="str">
        <f>IF(AND(B1550&lt;=NKC!$N$8,B1550&gt;=NKC!$M$8),"x","")</f>
        <v/>
      </c>
      <c r="AB1550" s="821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96"/>
        <v/>
      </c>
      <c r="C1551" s="37"/>
      <c r="D1551" s="37"/>
      <c r="E1551" s="731"/>
      <c r="F1551" s="189"/>
      <c r="G1551" s="40"/>
      <c r="H1551" s="7"/>
      <c r="I1551" s="256"/>
      <c r="J1551" s="256"/>
      <c r="K1551" s="568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902" t="str">
        <f>IF(AND('341-CT'!$E$9=H1551,OR(LEFT(L1551,3)=$O$7,LEFT(M1551,3)=$O$7)),"x","")</f>
        <v/>
      </c>
      <c r="P1551" s="39" t="str">
        <f>IF(AND($B1551&gt;='111'!$N$11,$B1551&lt;='111'!$O$11,OR($L1551=$P$7,$M1551=$P$7)),"x","")</f>
        <v/>
      </c>
      <c r="Q1551" s="39" t="str">
        <f>IF(AND($L1551=$P$7,$B1551&lt;'111'!$N$11),"x","")</f>
        <v/>
      </c>
      <c r="R1551" s="39" t="str">
        <f>IF(AND($M1551=$P$7,$B1551&lt;'111'!$N$11),"x","")</f>
        <v/>
      </c>
      <c r="S1551" s="39" t="str">
        <f>IF(ISERROR(FIND('112'!$M$9,G1551,1)),"",IF((AND(FIND('112'!$M$9,G1551,1)&gt;=1,$B1551&gt;='112'!$N$8,$B1551&lt;='112'!$O$8,OR($L1551='112'!$I$6,$M1551='112'!$I$6))),"x",""))</f>
        <v/>
      </c>
      <c r="T1551" s="39" t="str">
        <f>IF(ISERROR(FIND('112'!$M$9,G1551,1)),"",IF((AND(LEFT(G1551,2)=LEFT('112'!$M$9,2),B1551&lt;'112'!$N$8,$L1551='112'!$I$6)),"x",""))</f>
        <v/>
      </c>
      <c r="U1551" s="39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39" t="str">
        <f>IF(OR(TH!L1551=TH!$W$7,M1551=TH!$W$7),"x","")</f>
        <v/>
      </c>
      <c r="X1551" s="39" t="str">
        <f>IF(AND(B1551&gt;='IN-NX'!$P$3,B1551&lt;='IN-NX'!$Q$3,'IN-NX'!$D$7=D1551,OR(LEFT(L1551,2)="15",AND(LEFT(M1551,2)&lt;&gt;"15",LEFT(M1551,2)&lt;&gt;"33"))),"x","")</f>
        <v/>
      </c>
      <c r="Y1551" s="39" t="str">
        <f>IF(AND(OR(LEFT(TH!L1551,2)="15",LEFT(TH!M1551,2)="15"),'152-CT'!$J$8=TH!F1551),"x","")</f>
        <v/>
      </c>
      <c r="Z1551" s="39" t="str">
        <f>IF(AND(OR(LEFT(TH!L1551,2)="15",LEFT(TH!M1551,2)="15"),TK!$E$7=TH!F1551),"x","")</f>
        <v/>
      </c>
      <c r="AA1551" s="39" t="str">
        <f>IF(AND(B1551&lt;=NKC!$N$8,B1551&gt;=NKC!$M$8),"x","")</f>
        <v/>
      </c>
      <c r="AB1551" s="821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96"/>
        <v/>
      </c>
      <c r="C1552" s="191"/>
      <c r="D1552" s="184"/>
      <c r="E1552" s="191"/>
      <c r="F1552" s="192"/>
      <c r="G1552" s="468"/>
      <c r="H1552" s="7"/>
      <c r="I1552" s="257"/>
      <c r="J1552" s="257"/>
      <c r="K1552" s="38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902" t="str">
        <f>IF(AND('341-CT'!$E$9=H1552,OR(LEFT(L1552,3)=$O$7,LEFT(M1552,3)=$O$7)),"x","")</f>
        <v/>
      </c>
      <c r="P1552" s="39" t="str">
        <f>IF(AND($B1552&gt;='111'!$N$11,$B1552&lt;='111'!$O$11,OR($L1552=$P$7,$M1552=$P$7)),"x","")</f>
        <v/>
      </c>
      <c r="Q1552" s="39" t="str">
        <f>IF(AND($L1552=$P$7,$B1552&lt;'111'!$N$11),"x","")</f>
        <v/>
      </c>
      <c r="R1552" s="39" t="str">
        <f>IF(AND($M1552=$P$7,$B1552&lt;'111'!$N$11),"x","")</f>
        <v/>
      </c>
      <c r="S1552" s="39" t="str">
        <f>IF(ISERROR(FIND('112'!$M$9,G1552,1)),"",IF((AND(FIND('112'!$M$9,G1552,1)&gt;=1,$B1552&gt;='112'!$N$8,$B1552&lt;='112'!$O$8,OR($L1552='112'!$I$6,$M1552='112'!$I$6))),"x",""))</f>
        <v/>
      </c>
      <c r="T1552" s="39" t="str">
        <f>IF(ISERROR(FIND('112'!$M$9,G1552,1)),"",IF((AND(LEFT(G1552,2)=LEFT('112'!$M$9,2),B1552&lt;'112'!$N$8,$L1552='112'!$I$6)),"x",""))</f>
        <v/>
      </c>
      <c r="U1552" s="39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39" t="str">
        <f>IF(OR(TH!L1552=TH!$W$7,M1552=TH!$W$7),"x","")</f>
        <v/>
      </c>
      <c r="X1552" s="39" t="str">
        <f>IF(AND(B1552&gt;='IN-NX'!$P$3,B1552&lt;='IN-NX'!$Q$3,'IN-NX'!$D$7=D1552,OR(LEFT(L1552,2)="15",AND(LEFT(M1552,2)&lt;&gt;"15",LEFT(M1552,2)&lt;&gt;"33"))),"x","")</f>
        <v/>
      </c>
      <c r="Y1552" s="39" t="str">
        <f>IF(AND(OR(LEFT(TH!L1552,2)="15",LEFT(TH!M1552,2)="15"),'152-CT'!$J$8=TH!F1552),"x","")</f>
        <v/>
      </c>
      <c r="Z1552" s="39" t="str">
        <f>IF(AND(OR(LEFT(TH!L1552,2)="15",LEFT(TH!M1552,2)="15"),TK!$E$7=TH!F1552),"x","")</f>
        <v/>
      </c>
      <c r="AA1552" s="39" t="str">
        <f>IF(AND(B1552&lt;=NKC!$N$8,B1552&gt;=NKC!$M$8),"x","")</f>
        <v/>
      </c>
      <c r="AB1552" s="821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96"/>
        <v/>
      </c>
      <c r="C1553" s="191"/>
      <c r="D1553" s="184"/>
      <c r="E1553" s="191"/>
      <c r="F1553" s="192"/>
      <c r="G1553" s="468"/>
      <c r="H1553" s="193"/>
      <c r="I1553" s="256"/>
      <c r="J1553" s="256"/>
      <c r="K1553" s="38"/>
      <c r="L1553" s="194"/>
      <c r="M1553" s="569"/>
      <c r="N1553" s="39" t="str">
        <f>IF(AND('331-CT'!$E$7=TH!H1553,OR(L1553="331",M1553="331")),"331",IF(AND(OR(L1553="131",M1553="131"),H1553='131-CT'!$E$7),"131",""))</f>
        <v/>
      </c>
      <c r="O1553" s="902" t="str">
        <f>IF(AND('341-CT'!$E$9=H1553,OR(LEFT(L1553,3)=$O$7,LEFT(M1553,3)=$O$7)),"x","")</f>
        <v/>
      </c>
      <c r="P1553" s="39" t="str">
        <f>IF(AND($B1553&gt;='111'!$N$11,$B1553&lt;='111'!$O$11,OR($L1553=$P$7,$M1553=$P$7)),"x","")</f>
        <v/>
      </c>
      <c r="Q1553" s="39" t="str">
        <f>IF(AND($L1553=$P$7,$B1553&lt;'111'!$N$11),"x","")</f>
        <v/>
      </c>
      <c r="R1553" s="39" t="str">
        <f>IF(AND($M1553=$P$7,$B1553&lt;'111'!$N$11),"x","")</f>
        <v/>
      </c>
      <c r="S1553" s="39" t="str">
        <f>IF(ISERROR(FIND('112'!$M$9,G1553,1)),"",IF((AND(FIND('112'!$M$9,G1553,1)&gt;=1,$B1553&gt;='112'!$N$8,$B1553&lt;='112'!$O$8,OR($L1553='112'!$I$6,$M1553='112'!$I$6))),"x",""))</f>
        <v/>
      </c>
      <c r="T1553" s="39" t="str">
        <f>IF(ISERROR(FIND('112'!$M$9,G1553,1)),"",IF((AND(LEFT(G1553,2)=LEFT('112'!$M$9,2),B1553&lt;'112'!$N$8,$L1553='112'!$I$6)),"x",""))</f>
        <v/>
      </c>
      <c r="U1553" s="39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39" t="str">
        <f>IF(OR(TH!L1553=TH!$W$7,M1553=TH!$W$7),"x","")</f>
        <v/>
      </c>
      <c r="X1553" s="39" t="str">
        <f>IF(AND(B1553&gt;='IN-NX'!$P$3,B1553&lt;='IN-NX'!$Q$3,'IN-NX'!$D$7=D1553,OR(LEFT(L1553,2)="15",AND(LEFT(M1553,2)&lt;&gt;"15",LEFT(M1553,2)&lt;&gt;"33"))),"x","")</f>
        <v/>
      </c>
      <c r="Y1553" s="39" t="str">
        <f>IF(AND(OR(LEFT(TH!L1553,2)="15",LEFT(TH!M1553,2)="15"),'152-CT'!$J$8=TH!F1553),"x","")</f>
        <v/>
      </c>
      <c r="Z1553" s="39" t="str">
        <f>IF(AND(OR(LEFT(TH!L1553,2)="15",LEFT(TH!M1553,2)="15"),TK!$E$7=TH!F1553),"x","")</f>
        <v/>
      </c>
      <c r="AA1553" s="39" t="str">
        <f>IF(AND(B1553&lt;=NKC!$N$8,B1553&gt;=NKC!$M$8),"x","")</f>
        <v/>
      </c>
      <c r="AB1553" s="821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96"/>
        <v/>
      </c>
      <c r="C1554" s="191"/>
      <c r="D1554" s="184"/>
      <c r="E1554" s="191"/>
      <c r="F1554" s="189"/>
      <c r="G1554" s="468"/>
      <c r="H1554" s="7"/>
      <c r="I1554" s="256"/>
      <c r="J1554" s="256"/>
      <c r="K1554" s="568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902" t="str">
        <f>IF(AND('341-CT'!$E$9=H1554,OR(LEFT(L1554,3)=$O$7,LEFT(M1554,3)=$O$7)),"x","")</f>
        <v/>
      </c>
      <c r="P1554" s="39" t="str">
        <f>IF(AND($B1554&gt;='111'!$N$11,$B1554&lt;='111'!$O$11,OR($L1554=$P$7,$M1554=$P$7)),"x","")</f>
        <v/>
      </c>
      <c r="Q1554" s="39" t="str">
        <f>IF(AND($L1554=$P$7,$B1554&lt;'111'!$N$11),"x","")</f>
        <v/>
      </c>
      <c r="R1554" s="39" t="str">
        <f>IF(AND($M1554=$P$7,$B1554&lt;'111'!$N$11),"x","")</f>
        <v/>
      </c>
      <c r="S1554" s="39" t="str">
        <f>IF(ISERROR(FIND('112'!$M$9,G1554,1)),"",IF((AND(FIND('112'!$M$9,G1554,1)&gt;=1,$B1554&gt;='112'!$N$8,$B1554&lt;='112'!$O$8,OR($L1554='112'!$I$6,$M1554='112'!$I$6))),"x",""))</f>
        <v/>
      </c>
      <c r="T1554" s="39" t="str">
        <f>IF(ISERROR(FIND('112'!$M$9,G1554,1)),"",IF((AND(LEFT(G1554,2)=LEFT('112'!$M$9,2),B1554&lt;'112'!$N$8,$L1554='112'!$I$6)),"x",""))</f>
        <v/>
      </c>
      <c r="U1554" s="39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39" t="str">
        <f>IF(OR(TH!L1554=TH!$W$7,M1554=TH!$W$7),"x","")</f>
        <v/>
      </c>
      <c r="X1554" s="39" t="str">
        <f>IF(AND(B1554&gt;='IN-NX'!$P$3,B1554&lt;='IN-NX'!$Q$3,'IN-NX'!$D$7=D1554,OR(LEFT(L1554,2)="15",AND(LEFT(M1554,2)&lt;&gt;"15",LEFT(M1554,2)&lt;&gt;"33"))),"x","")</f>
        <v/>
      </c>
      <c r="Y1554" s="39" t="str">
        <f>IF(AND(OR(LEFT(TH!L1554,2)="15",LEFT(TH!M1554,2)="15"),'152-CT'!$J$8=TH!F1554),"x","")</f>
        <v/>
      </c>
      <c r="Z1554" s="39" t="str">
        <f>IF(AND(OR(LEFT(TH!L1554,2)="15",LEFT(TH!M1554,2)="15"),TK!$E$7=TH!F1554),"x","")</f>
        <v/>
      </c>
      <c r="AA1554" s="39" t="str">
        <f>IF(AND(B1554&lt;=NKC!$N$8,B1554&gt;=NKC!$M$8),"x","")</f>
        <v/>
      </c>
      <c r="AB1554" s="821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96"/>
        <v/>
      </c>
      <c r="C1555" s="191"/>
      <c r="D1555" s="184"/>
      <c r="E1555" s="191"/>
      <c r="F1555" s="189"/>
      <c r="G1555" s="468"/>
      <c r="H1555" s="7"/>
      <c r="I1555" s="256"/>
      <c r="J1555" s="256"/>
      <c r="K1555" s="38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902" t="str">
        <f>IF(AND('341-CT'!$E$9=H1555,OR(LEFT(L1555,3)=$O$7,LEFT(M1555,3)=$O$7)),"x","")</f>
        <v/>
      </c>
      <c r="P1555" s="39" t="str">
        <f>IF(AND($B1555&gt;='111'!$N$11,$B1555&lt;='111'!$O$11,OR($L1555=$P$7,$M1555=$P$7)),"x","")</f>
        <v/>
      </c>
      <c r="Q1555" s="39" t="str">
        <f>IF(AND($L1555=$P$7,$B1555&lt;'111'!$N$11),"x","")</f>
        <v/>
      </c>
      <c r="R1555" s="39" t="str">
        <f>IF(AND($M1555=$P$7,$B1555&lt;'111'!$N$11),"x","")</f>
        <v/>
      </c>
      <c r="S1555" s="39" t="str">
        <f>IF(ISERROR(FIND('112'!$M$9,G1555,1)),"",IF((AND(FIND('112'!$M$9,G1555,1)&gt;=1,$B1555&gt;='112'!$N$8,$B1555&lt;='112'!$O$8,OR($L1555='112'!$I$6,$M1555='112'!$I$6))),"x",""))</f>
        <v/>
      </c>
      <c r="T1555" s="39" t="str">
        <f>IF(ISERROR(FIND('112'!$M$9,G1555,1)),"",IF((AND(LEFT(G1555,2)=LEFT('112'!$M$9,2),B1555&lt;'112'!$N$8,$L1555='112'!$I$6)),"x",""))</f>
        <v/>
      </c>
      <c r="U1555" s="39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39" t="str">
        <f>IF(OR(TH!L1555=TH!$W$7,M1555=TH!$W$7),"x","")</f>
        <v/>
      </c>
      <c r="X1555" s="39" t="str">
        <f>IF(AND(B1555&gt;='IN-NX'!$P$3,B1555&lt;='IN-NX'!$Q$3,'IN-NX'!$D$7=D1555,OR(LEFT(L1555,2)="15",AND(LEFT(M1555,2)&lt;&gt;"15",LEFT(M1555,2)&lt;&gt;"33"))),"x","")</f>
        <v/>
      </c>
      <c r="Y1555" s="39" t="str">
        <f>IF(AND(OR(LEFT(TH!L1555,2)="15",LEFT(TH!M1555,2)="15"),'152-CT'!$J$8=TH!F1555),"x","")</f>
        <v/>
      </c>
      <c r="Z1555" s="39" t="str">
        <f>IF(AND(OR(LEFT(TH!L1555,2)="15",LEFT(TH!M1555,2)="15"),TK!$E$7=TH!F1555),"x","")</f>
        <v/>
      </c>
      <c r="AA1555" s="39" t="str">
        <f>IF(AND(B1555&lt;=NKC!$N$8,B1555&gt;=NKC!$M$8),"x","")</f>
        <v/>
      </c>
      <c r="AB1555" s="821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96"/>
        <v/>
      </c>
      <c r="C1556" s="191"/>
      <c r="D1556" s="191"/>
      <c r="E1556" s="191"/>
      <c r="F1556" s="192"/>
      <c r="G1556" s="468"/>
      <c r="H1556" s="210"/>
      <c r="I1556" s="256"/>
      <c r="J1556" s="256"/>
      <c r="K1556" s="568"/>
      <c r="L1556" s="194"/>
      <c r="M1556" s="194"/>
      <c r="N1556" s="39" t="str">
        <f>IF(AND('331-CT'!$E$7=TH!H1556,OR(L1556="331",M1556="331")),"331",IF(AND(OR(L1556="131",M1556="131"),H1556='131-CT'!$E$7),"131",""))</f>
        <v/>
      </c>
      <c r="O1556" s="902" t="str">
        <f>IF(AND('341-CT'!$E$9=H1556,OR(LEFT(L1556,3)=$O$7,LEFT(M1556,3)=$O$7)),"x","")</f>
        <v/>
      </c>
      <c r="P1556" s="39" t="str">
        <f>IF(AND($B1556&gt;='111'!$N$11,$B1556&lt;='111'!$O$11,OR($L1556=$P$7,$M1556=$P$7)),"x","")</f>
        <v/>
      </c>
      <c r="Q1556" s="39" t="str">
        <f>IF(AND($L1556=$P$7,$B1556&lt;'111'!$N$11),"x","")</f>
        <v/>
      </c>
      <c r="R1556" s="39" t="str">
        <f>IF(AND($M1556=$P$7,$B1556&lt;'111'!$N$11),"x","")</f>
        <v/>
      </c>
      <c r="S1556" s="39" t="str">
        <f>IF(ISERROR(FIND('112'!$M$9,G1556,1)),"",IF((AND(FIND('112'!$M$9,G1556,1)&gt;=1,$B1556&gt;='112'!$N$8,$B1556&lt;='112'!$O$8,OR($L1556='112'!$I$6,$M1556='112'!$I$6))),"x",""))</f>
        <v/>
      </c>
      <c r="T1556" s="39" t="str">
        <f>IF(ISERROR(FIND('112'!$M$9,G1556,1)),"",IF((AND(LEFT(G1556,2)=LEFT('112'!$M$9,2),B1556&lt;'112'!$N$8,$L1556='112'!$I$6)),"x",""))</f>
        <v/>
      </c>
      <c r="U1556" s="39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39" t="str">
        <f>IF(OR(TH!L1556=TH!$W$7,M1556=TH!$W$7),"x","")</f>
        <v/>
      </c>
      <c r="X1556" s="39" t="str">
        <f>IF(AND(B1556&gt;='IN-NX'!$P$3,B1556&lt;='IN-NX'!$Q$3,'IN-NX'!$D$7=D1556,OR(LEFT(L1556,2)="15",AND(LEFT(M1556,2)&lt;&gt;"15",LEFT(M1556,2)&lt;&gt;"33"))),"x","")</f>
        <v/>
      </c>
      <c r="Y1556" s="39" t="str">
        <f>IF(AND(OR(LEFT(TH!L1556,2)="15",LEFT(TH!M1556,2)="15"),'152-CT'!$J$8=TH!F1556),"x","")</f>
        <v/>
      </c>
      <c r="Z1556" s="39" t="str">
        <f>IF(AND(OR(LEFT(TH!L1556,2)="15",LEFT(TH!M1556,2)="15"),TK!$E$7=TH!F1556),"x","")</f>
        <v/>
      </c>
      <c r="AA1556" s="39" t="str">
        <f>IF(AND(B1556&lt;=NKC!$N$8,B1556&gt;=NKC!$M$8),"x","")</f>
        <v/>
      </c>
      <c r="AB1556" s="821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96"/>
        <v/>
      </c>
      <c r="C1557" s="191"/>
      <c r="D1557" s="191"/>
      <c r="E1557" s="191"/>
      <c r="F1557" s="192"/>
      <c r="G1557" s="468"/>
      <c r="H1557" s="210"/>
      <c r="I1557" s="256"/>
      <c r="J1557" s="256"/>
      <c r="K1557" s="568"/>
      <c r="L1557" s="194"/>
      <c r="M1557" s="194"/>
      <c r="N1557" s="39" t="str">
        <f>IF(AND('331-CT'!$E$7=TH!H1557,OR(L1557="331",M1557="331")),"331",IF(AND(OR(L1557="131",M1557="131"),H1557='131-CT'!$E$7),"131",""))</f>
        <v/>
      </c>
      <c r="O1557" s="902" t="str">
        <f>IF(AND('341-CT'!$E$9=H1557,OR(LEFT(L1557,3)=$O$7,LEFT(M1557,3)=$O$7)),"x","")</f>
        <v/>
      </c>
      <c r="P1557" s="39" t="str">
        <f>IF(AND($B1557&gt;='111'!$N$11,$B1557&lt;='111'!$O$11,OR($L1557=$P$7,$M1557=$P$7)),"x","")</f>
        <v/>
      </c>
      <c r="Q1557" s="39" t="str">
        <f>IF(AND($L1557=$P$7,$B1557&lt;'111'!$N$11),"x","")</f>
        <v/>
      </c>
      <c r="R1557" s="39" t="str">
        <f>IF(AND($M1557=$P$7,$B1557&lt;'111'!$N$11),"x","")</f>
        <v/>
      </c>
      <c r="S1557" s="39" t="str">
        <f>IF(ISERROR(FIND('112'!$M$9,G1557,1)),"",IF((AND(FIND('112'!$M$9,G1557,1)&gt;=1,$B1557&gt;='112'!$N$8,$B1557&lt;='112'!$O$8,OR($L1557='112'!$I$6,$M1557='112'!$I$6))),"x",""))</f>
        <v/>
      </c>
      <c r="T1557" s="39" t="str">
        <f>IF(ISERROR(FIND('112'!$M$9,G1557,1)),"",IF((AND(LEFT(G1557,2)=LEFT('112'!$M$9,2),B1557&lt;'112'!$N$8,$L1557='112'!$I$6)),"x",""))</f>
        <v/>
      </c>
      <c r="U1557" s="39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39" t="str">
        <f>IF(OR(TH!L1557=TH!$W$7,M1557=TH!$W$7),"x","")</f>
        <v/>
      </c>
      <c r="X1557" s="39" t="str">
        <f>IF(AND(B1557&gt;='IN-NX'!$P$3,B1557&lt;='IN-NX'!$Q$3,'IN-NX'!$D$7=D1557,OR(LEFT(L1557,2)="15",AND(LEFT(M1557,2)&lt;&gt;"15",LEFT(M1557,2)&lt;&gt;"33"))),"x","")</f>
        <v/>
      </c>
      <c r="Y1557" s="39" t="str">
        <f>IF(AND(OR(LEFT(TH!L1557,2)="15",LEFT(TH!M1557,2)="15"),'152-CT'!$J$8=TH!F1557),"x","")</f>
        <v/>
      </c>
      <c r="Z1557" s="39" t="str">
        <f>IF(AND(OR(LEFT(TH!L1557,2)="15",LEFT(TH!M1557,2)="15"),TK!$E$7=TH!F1557),"x","")</f>
        <v/>
      </c>
      <c r="AA1557" s="39" t="str">
        <f>IF(AND(B1557&lt;=NKC!$N$8,B1557&gt;=NKC!$M$8),"x","")</f>
        <v/>
      </c>
      <c r="AB1557" s="821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96"/>
        <v/>
      </c>
      <c r="C1558" s="191"/>
      <c r="D1558" s="191"/>
      <c r="E1558" s="191"/>
      <c r="F1558" s="192"/>
      <c r="G1558" s="468"/>
      <c r="H1558" s="210"/>
      <c r="I1558" s="256"/>
      <c r="J1558" s="256"/>
      <c r="K1558" s="568"/>
      <c r="L1558" s="194"/>
      <c r="M1558" s="194"/>
      <c r="N1558" s="39" t="str">
        <f>IF(AND('331-CT'!$E$7=TH!H1558,OR(L1558="331",M1558="331")),"331",IF(AND(OR(L1558="131",M1558="131"),H1558='131-CT'!$E$7),"131",""))</f>
        <v/>
      </c>
      <c r="O1558" s="902" t="str">
        <f>IF(AND('341-CT'!$E$9=H1558,OR(LEFT(L1558,3)=$O$7,LEFT(M1558,3)=$O$7)),"x","")</f>
        <v/>
      </c>
      <c r="P1558" s="39" t="str">
        <f>IF(AND($B1558&gt;='111'!$N$11,$B1558&lt;='111'!$O$11,OR($L1558=$P$7,$M1558=$P$7)),"x","")</f>
        <v/>
      </c>
      <c r="Q1558" s="39" t="str">
        <f>IF(AND($L1558=$P$7,$B1558&lt;'111'!$N$11),"x","")</f>
        <v/>
      </c>
      <c r="R1558" s="39" t="str">
        <f>IF(AND($M1558=$P$7,$B1558&lt;'111'!$N$11),"x","")</f>
        <v/>
      </c>
      <c r="S1558" s="39" t="str">
        <f>IF(ISERROR(FIND('112'!$M$9,G1558,1)),"",IF((AND(FIND('112'!$M$9,G1558,1)&gt;=1,$B1558&gt;='112'!$N$8,$B1558&lt;='112'!$O$8,OR($L1558='112'!$I$6,$M1558='112'!$I$6))),"x",""))</f>
        <v/>
      </c>
      <c r="T1558" s="39" t="str">
        <f>IF(ISERROR(FIND('112'!$M$9,G1558,1)),"",IF((AND(LEFT(G1558,2)=LEFT('112'!$M$9,2),B1558&lt;'112'!$N$8,$L1558='112'!$I$6)),"x",""))</f>
        <v/>
      </c>
      <c r="U1558" s="39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39" t="str">
        <f>IF(OR(TH!L1558=TH!$W$7,M1558=TH!$W$7),"x","")</f>
        <v/>
      </c>
      <c r="X1558" s="39" t="str">
        <f>IF(AND(B1558&gt;='IN-NX'!$P$3,B1558&lt;='IN-NX'!$Q$3,'IN-NX'!$D$7=D1558,OR(LEFT(L1558,2)="15",AND(LEFT(M1558,2)&lt;&gt;"15",LEFT(M1558,2)&lt;&gt;"33"))),"x","")</f>
        <v/>
      </c>
      <c r="Y1558" s="39" t="str">
        <f>IF(AND(OR(LEFT(TH!L1558,2)="15",LEFT(TH!M1558,2)="15"),'152-CT'!$J$8=TH!F1558),"x","")</f>
        <v/>
      </c>
      <c r="Z1558" s="39" t="str">
        <f>IF(AND(OR(LEFT(TH!L1558,2)="15",LEFT(TH!M1558,2)="15"),TK!$E$7=TH!F1558),"x","")</f>
        <v/>
      </c>
      <c r="AA1558" s="39" t="str">
        <f>IF(AND(B1558&lt;=NKC!$N$8,B1558&gt;=NKC!$M$8),"x","")</f>
        <v/>
      </c>
      <c r="AB1558" s="821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96"/>
        <v/>
      </c>
      <c r="C1559" s="37"/>
      <c r="D1559" s="37"/>
      <c r="E1559" s="731"/>
      <c r="F1559" s="40"/>
      <c r="G1559" s="40"/>
      <c r="H1559" s="7"/>
      <c r="I1559" s="256"/>
      <c r="J1559" s="256"/>
      <c r="K1559" s="568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902" t="str">
        <f>IF(AND('341-CT'!$E$9=H1559,OR(LEFT(L1559,3)=$O$7,LEFT(M1559,3)=$O$7)),"x","")</f>
        <v/>
      </c>
      <c r="P1559" s="39" t="str">
        <f>IF(AND($B1559&gt;='111'!$N$11,$B1559&lt;='111'!$O$11,OR($L1559=$P$7,$M1559=$P$7)),"x","")</f>
        <v/>
      </c>
      <c r="Q1559" s="39" t="str">
        <f>IF(AND($L1559=$P$7,$B1559&lt;'111'!$N$11),"x","")</f>
        <v/>
      </c>
      <c r="R1559" s="39" t="str">
        <f>IF(AND($M1559=$P$7,$B1559&lt;'111'!$N$11),"x","")</f>
        <v/>
      </c>
      <c r="S1559" s="39" t="str">
        <f>IF(ISERROR(FIND('112'!$M$9,G1559,1)),"",IF((AND(FIND('112'!$M$9,G1559,1)&gt;=1,$B1559&gt;='112'!$N$8,$B1559&lt;='112'!$O$8,OR($L1559='112'!$I$6,$M1559='112'!$I$6))),"x",""))</f>
        <v/>
      </c>
      <c r="T1559" s="39" t="str">
        <f>IF(ISERROR(FIND('112'!$M$9,G1559,1)),"",IF((AND(LEFT(G1559,2)=LEFT('112'!$M$9,2),B1559&lt;'112'!$N$8,$L1559='112'!$I$6)),"x",""))</f>
        <v/>
      </c>
      <c r="U1559" s="39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39" t="str">
        <f>IF(OR(TH!L1559=TH!$W$7,M1559=TH!$W$7),"x","")</f>
        <v/>
      </c>
      <c r="X1559" s="39" t="str">
        <f>IF(AND(B1559&gt;='IN-NX'!$P$3,B1559&lt;='IN-NX'!$Q$3,'IN-NX'!$D$7=D1559,OR(LEFT(L1559,2)="15",AND(LEFT(M1559,2)&lt;&gt;"15",LEFT(M1559,2)&lt;&gt;"33"))),"x","")</f>
        <v/>
      </c>
      <c r="Y1559" s="39" t="str">
        <f>IF(AND(OR(LEFT(TH!L1559,2)="15",LEFT(TH!M1559,2)="15"),'152-CT'!$J$8=TH!F1559),"x","")</f>
        <v/>
      </c>
      <c r="Z1559" s="39" t="str">
        <f>IF(AND(OR(LEFT(TH!L1559,2)="15",LEFT(TH!M1559,2)="15"),TK!$E$7=TH!F1559),"x","")</f>
        <v/>
      </c>
      <c r="AA1559" s="39" t="str">
        <f>IF(AND(B1559&lt;=NKC!$N$8,B1559&gt;=NKC!$M$8),"x","")</f>
        <v/>
      </c>
      <c r="AB1559" s="821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96"/>
        <v/>
      </c>
      <c r="C1560" s="37"/>
      <c r="D1560" s="37"/>
      <c r="E1560" s="731"/>
      <c r="F1560" s="189"/>
      <c r="G1560" s="40"/>
      <c r="H1560" s="7"/>
      <c r="I1560" s="256"/>
      <c r="J1560" s="256"/>
      <c r="K1560" s="568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902" t="str">
        <f>IF(AND('341-CT'!$E$9=H1560,OR(LEFT(L1560,3)=$O$7,LEFT(M1560,3)=$O$7)),"x","")</f>
        <v/>
      </c>
      <c r="P1560" s="39" t="str">
        <f>IF(AND($B1560&gt;='111'!$N$11,$B1560&lt;='111'!$O$11,OR($L1560=$P$7,$M1560=$P$7)),"x","")</f>
        <v/>
      </c>
      <c r="Q1560" s="39" t="str">
        <f>IF(AND($L1560=$P$7,$B1560&lt;'111'!$N$11),"x","")</f>
        <v/>
      </c>
      <c r="R1560" s="39" t="str">
        <f>IF(AND($M1560=$P$7,$B1560&lt;'111'!$N$11),"x","")</f>
        <v/>
      </c>
      <c r="S1560" s="39" t="str">
        <f>IF(ISERROR(FIND('112'!$M$9,G1560,1)),"",IF((AND(FIND('112'!$M$9,G1560,1)&gt;=1,$B1560&gt;='112'!$N$8,$B1560&lt;='112'!$O$8,OR($L1560='112'!$I$6,$M1560='112'!$I$6))),"x",""))</f>
        <v/>
      </c>
      <c r="T1560" s="39" t="str">
        <f>IF(ISERROR(FIND('112'!$M$9,G1560,1)),"",IF((AND(LEFT(G1560,2)=LEFT('112'!$M$9,2),B1560&lt;'112'!$N$8,$L1560='112'!$I$6)),"x",""))</f>
        <v/>
      </c>
      <c r="U1560" s="39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39" t="str">
        <f>IF(OR(TH!L1560=TH!$W$7,M1560=TH!$W$7),"x","")</f>
        <v/>
      </c>
      <c r="X1560" s="39" t="str">
        <f>IF(AND(B1560&gt;='IN-NX'!$P$3,B1560&lt;='IN-NX'!$Q$3,'IN-NX'!$D$7=D1560,OR(LEFT(L1560,2)="15",AND(LEFT(M1560,2)&lt;&gt;"15",LEFT(M1560,2)&lt;&gt;"33"))),"x","")</f>
        <v/>
      </c>
      <c r="Y1560" s="39" t="str">
        <f>IF(AND(OR(LEFT(TH!L1560,2)="15",LEFT(TH!M1560,2)="15"),'152-CT'!$J$8=TH!F1560),"x","")</f>
        <v/>
      </c>
      <c r="Z1560" s="39" t="str">
        <f>IF(AND(OR(LEFT(TH!L1560,2)="15",LEFT(TH!M1560,2)="15"),TK!$E$7=TH!F1560),"x","")</f>
        <v/>
      </c>
      <c r="AA1560" s="39" t="str">
        <f>IF(AND(B1560&lt;=NKC!$N$8,B1560&gt;=NKC!$M$8),"x","")</f>
        <v/>
      </c>
      <c r="AB1560" s="821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si="96"/>
        <v/>
      </c>
      <c r="C1561" s="37"/>
      <c r="D1561" s="37"/>
      <c r="E1561" s="731"/>
      <c r="F1561" s="40"/>
      <c r="G1561" s="40"/>
      <c r="H1561" s="7"/>
      <c r="I1561" s="256"/>
      <c r="J1561" s="256"/>
      <c r="K1561" s="568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902" t="str">
        <f>IF(AND('341-CT'!$E$9=H1561,OR(LEFT(L1561,3)=$O$7,LEFT(M1561,3)=$O$7)),"x","")</f>
        <v/>
      </c>
      <c r="P1561" s="39" t="str">
        <f>IF(AND($B1561&gt;='111'!$N$11,$B1561&lt;='111'!$O$11,OR($L1561=$P$7,$M1561=$P$7)),"x","")</f>
        <v/>
      </c>
      <c r="Q1561" s="39" t="str">
        <f>IF(AND($L1561=$P$7,$B1561&lt;'111'!$N$11),"x","")</f>
        <v/>
      </c>
      <c r="R1561" s="39" t="str">
        <f>IF(AND($M1561=$P$7,$B1561&lt;'111'!$N$11),"x","")</f>
        <v/>
      </c>
      <c r="S1561" s="39" t="str">
        <f>IF(ISERROR(FIND('112'!$M$9,G1561,1)),"",IF((AND(FIND('112'!$M$9,G1561,1)&gt;=1,$B1561&gt;='112'!$N$8,$B1561&lt;='112'!$O$8,OR($L1561='112'!$I$6,$M1561='112'!$I$6))),"x",""))</f>
        <v/>
      </c>
      <c r="T1561" s="39" t="str">
        <f>IF(ISERROR(FIND('112'!$M$9,G1561,1)),"",IF((AND(LEFT(G1561,2)=LEFT('112'!$M$9,2),B1561&lt;'112'!$N$8,$L1561='112'!$I$6)),"x",""))</f>
        <v/>
      </c>
      <c r="U1561" s="39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39" t="str">
        <f>IF(OR(TH!L1561=TH!$W$7,M1561=TH!$W$7),"x","")</f>
        <v/>
      </c>
      <c r="X1561" s="39" t="str">
        <f>IF(AND(B1561&gt;='IN-NX'!$P$3,B1561&lt;='IN-NX'!$Q$3,'IN-NX'!$D$7=D1561,OR(LEFT(L1561,2)="15",AND(LEFT(M1561,2)&lt;&gt;"15",LEFT(M1561,2)&lt;&gt;"33"))),"x","")</f>
        <v/>
      </c>
      <c r="Y1561" s="39" t="str">
        <f>IF(AND(OR(LEFT(TH!L1561,2)="15",LEFT(TH!M1561,2)="15"),'152-CT'!$J$8=TH!F1561),"x","")</f>
        <v/>
      </c>
      <c r="Z1561" s="39" t="str">
        <f>IF(AND(OR(LEFT(TH!L1561,2)="15",LEFT(TH!M1561,2)="15"),TK!$E$7=TH!F1561),"x","")</f>
        <v/>
      </c>
      <c r="AA1561" s="39" t="str">
        <f>IF(AND(B1561&lt;=NKC!$N$8,B1561&gt;=NKC!$M$8),"x","")</f>
        <v/>
      </c>
      <c r="AB1561" s="821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96"/>
        <v/>
      </c>
      <c r="C1562" s="37"/>
      <c r="D1562" s="37"/>
      <c r="E1562" s="731"/>
      <c r="F1562" s="40"/>
      <c r="G1562" s="40"/>
      <c r="H1562" s="7"/>
      <c r="I1562" s="256"/>
      <c r="J1562" s="256"/>
      <c r="K1562" s="56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902" t="str">
        <f>IF(AND('341-CT'!$E$9=H1562,OR(LEFT(L1562,3)=$O$7,LEFT(M1562,3)=$O$7)),"x","")</f>
        <v/>
      </c>
      <c r="P1562" s="39" t="str">
        <f>IF(AND($B1562&gt;='111'!$N$11,$B1562&lt;='111'!$O$11,OR($L1562=$P$7,$M1562=$P$7)),"x","")</f>
        <v/>
      </c>
      <c r="Q1562" s="39" t="str">
        <f>IF(AND($L1562=$P$7,$B1562&lt;'111'!$N$11),"x","")</f>
        <v/>
      </c>
      <c r="R1562" s="39" t="str">
        <f>IF(AND($M1562=$P$7,$B1562&lt;'111'!$N$11),"x","")</f>
        <v/>
      </c>
      <c r="S1562" s="39" t="str">
        <f>IF(ISERROR(FIND('112'!$M$9,G1562,1)),"",IF((AND(FIND('112'!$M$9,G1562,1)&gt;=1,$B1562&gt;='112'!$N$8,$B1562&lt;='112'!$O$8,OR($L1562='112'!$I$6,$M1562='112'!$I$6))),"x",""))</f>
        <v/>
      </c>
      <c r="T1562" s="39" t="str">
        <f>IF(ISERROR(FIND('112'!$M$9,G1562,1)),"",IF((AND(LEFT(G1562,2)=LEFT('112'!$M$9,2),B1562&lt;'112'!$N$8,$L1562='112'!$I$6)),"x",""))</f>
        <v/>
      </c>
      <c r="U1562" s="39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39" t="str">
        <f>IF(OR(TH!L1562=TH!$W$7,M1562=TH!$W$7),"x","")</f>
        <v/>
      </c>
      <c r="X1562" s="39" t="str">
        <f>IF(AND(B1562&gt;='IN-NX'!$P$3,B1562&lt;='IN-NX'!$Q$3,'IN-NX'!$D$7=D1562,OR(LEFT(L1562,2)="15",AND(LEFT(M1562,2)&lt;&gt;"15",LEFT(M1562,2)&lt;&gt;"33"))),"x","")</f>
        <v/>
      </c>
      <c r="Y1562" s="39" t="str">
        <f>IF(AND(OR(LEFT(TH!L1562,2)="15",LEFT(TH!M1562,2)="15"),'152-CT'!$J$8=TH!F1562),"x","")</f>
        <v/>
      </c>
      <c r="Z1562" s="39" t="str">
        <f>IF(AND(OR(LEFT(TH!L1562,2)="15",LEFT(TH!M1562,2)="15"),TK!$E$7=TH!F1562),"x","")</f>
        <v/>
      </c>
      <c r="AA1562" s="39" t="str">
        <f>IF(AND(B1562&lt;=NKC!$N$8,B1562&gt;=NKC!$M$8),"x","")</f>
        <v/>
      </c>
      <c r="AB1562" s="821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96"/>
        <v/>
      </c>
      <c r="C1563" s="37"/>
      <c r="D1563" s="37"/>
      <c r="E1563" s="731"/>
      <c r="F1563" s="189"/>
      <c r="G1563" s="40"/>
      <c r="H1563" s="7"/>
      <c r="I1563" s="256"/>
      <c r="J1563" s="256"/>
      <c r="K1563" s="56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902" t="str">
        <f>IF(AND('341-CT'!$E$9=H1563,OR(LEFT(L1563,3)=$O$7,LEFT(M1563,3)=$O$7)),"x","")</f>
        <v/>
      </c>
      <c r="P1563" s="39" t="str">
        <f>IF(AND($B1563&gt;='111'!$N$11,$B1563&lt;='111'!$O$11,OR($L1563=$P$7,$M1563=$P$7)),"x","")</f>
        <v/>
      </c>
      <c r="Q1563" s="39" t="str">
        <f>IF(AND($L1563=$P$7,$B1563&lt;'111'!$N$11),"x","")</f>
        <v/>
      </c>
      <c r="R1563" s="39" t="str">
        <f>IF(AND($M1563=$P$7,$B1563&lt;'111'!$N$11),"x","")</f>
        <v/>
      </c>
      <c r="S1563" s="39" t="str">
        <f>IF(ISERROR(FIND('112'!$M$9,G1563,1)),"",IF((AND(FIND('112'!$M$9,G1563,1)&gt;=1,$B1563&gt;='112'!$N$8,$B1563&lt;='112'!$O$8,OR($L1563='112'!$I$6,$M1563='112'!$I$6))),"x",""))</f>
        <v/>
      </c>
      <c r="T1563" s="39" t="str">
        <f>IF(ISERROR(FIND('112'!$M$9,G1563,1)),"",IF((AND(LEFT(G1563,2)=LEFT('112'!$M$9,2),B1563&lt;'112'!$N$8,$L1563='112'!$I$6)),"x",""))</f>
        <v/>
      </c>
      <c r="U1563" s="39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39" t="str">
        <f>IF(OR(TH!L1563=TH!$W$7,M1563=TH!$W$7),"x","")</f>
        <v/>
      </c>
      <c r="X1563" s="39" t="str">
        <f>IF(AND(B1563&gt;='IN-NX'!$P$3,B1563&lt;='IN-NX'!$Q$3,'IN-NX'!$D$7=D1563,OR(LEFT(L1563,2)="15",AND(LEFT(M1563,2)&lt;&gt;"15",LEFT(M1563,2)&lt;&gt;"33"))),"x","")</f>
        <v/>
      </c>
      <c r="Y1563" s="39" t="str">
        <f>IF(AND(OR(LEFT(TH!L1563,2)="15",LEFT(TH!M1563,2)="15"),'152-CT'!$J$8=TH!F1563),"x","")</f>
        <v/>
      </c>
      <c r="Z1563" s="39" t="str">
        <f>IF(AND(OR(LEFT(TH!L1563,2)="15",LEFT(TH!M1563,2)="15"),TK!$E$7=TH!F1563),"x","")</f>
        <v/>
      </c>
      <c r="AA1563" s="39" t="str">
        <f>IF(AND(B1563&lt;=NKC!$N$8,B1563&gt;=NKC!$M$8),"x","")</f>
        <v/>
      </c>
      <c r="AB1563" s="821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96"/>
        <v/>
      </c>
      <c r="C1564" s="37"/>
      <c r="D1564" s="37"/>
      <c r="E1564" s="731"/>
      <c r="F1564" s="40"/>
      <c r="G1564" s="40"/>
      <c r="H1564" s="7"/>
      <c r="I1564" s="256"/>
      <c r="J1564" s="256"/>
      <c r="K1564" s="56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902" t="str">
        <f>IF(AND('341-CT'!$E$9=H1564,OR(LEFT(L1564,3)=$O$7,LEFT(M1564,3)=$O$7)),"x","")</f>
        <v/>
      </c>
      <c r="P1564" s="39" t="str">
        <f>IF(AND($B1564&gt;='111'!$N$11,$B1564&lt;='111'!$O$11,OR($L1564=$P$7,$M1564=$P$7)),"x","")</f>
        <v/>
      </c>
      <c r="Q1564" s="39" t="str">
        <f>IF(AND($L1564=$P$7,$B1564&lt;'111'!$N$11),"x","")</f>
        <v/>
      </c>
      <c r="R1564" s="39" t="str">
        <f>IF(AND($M1564=$P$7,$B1564&lt;'111'!$N$11),"x","")</f>
        <v/>
      </c>
      <c r="S1564" s="39" t="str">
        <f>IF(ISERROR(FIND('112'!$M$9,G1564,1)),"",IF((AND(FIND('112'!$M$9,G1564,1)&gt;=1,$B1564&gt;='112'!$N$8,$B1564&lt;='112'!$O$8,OR($L1564='112'!$I$6,$M1564='112'!$I$6))),"x",""))</f>
        <v/>
      </c>
      <c r="T1564" s="39" t="str">
        <f>IF(ISERROR(FIND('112'!$M$9,G1564,1)),"",IF((AND(LEFT(G1564,2)=LEFT('112'!$M$9,2),B1564&lt;'112'!$N$8,$L1564='112'!$I$6)),"x",""))</f>
        <v/>
      </c>
      <c r="U1564" s="39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39" t="str">
        <f>IF(OR(TH!L1564=TH!$W$7,M1564=TH!$W$7),"x","")</f>
        <v/>
      </c>
      <c r="X1564" s="39" t="str">
        <f>IF(AND(B1564&gt;='IN-NX'!$P$3,B1564&lt;='IN-NX'!$Q$3,'IN-NX'!$D$7=D1564,OR(LEFT(L1564,2)="15",AND(LEFT(M1564,2)&lt;&gt;"15",LEFT(M1564,2)&lt;&gt;"33"))),"x","")</f>
        <v/>
      </c>
      <c r="Y1564" s="39" t="str">
        <f>IF(AND(OR(LEFT(TH!L1564,2)="15",LEFT(TH!M1564,2)="15"),'152-CT'!$J$8=TH!F1564),"x","")</f>
        <v/>
      </c>
      <c r="Z1564" s="39" t="str">
        <f>IF(AND(OR(LEFT(TH!L1564,2)="15",LEFT(TH!M1564,2)="15"),TK!$E$7=TH!F1564),"x","")</f>
        <v/>
      </c>
      <c r="AA1564" s="39" t="str">
        <f>IF(AND(B1564&lt;=NKC!$N$8,B1564&gt;=NKC!$M$8),"x","")</f>
        <v/>
      </c>
      <c r="AB1564" s="821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96"/>
        <v/>
      </c>
      <c r="C1565" s="37"/>
      <c r="D1565" s="37"/>
      <c r="E1565" s="731"/>
      <c r="F1565" s="189"/>
      <c r="G1565" s="40"/>
      <c r="H1565" s="7"/>
      <c r="I1565" s="256"/>
      <c r="J1565" s="256"/>
      <c r="K1565" s="56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902" t="str">
        <f>IF(AND('341-CT'!$E$9=H1565,OR(LEFT(L1565,3)=$O$7,LEFT(M1565,3)=$O$7)),"x","")</f>
        <v/>
      </c>
      <c r="P1565" s="39" t="str">
        <f>IF(AND($B1565&gt;='111'!$N$11,$B1565&lt;='111'!$O$11,OR($L1565=$P$7,$M1565=$P$7)),"x","")</f>
        <v/>
      </c>
      <c r="Q1565" s="39" t="str">
        <f>IF(AND($L1565=$P$7,$B1565&lt;'111'!$N$11),"x","")</f>
        <v/>
      </c>
      <c r="R1565" s="39" t="str">
        <f>IF(AND($M1565=$P$7,$B1565&lt;'111'!$N$11),"x","")</f>
        <v/>
      </c>
      <c r="S1565" s="39" t="str">
        <f>IF(ISERROR(FIND('112'!$M$9,G1565,1)),"",IF((AND(FIND('112'!$M$9,G1565,1)&gt;=1,$B1565&gt;='112'!$N$8,$B1565&lt;='112'!$O$8,OR($L1565='112'!$I$6,$M1565='112'!$I$6))),"x",""))</f>
        <v/>
      </c>
      <c r="T1565" s="39" t="str">
        <f>IF(ISERROR(FIND('112'!$M$9,G1565,1)),"",IF((AND(LEFT(G1565,2)=LEFT('112'!$M$9,2),B1565&lt;'112'!$N$8,$L1565='112'!$I$6)),"x",""))</f>
        <v/>
      </c>
      <c r="U1565" s="39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39" t="str">
        <f>IF(OR(TH!L1565=TH!$W$7,M1565=TH!$W$7),"x","")</f>
        <v/>
      </c>
      <c r="X1565" s="39" t="str">
        <f>IF(AND(B1565&gt;='IN-NX'!$P$3,B1565&lt;='IN-NX'!$Q$3,'IN-NX'!$D$7=D1565,OR(LEFT(L1565,2)="15",AND(LEFT(M1565,2)&lt;&gt;"15",LEFT(M1565,2)&lt;&gt;"33"))),"x","")</f>
        <v/>
      </c>
      <c r="Y1565" s="39" t="str">
        <f>IF(AND(OR(LEFT(TH!L1565,2)="15",LEFT(TH!M1565,2)="15"),'152-CT'!$J$8=TH!F1565),"x","")</f>
        <v/>
      </c>
      <c r="Z1565" s="39" t="str">
        <f>IF(AND(OR(LEFT(TH!L1565,2)="15",LEFT(TH!M1565,2)="15"),TK!$E$7=TH!F1565),"x","")</f>
        <v/>
      </c>
      <c r="AA1565" s="39" t="str">
        <f>IF(AND(B1565&lt;=NKC!$N$8,B1565&gt;=NKC!$M$8),"x","")</f>
        <v/>
      </c>
      <c r="AB1565" s="821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96"/>
        <v/>
      </c>
      <c r="C1566" s="37"/>
      <c r="D1566" s="37"/>
      <c r="E1566" s="37"/>
      <c r="F1566" s="40"/>
      <c r="G1566" s="40"/>
      <c r="H1566" s="7"/>
      <c r="I1566" s="256"/>
      <c r="J1566" s="256"/>
      <c r="K1566" s="568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902" t="str">
        <f>IF(AND('341-CT'!$E$9=H1566,OR(LEFT(L1566,3)=$O$7,LEFT(M1566,3)=$O$7)),"x","")</f>
        <v/>
      </c>
      <c r="P1566" s="39" t="str">
        <f>IF(AND($B1566&gt;='111'!$N$11,$B1566&lt;='111'!$O$11,OR($L1566=$P$7,$M1566=$P$7)),"x","")</f>
        <v/>
      </c>
      <c r="Q1566" s="39" t="str">
        <f>IF(AND($L1566=$P$7,$B1566&lt;'111'!$N$11),"x","")</f>
        <v/>
      </c>
      <c r="R1566" s="39" t="str">
        <f>IF(AND($M1566=$P$7,$B1566&lt;'111'!$N$11),"x","")</f>
        <v/>
      </c>
      <c r="S1566" s="39" t="str">
        <f>IF(ISERROR(FIND('112'!$M$9,G1566,1)),"",IF((AND(FIND('112'!$M$9,G1566,1)&gt;=1,$B1566&gt;='112'!$N$8,$B1566&lt;='112'!$O$8,OR($L1566='112'!$I$6,$M1566='112'!$I$6))),"x",""))</f>
        <v/>
      </c>
      <c r="T1566" s="39" t="str">
        <f>IF(ISERROR(FIND('112'!$M$9,G1566,1)),"",IF((AND(LEFT(G1566,2)=LEFT('112'!$M$9,2),B1566&lt;'112'!$N$8,$L1566='112'!$I$6)),"x",""))</f>
        <v/>
      </c>
      <c r="U1566" s="39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39" t="str">
        <f>IF(OR(TH!L1566=TH!$W$7,M1566=TH!$W$7),"x","")</f>
        <v/>
      </c>
      <c r="X1566" s="39" t="str">
        <f>IF(AND(B1566&gt;='IN-NX'!$P$3,B1566&lt;='IN-NX'!$Q$3,'IN-NX'!$D$7=D1566,OR(LEFT(L1566,2)="15",AND(LEFT(M1566,2)&lt;&gt;"15",LEFT(M1566,2)&lt;&gt;"33"))),"x","")</f>
        <v/>
      </c>
      <c r="Y1566" s="39" t="str">
        <f>IF(AND(OR(LEFT(TH!L1566,2)="15",LEFT(TH!M1566,2)="15"),'152-CT'!$J$8=TH!F1566),"x","")</f>
        <v/>
      </c>
      <c r="Z1566" s="39" t="str">
        <f>IF(AND(OR(LEFT(TH!L1566,2)="15",LEFT(TH!M1566,2)="15"),TK!$E$7=TH!F1566),"x","")</f>
        <v/>
      </c>
      <c r="AA1566" s="39" t="str">
        <f>IF(AND(B1566&lt;=NKC!$N$8,B1566&gt;=NKC!$M$8),"x","")</f>
        <v/>
      </c>
      <c r="AB1566" s="821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si="96"/>
        <v/>
      </c>
      <c r="C1567" s="37"/>
      <c r="D1567" s="37"/>
      <c r="E1567" s="37"/>
      <c r="F1567" s="40"/>
      <c r="G1567" s="40"/>
      <c r="H1567" s="7"/>
      <c r="I1567" s="256"/>
      <c r="J1567" s="256"/>
      <c r="K1567" s="568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902" t="str">
        <f>IF(AND('341-CT'!$E$9=H1567,OR(LEFT(L1567,3)=$O$7,LEFT(M1567,3)=$O$7)),"x","")</f>
        <v/>
      </c>
      <c r="P1567" s="39" t="str">
        <f>IF(AND($B1567&gt;='111'!$N$11,$B1567&lt;='111'!$O$11,OR($L1567=$P$7,$M1567=$P$7)),"x","")</f>
        <v/>
      </c>
      <c r="Q1567" s="39" t="str">
        <f>IF(AND($L1567=$P$7,$B1567&lt;'111'!$N$11),"x","")</f>
        <v/>
      </c>
      <c r="R1567" s="39" t="str">
        <f>IF(AND($M1567=$P$7,$B1567&lt;'111'!$N$11),"x","")</f>
        <v/>
      </c>
      <c r="S1567" s="39" t="str">
        <f>IF(ISERROR(FIND('112'!$M$9,G1567,1)),"",IF((AND(FIND('112'!$M$9,G1567,1)&gt;=1,$B1567&gt;='112'!$N$8,$B1567&lt;='112'!$O$8,OR($L1567='112'!$I$6,$M1567='112'!$I$6))),"x",""))</f>
        <v/>
      </c>
      <c r="T1567" s="39" t="str">
        <f>IF(ISERROR(FIND('112'!$M$9,G1567,1)),"",IF((AND(LEFT(G1567,2)=LEFT('112'!$M$9,2),B1567&lt;'112'!$N$8,$L1567='112'!$I$6)),"x",""))</f>
        <v/>
      </c>
      <c r="U1567" s="39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39" t="str">
        <f>IF(OR(TH!L1567=TH!$W$7,M1567=TH!$W$7),"x","")</f>
        <v/>
      </c>
      <c r="X1567" s="39" t="str">
        <f>IF(AND(B1567&gt;='IN-NX'!$P$3,B1567&lt;='IN-NX'!$Q$3,'IN-NX'!$D$7=D1567,OR(LEFT(L1567,2)="15",AND(LEFT(M1567,2)&lt;&gt;"15",LEFT(M1567,2)&lt;&gt;"33"))),"x","")</f>
        <v/>
      </c>
      <c r="Y1567" s="39" t="str">
        <f>IF(AND(OR(LEFT(TH!L1567,2)="15",LEFT(TH!M1567,2)="15"),'152-CT'!$J$8=TH!F1567),"x","")</f>
        <v/>
      </c>
      <c r="Z1567" s="39" t="str">
        <f>IF(AND(OR(LEFT(TH!L1567,2)="15",LEFT(TH!M1567,2)="15"),TK!$E$7=TH!F1567),"x","")</f>
        <v/>
      </c>
      <c r="AA1567" s="39" t="str">
        <f>IF(AND(B1567&lt;=NKC!$N$8,B1567&gt;=NKC!$M$8),"x","")</f>
        <v/>
      </c>
      <c r="AB1567" s="821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96"/>
        <v/>
      </c>
      <c r="C1568" s="184"/>
      <c r="D1568" s="184"/>
      <c r="E1568" s="184"/>
      <c r="F1568" s="189"/>
      <c r="G1568" s="570"/>
      <c r="H1568" s="7"/>
      <c r="I1568" s="256"/>
      <c r="J1568" s="256"/>
      <c r="K1568" s="568"/>
      <c r="L1568" s="569"/>
      <c r="M1568" s="569"/>
      <c r="N1568" s="39" t="str">
        <f>IF(AND('331-CT'!$E$7=TH!H1568,OR(L1568="331",M1568="331")),"331",IF(AND(OR(L1568="131",M1568="131"),H1568='131-CT'!$E$7),"131",""))</f>
        <v/>
      </c>
      <c r="O1568" s="902" t="str">
        <f>IF(AND('341-CT'!$E$9=H1568,OR(LEFT(L1568,3)=$O$7,LEFT(M1568,3)=$O$7)),"x","")</f>
        <v/>
      </c>
      <c r="P1568" s="39" t="str">
        <f>IF(AND($B1568&gt;='111'!$N$11,$B1568&lt;='111'!$O$11,OR($L1568=$P$7,$M1568=$P$7)),"x","")</f>
        <v/>
      </c>
      <c r="Q1568" s="39" t="str">
        <f>IF(AND($L1568=$P$7,$B1568&lt;'111'!$N$11),"x","")</f>
        <v/>
      </c>
      <c r="R1568" s="39" t="str">
        <f>IF(AND($M1568=$P$7,$B1568&lt;'111'!$N$11),"x","")</f>
        <v/>
      </c>
      <c r="S1568" s="39" t="str">
        <f>IF(ISERROR(FIND('112'!$M$9,G1568,1)),"",IF((AND(FIND('112'!$M$9,G1568,1)&gt;=1,$B1568&gt;='112'!$N$8,$B1568&lt;='112'!$O$8,OR($L1568='112'!$I$6,$M1568='112'!$I$6))),"x",""))</f>
        <v/>
      </c>
      <c r="T1568" s="39" t="str">
        <f>IF(ISERROR(FIND('112'!$M$9,G1568,1)),"",IF((AND(LEFT(G1568,2)=LEFT('112'!$M$9,2),B1568&lt;'112'!$N$8,$L1568='112'!$I$6)),"x",""))</f>
        <v/>
      </c>
      <c r="U1568" s="39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39" t="str">
        <f>IF(OR(TH!L1568=TH!$W$7,M1568=TH!$W$7),"x","")</f>
        <v/>
      </c>
      <c r="X1568" s="39" t="str">
        <f>IF(AND(B1568&gt;='IN-NX'!$P$3,B1568&lt;='IN-NX'!$Q$3,'IN-NX'!$D$7=D1568,OR(LEFT(L1568,2)="15",AND(LEFT(M1568,2)&lt;&gt;"15",LEFT(M1568,2)&lt;&gt;"33"))),"x","")</f>
        <v/>
      </c>
      <c r="Y1568" s="39" t="str">
        <f>IF(AND(OR(LEFT(TH!L1568,2)="15",LEFT(TH!M1568,2)="15"),'152-CT'!$J$8=TH!F1568),"x","")</f>
        <v/>
      </c>
      <c r="Z1568" s="39" t="str">
        <f>IF(AND(OR(LEFT(TH!L1568,2)="15",LEFT(TH!M1568,2)="15"),TK!$E$7=TH!F1568),"x","")</f>
        <v/>
      </c>
      <c r="AA1568" s="39" t="str">
        <f>IF(AND(B1568&lt;=NKC!$N$8,B1568&gt;=NKC!$M$8),"x","")</f>
        <v/>
      </c>
      <c r="AB1568" s="821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96"/>
        <v/>
      </c>
      <c r="C1569" s="191"/>
      <c r="D1569" s="191"/>
      <c r="E1569" s="191"/>
      <c r="F1569" s="192"/>
      <c r="G1569" s="468"/>
      <c r="H1569" s="210"/>
      <c r="I1569" s="256"/>
      <c r="J1569" s="256"/>
      <c r="K1569" s="568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902" t="str">
        <f>IF(AND('341-CT'!$E$9=H1569,OR(LEFT(L1569,3)=$O$7,LEFT(M1569,3)=$O$7)),"x","")</f>
        <v/>
      </c>
      <c r="P1569" s="39" t="str">
        <f>IF(AND($B1569&gt;='111'!$N$11,$B1569&lt;='111'!$O$11,OR($L1569=$P$7,$M1569=$P$7)),"x","")</f>
        <v/>
      </c>
      <c r="Q1569" s="39" t="str">
        <f>IF(AND($L1569=$P$7,$B1569&lt;'111'!$N$11),"x","")</f>
        <v/>
      </c>
      <c r="R1569" s="39" t="str">
        <f>IF(AND($M1569=$P$7,$B1569&lt;'111'!$N$11),"x","")</f>
        <v/>
      </c>
      <c r="S1569" s="39" t="str">
        <f>IF(ISERROR(FIND('112'!$M$9,G1569,1)),"",IF((AND(FIND('112'!$M$9,G1569,1)&gt;=1,$B1569&gt;='112'!$N$8,$B1569&lt;='112'!$O$8,OR($L1569='112'!$I$6,$M1569='112'!$I$6))),"x",""))</f>
        <v/>
      </c>
      <c r="T1569" s="39" t="str">
        <f>IF(ISERROR(FIND('112'!$M$9,G1569,1)),"",IF((AND(LEFT(G1569,2)=LEFT('112'!$M$9,2),B1569&lt;'112'!$N$8,$L1569='112'!$I$6)),"x",""))</f>
        <v/>
      </c>
      <c r="U1569" s="39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39" t="str">
        <f>IF(OR(TH!L1569=TH!$W$7,M1569=TH!$W$7),"x","")</f>
        <v/>
      </c>
      <c r="X1569" s="39" t="str">
        <f>IF(AND(B1569&gt;='IN-NX'!$P$3,B1569&lt;='IN-NX'!$Q$3,'IN-NX'!$D$7=D1569,OR(LEFT(L1569,2)="15",AND(LEFT(M1569,2)&lt;&gt;"15",LEFT(M1569,2)&lt;&gt;"33"))),"x","")</f>
        <v/>
      </c>
      <c r="Y1569" s="39" t="str">
        <f>IF(AND(OR(LEFT(TH!L1569,2)="15",LEFT(TH!M1569,2)="15"),'152-CT'!$J$8=TH!F1569),"x","")</f>
        <v/>
      </c>
      <c r="Z1569" s="39" t="str">
        <f>IF(AND(OR(LEFT(TH!L1569,2)="15",LEFT(TH!M1569,2)="15"),TK!$E$7=TH!F1569),"x","")</f>
        <v/>
      </c>
      <c r="AA1569" s="39" t="str">
        <f>IF(AND(B1569&lt;=NKC!$N$8,B1569&gt;=NKC!$M$8),"x","")</f>
        <v/>
      </c>
      <c r="AB1569" s="821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96"/>
        <v/>
      </c>
      <c r="C1570" s="191"/>
      <c r="D1570" s="191"/>
      <c r="E1570" s="191"/>
      <c r="F1570" s="192"/>
      <c r="G1570" s="468"/>
      <c r="H1570" s="210"/>
      <c r="I1570" s="256"/>
      <c r="J1570" s="256"/>
      <c r="K1570" s="568"/>
      <c r="L1570" s="194"/>
      <c r="M1570" s="194"/>
      <c r="N1570" s="39" t="str">
        <f>IF(AND('331-CT'!$E$7=TH!H1570,OR(L1570="331",M1570="331")),"331",IF(AND(OR(L1570="131",M1570="131"),H1570='131-CT'!$E$7),"131",""))</f>
        <v/>
      </c>
      <c r="O1570" s="902" t="str">
        <f>IF(AND('341-CT'!$E$9=H1570,OR(LEFT(L1570,3)=$O$7,LEFT(M1570,3)=$O$7)),"x","")</f>
        <v/>
      </c>
      <c r="P1570" s="39" t="str">
        <f>IF(AND($B1570&gt;='111'!$N$11,$B1570&lt;='111'!$O$11,OR($L1570=$P$7,$M1570=$P$7)),"x","")</f>
        <v/>
      </c>
      <c r="Q1570" s="39" t="str">
        <f>IF(AND($L1570=$P$7,$B1570&lt;'111'!$N$11),"x","")</f>
        <v/>
      </c>
      <c r="R1570" s="39" t="str">
        <f>IF(AND($M1570=$P$7,$B1570&lt;'111'!$N$11),"x","")</f>
        <v/>
      </c>
      <c r="S1570" s="39" t="str">
        <f>IF(ISERROR(FIND('112'!$M$9,G1570,1)),"",IF((AND(FIND('112'!$M$9,G1570,1)&gt;=1,$B1570&gt;='112'!$N$8,$B1570&lt;='112'!$O$8,OR($L1570='112'!$I$6,$M1570='112'!$I$6))),"x",""))</f>
        <v/>
      </c>
      <c r="T1570" s="39" t="str">
        <f>IF(ISERROR(FIND('112'!$M$9,G1570,1)),"",IF((AND(LEFT(G1570,2)=LEFT('112'!$M$9,2),B1570&lt;'112'!$N$8,$L1570='112'!$I$6)),"x",""))</f>
        <v/>
      </c>
      <c r="U1570" s="39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39" t="str">
        <f>IF(OR(TH!L1570=TH!$W$7,M1570=TH!$W$7),"x","")</f>
        <v/>
      </c>
      <c r="X1570" s="39" t="str">
        <f>IF(AND(B1570&gt;='IN-NX'!$P$3,B1570&lt;='IN-NX'!$Q$3,'IN-NX'!$D$7=D1570,OR(LEFT(L1570,2)="15",AND(LEFT(M1570,2)&lt;&gt;"15",LEFT(M1570,2)&lt;&gt;"33"))),"x","")</f>
        <v/>
      </c>
      <c r="Y1570" s="39" t="str">
        <f>IF(AND(OR(LEFT(TH!L1570,2)="15",LEFT(TH!M1570,2)="15"),'152-CT'!$J$8=TH!F1570),"x","")</f>
        <v/>
      </c>
      <c r="Z1570" s="39" t="str">
        <f>IF(AND(OR(LEFT(TH!L1570,2)="15",LEFT(TH!M1570,2)="15"),TK!$E$7=TH!F1570),"x","")</f>
        <v/>
      </c>
      <c r="AA1570" s="39" t="str">
        <f>IF(AND(B1570&lt;=NKC!$N$8,B1570&gt;=NKC!$M$8),"x","")</f>
        <v/>
      </c>
      <c r="AB1570" s="821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96"/>
        <v/>
      </c>
      <c r="C1571" s="191"/>
      <c r="D1571" s="191"/>
      <c r="E1571" s="191"/>
      <c r="F1571" s="192"/>
      <c r="G1571" s="468"/>
      <c r="H1571" s="210"/>
      <c r="I1571" s="256"/>
      <c r="J1571" s="256"/>
      <c r="K1571" s="568"/>
      <c r="L1571" s="194"/>
      <c r="M1571" s="194"/>
      <c r="N1571" s="39" t="str">
        <f>IF(AND('331-CT'!$E$7=TH!H1571,OR(L1571="331",M1571="331")),"331",IF(AND(OR(L1571="131",M1571="131"),H1571='131-CT'!$E$7),"131",""))</f>
        <v/>
      </c>
      <c r="O1571" s="902" t="str">
        <f>IF(AND('341-CT'!$E$9=H1571,OR(LEFT(L1571,3)=$O$7,LEFT(M1571,3)=$O$7)),"x","")</f>
        <v/>
      </c>
      <c r="P1571" s="39" t="str">
        <f>IF(AND($B1571&gt;='111'!$N$11,$B1571&lt;='111'!$O$11,OR($L1571=$P$7,$M1571=$P$7)),"x","")</f>
        <v/>
      </c>
      <c r="Q1571" s="39" t="str">
        <f>IF(AND($L1571=$P$7,$B1571&lt;'111'!$N$11),"x","")</f>
        <v/>
      </c>
      <c r="R1571" s="39" t="str">
        <f>IF(AND($M1571=$P$7,$B1571&lt;'111'!$N$11),"x","")</f>
        <v/>
      </c>
      <c r="S1571" s="39" t="str">
        <f>IF(ISERROR(FIND('112'!$M$9,G1571,1)),"",IF((AND(FIND('112'!$M$9,G1571,1)&gt;=1,$B1571&gt;='112'!$N$8,$B1571&lt;='112'!$O$8,OR($L1571='112'!$I$6,$M1571='112'!$I$6))),"x",""))</f>
        <v/>
      </c>
      <c r="T1571" s="39" t="str">
        <f>IF(ISERROR(FIND('112'!$M$9,G1571,1)),"",IF((AND(LEFT(G1571,2)=LEFT('112'!$M$9,2),B1571&lt;'112'!$N$8,$L1571='112'!$I$6)),"x",""))</f>
        <v/>
      </c>
      <c r="U1571" s="39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39" t="str">
        <f>IF(OR(TH!L1571=TH!$W$7,M1571=TH!$W$7),"x","")</f>
        <v/>
      </c>
      <c r="X1571" s="39" t="str">
        <f>IF(AND(B1571&gt;='IN-NX'!$P$3,B1571&lt;='IN-NX'!$Q$3,'IN-NX'!$D$7=D1571,OR(LEFT(L1571,2)="15",AND(LEFT(M1571,2)&lt;&gt;"15",LEFT(M1571,2)&lt;&gt;"33"))),"x","")</f>
        <v/>
      </c>
      <c r="Y1571" s="39" t="str">
        <f>IF(AND(OR(LEFT(TH!L1571,2)="15",LEFT(TH!M1571,2)="15"),'152-CT'!$J$8=TH!F1571),"x","")</f>
        <v/>
      </c>
      <c r="Z1571" s="39" t="str">
        <f>IF(AND(OR(LEFT(TH!L1571,2)="15",LEFT(TH!M1571,2)="15"),TK!$E$7=TH!F1571),"x","")</f>
        <v/>
      </c>
      <c r="AA1571" s="39" t="str">
        <f>IF(AND(B1571&lt;=NKC!$N$8,B1571&gt;=NKC!$M$8),"x","")</f>
        <v/>
      </c>
      <c r="AB1571" s="821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96"/>
        <v/>
      </c>
      <c r="C1572" s="191"/>
      <c r="D1572" s="191"/>
      <c r="E1572" s="191"/>
      <c r="F1572" s="192"/>
      <c r="G1572" s="468"/>
      <c r="H1572" s="210"/>
      <c r="I1572" s="256"/>
      <c r="J1572" s="256"/>
      <c r="K1572" s="568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902" t="str">
        <f>IF(AND('341-CT'!$E$9=H1572,OR(LEFT(L1572,3)=$O$7,LEFT(M1572,3)=$O$7)),"x","")</f>
        <v/>
      </c>
      <c r="P1572" s="39" t="str">
        <f>IF(AND($B1572&gt;='111'!$N$11,$B1572&lt;='111'!$O$11,OR($L1572=$P$7,$M1572=$P$7)),"x","")</f>
        <v/>
      </c>
      <c r="Q1572" s="39" t="str">
        <f>IF(AND($L1572=$P$7,$B1572&lt;'111'!$N$11),"x","")</f>
        <v/>
      </c>
      <c r="R1572" s="39" t="str">
        <f>IF(AND($M1572=$P$7,$B1572&lt;'111'!$N$11),"x","")</f>
        <v/>
      </c>
      <c r="S1572" s="39" t="str">
        <f>IF(ISERROR(FIND('112'!$M$9,G1572,1)),"",IF((AND(FIND('112'!$M$9,G1572,1)&gt;=1,$B1572&gt;='112'!$N$8,$B1572&lt;='112'!$O$8,OR($L1572='112'!$I$6,$M1572='112'!$I$6))),"x",""))</f>
        <v/>
      </c>
      <c r="T1572" s="39" t="str">
        <f>IF(ISERROR(FIND('112'!$M$9,G1572,1)),"",IF((AND(LEFT(G1572,2)=LEFT('112'!$M$9,2),B1572&lt;'112'!$N$8,$L1572='112'!$I$6)),"x",""))</f>
        <v/>
      </c>
      <c r="U1572" s="39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39" t="str">
        <f>IF(OR(TH!L1572=TH!$W$7,M1572=TH!$W$7),"x","")</f>
        <v/>
      </c>
      <c r="X1572" s="39" t="str">
        <f>IF(AND(B1572&gt;='IN-NX'!$P$3,B1572&lt;='IN-NX'!$Q$3,'IN-NX'!$D$7=D1572,OR(LEFT(L1572,2)="15",AND(LEFT(M1572,2)&lt;&gt;"15",LEFT(M1572,2)&lt;&gt;"33"))),"x","")</f>
        <v/>
      </c>
      <c r="Y1572" s="39" t="str">
        <f>IF(AND(OR(LEFT(TH!L1572,2)="15",LEFT(TH!M1572,2)="15"),'152-CT'!$J$8=TH!F1572),"x","")</f>
        <v/>
      </c>
      <c r="Z1572" s="39" t="str">
        <f>IF(AND(OR(LEFT(TH!L1572,2)="15",LEFT(TH!M1572,2)="15"),TK!$E$7=TH!F1572),"x","")</f>
        <v/>
      </c>
      <c r="AA1572" s="39" t="str">
        <f>IF(AND(B1572&lt;=NKC!$N$8,B1572&gt;=NKC!$M$8),"x","")</f>
        <v/>
      </c>
      <c r="AB1572" s="821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96"/>
        <v/>
      </c>
      <c r="C1573" s="191"/>
      <c r="D1573" s="191"/>
      <c r="E1573" s="191"/>
      <c r="F1573" s="192"/>
      <c r="G1573" s="468"/>
      <c r="H1573" s="210"/>
      <c r="I1573" s="256"/>
      <c r="J1573" s="256"/>
      <c r="K1573" s="568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902" t="str">
        <f>IF(AND('341-CT'!$E$9=H1573,OR(LEFT(L1573,3)=$O$7,LEFT(M1573,3)=$O$7)),"x","")</f>
        <v/>
      </c>
      <c r="P1573" s="39" t="str">
        <f>IF(AND($B1573&gt;='111'!$N$11,$B1573&lt;='111'!$O$11,OR($L1573=$P$7,$M1573=$P$7)),"x","")</f>
        <v/>
      </c>
      <c r="Q1573" s="39" t="str">
        <f>IF(AND($L1573=$P$7,$B1573&lt;'111'!$N$11),"x","")</f>
        <v/>
      </c>
      <c r="R1573" s="39" t="str">
        <f>IF(AND($M1573=$P$7,$B1573&lt;'111'!$N$11),"x","")</f>
        <v/>
      </c>
      <c r="S1573" s="39" t="str">
        <f>IF(ISERROR(FIND('112'!$M$9,G1573,1)),"",IF((AND(FIND('112'!$M$9,G1573,1)&gt;=1,$B1573&gt;='112'!$N$8,$B1573&lt;='112'!$O$8,OR($L1573='112'!$I$6,$M1573='112'!$I$6))),"x",""))</f>
        <v/>
      </c>
      <c r="T1573" s="39" t="str">
        <f>IF(ISERROR(FIND('112'!$M$9,G1573,1)),"",IF((AND(LEFT(G1573,2)=LEFT('112'!$M$9,2),B1573&lt;'112'!$N$8,$L1573='112'!$I$6)),"x",""))</f>
        <v/>
      </c>
      <c r="U1573" s="39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39" t="str">
        <f>IF(OR(TH!L1573=TH!$W$7,M1573=TH!$W$7),"x","")</f>
        <v/>
      </c>
      <c r="X1573" s="39" t="str">
        <f>IF(AND(B1573&gt;='IN-NX'!$P$3,B1573&lt;='IN-NX'!$Q$3,'IN-NX'!$D$7=D1573,OR(LEFT(L1573,2)="15",AND(LEFT(M1573,2)&lt;&gt;"15",LEFT(M1573,2)&lt;&gt;"33"))),"x","")</f>
        <v/>
      </c>
      <c r="Y1573" s="39" t="str">
        <f>IF(AND(OR(LEFT(TH!L1573,2)="15",LEFT(TH!M1573,2)="15"),'152-CT'!$J$8=TH!F1573),"x","")</f>
        <v/>
      </c>
      <c r="Z1573" s="39" t="str">
        <f>IF(AND(OR(LEFT(TH!L1573,2)="15",LEFT(TH!M1573,2)="15"),TK!$E$7=TH!F1573),"x","")</f>
        <v/>
      </c>
      <c r="AA1573" s="39" t="str">
        <f>IF(AND(B1573&lt;=NKC!$N$8,B1573&gt;=NKC!$M$8),"x","")</f>
        <v/>
      </c>
      <c r="AB1573" s="821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96"/>
        <v/>
      </c>
      <c r="C1574" s="191"/>
      <c r="D1574" s="191"/>
      <c r="E1574" s="191"/>
      <c r="F1574" s="192"/>
      <c r="G1574" s="468"/>
      <c r="H1574" s="193"/>
      <c r="I1574" s="256"/>
      <c r="J1574" s="256"/>
      <c r="K1574" s="568"/>
      <c r="L1574" s="194"/>
      <c r="M1574" s="194"/>
      <c r="N1574" s="39" t="str">
        <f>IF(AND('331-CT'!$E$7=TH!H1574,OR(L1574="331",M1574="331")),"331",IF(AND(OR(L1574="131",M1574="131"),H1574='131-CT'!$E$7),"131",""))</f>
        <v/>
      </c>
      <c r="O1574" s="902" t="str">
        <f>IF(AND('341-CT'!$E$9=H1574,OR(LEFT(L1574,3)=$O$7,LEFT(M1574,3)=$O$7)),"x","")</f>
        <v/>
      </c>
      <c r="P1574" s="39" t="str">
        <f>IF(AND($B1574&gt;='111'!$N$11,$B1574&lt;='111'!$O$11,OR($L1574=$P$7,$M1574=$P$7)),"x","")</f>
        <v/>
      </c>
      <c r="Q1574" s="39" t="str">
        <f>IF(AND($L1574=$P$7,$B1574&lt;'111'!$N$11),"x","")</f>
        <v/>
      </c>
      <c r="R1574" s="39" t="str">
        <f>IF(AND($M1574=$P$7,$B1574&lt;'111'!$N$11),"x","")</f>
        <v/>
      </c>
      <c r="S1574" s="39" t="str">
        <f>IF(ISERROR(FIND('112'!$M$9,G1574,1)),"",IF((AND(FIND('112'!$M$9,G1574,1)&gt;=1,$B1574&gt;='112'!$N$8,$B1574&lt;='112'!$O$8,OR($L1574='112'!$I$6,$M1574='112'!$I$6))),"x",""))</f>
        <v/>
      </c>
      <c r="T1574" s="39" t="str">
        <f>IF(ISERROR(FIND('112'!$M$9,G1574,1)),"",IF((AND(LEFT(G1574,2)=LEFT('112'!$M$9,2),B1574&lt;'112'!$N$8,$L1574='112'!$I$6)),"x",""))</f>
        <v/>
      </c>
      <c r="U1574" s="39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39" t="str">
        <f>IF(OR(TH!L1574=TH!$W$7,M1574=TH!$W$7),"x","")</f>
        <v/>
      </c>
      <c r="X1574" s="39" t="str">
        <f>IF(AND(B1574&gt;='IN-NX'!$P$3,B1574&lt;='IN-NX'!$Q$3,'IN-NX'!$D$7=D1574,OR(LEFT(L1574,2)="15",AND(LEFT(M1574,2)&lt;&gt;"15",LEFT(M1574,2)&lt;&gt;"33"))),"x","")</f>
        <v/>
      </c>
      <c r="Y1574" s="39" t="str">
        <f>IF(AND(OR(LEFT(TH!L1574,2)="15",LEFT(TH!M1574,2)="15"),'152-CT'!$J$8=TH!F1574),"x","")</f>
        <v/>
      </c>
      <c r="Z1574" s="39" t="str">
        <f>IF(AND(OR(LEFT(TH!L1574,2)="15",LEFT(TH!M1574,2)="15"),TK!$E$7=TH!F1574),"x","")</f>
        <v/>
      </c>
      <c r="AA1574" s="39" t="str">
        <f>IF(AND(B1574&lt;=NKC!$N$8,B1574&gt;=NKC!$M$8),"x","")</f>
        <v/>
      </c>
      <c r="AB1574" s="821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96"/>
        <v/>
      </c>
      <c r="C1575" s="191"/>
      <c r="D1575" s="191"/>
      <c r="E1575" s="191"/>
      <c r="F1575" s="192"/>
      <c r="G1575" s="468"/>
      <c r="H1575" s="193"/>
      <c r="I1575" s="256"/>
      <c r="J1575" s="256"/>
      <c r="K1575" s="568"/>
      <c r="L1575" s="194"/>
      <c r="M1575" s="194"/>
      <c r="N1575" s="39" t="str">
        <f>IF(AND('331-CT'!$E$7=TH!H1575,OR(L1575="331",M1575="331")),"331",IF(AND(OR(L1575="131",M1575="131"),H1575='131-CT'!$E$7),"131",""))</f>
        <v/>
      </c>
      <c r="O1575" s="902" t="str">
        <f>IF(AND('341-CT'!$E$9=H1575,OR(LEFT(L1575,3)=$O$7,LEFT(M1575,3)=$O$7)),"x","")</f>
        <v/>
      </c>
      <c r="P1575" s="39" t="str">
        <f>IF(AND($B1575&gt;='111'!$N$11,$B1575&lt;='111'!$O$11,OR($L1575=$P$7,$M1575=$P$7)),"x","")</f>
        <v/>
      </c>
      <c r="Q1575" s="39" t="str">
        <f>IF(AND($L1575=$P$7,$B1575&lt;'111'!$N$11),"x","")</f>
        <v/>
      </c>
      <c r="R1575" s="39" t="str">
        <f>IF(AND($M1575=$P$7,$B1575&lt;'111'!$N$11),"x","")</f>
        <v/>
      </c>
      <c r="S1575" s="39" t="str">
        <f>IF(ISERROR(FIND('112'!$M$9,G1575,1)),"",IF((AND(FIND('112'!$M$9,G1575,1)&gt;=1,$B1575&gt;='112'!$N$8,$B1575&lt;='112'!$O$8,OR($L1575='112'!$I$6,$M1575='112'!$I$6))),"x",""))</f>
        <v/>
      </c>
      <c r="T1575" s="39" t="str">
        <f>IF(ISERROR(FIND('112'!$M$9,G1575,1)),"",IF((AND(LEFT(G1575,2)=LEFT('112'!$M$9,2),B1575&lt;'112'!$N$8,$L1575='112'!$I$6)),"x",""))</f>
        <v/>
      </c>
      <c r="U1575" s="39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39" t="str">
        <f>IF(OR(TH!L1575=TH!$W$7,M1575=TH!$W$7),"x","")</f>
        <v/>
      </c>
      <c r="X1575" s="39" t="str">
        <f>IF(AND(B1575&gt;='IN-NX'!$P$3,B1575&lt;='IN-NX'!$Q$3,'IN-NX'!$D$7=D1575,OR(LEFT(L1575,2)="15",AND(LEFT(M1575,2)&lt;&gt;"15",LEFT(M1575,2)&lt;&gt;"33"))),"x","")</f>
        <v/>
      </c>
      <c r="Y1575" s="39" t="str">
        <f>IF(AND(OR(LEFT(TH!L1575,2)="15",LEFT(TH!M1575,2)="15"),'152-CT'!$J$8=TH!F1575),"x","")</f>
        <v/>
      </c>
      <c r="Z1575" s="39" t="str">
        <f>IF(AND(OR(LEFT(TH!L1575,2)="15",LEFT(TH!M1575,2)="15"),TK!$E$7=TH!F1575),"x","")</f>
        <v/>
      </c>
      <c r="AA1575" s="39" t="str">
        <f>IF(AND(B1575&lt;=NKC!$N$8,B1575&gt;=NKC!$M$8),"x","")</f>
        <v/>
      </c>
      <c r="AB1575" s="821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96"/>
        <v/>
      </c>
      <c r="C1576" s="191"/>
      <c r="D1576" s="191"/>
      <c r="E1576" s="191"/>
      <c r="F1576" s="192"/>
      <c r="G1576" s="468"/>
      <c r="H1576" s="193"/>
      <c r="I1576" s="256"/>
      <c r="J1576" s="256"/>
      <c r="K1576" s="568"/>
      <c r="L1576" s="194"/>
      <c r="M1576" s="194"/>
      <c r="N1576" s="39" t="str">
        <f>IF(AND('331-CT'!$E$7=TH!H1576,OR(L1576="331",M1576="331")),"331",IF(AND(OR(L1576="131",M1576="131"),H1576='131-CT'!$E$7),"131",""))</f>
        <v/>
      </c>
      <c r="O1576" s="902" t="str">
        <f>IF(AND('341-CT'!$E$9=H1576,OR(LEFT(L1576,3)=$O$7,LEFT(M1576,3)=$O$7)),"x","")</f>
        <v/>
      </c>
      <c r="P1576" s="39" t="str">
        <f>IF(AND($B1576&gt;='111'!$N$11,$B1576&lt;='111'!$O$11,OR($L1576=$P$7,$M1576=$P$7)),"x","")</f>
        <v/>
      </c>
      <c r="Q1576" s="39" t="str">
        <f>IF(AND($L1576=$P$7,$B1576&lt;'111'!$N$11),"x","")</f>
        <v/>
      </c>
      <c r="R1576" s="39" t="str">
        <f>IF(AND($M1576=$P$7,$B1576&lt;'111'!$N$11),"x","")</f>
        <v/>
      </c>
      <c r="S1576" s="39" t="str">
        <f>IF(ISERROR(FIND('112'!$M$9,G1576,1)),"",IF((AND(FIND('112'!$M$9,G1576,1)&gt;=1,$B1576&gt;='112'!$N$8,$B1576&lt;='112'!$O$8,OR($L1576='112'!$I$6,$M1576='112'!$I$6))),"x",""))</f>
        <v/>
      </c>
      <c r="T1576" s="39" t="str">
        <f>IF(ISERROR(FIND('112'!$M$9,G1576,1)),"",IF((AND(LEFT(G1576,2)=LEFT('112'!$M$9,2),B1576&lt;'112'!$N$8,$L1576='112'!$I$6)),"x",""))</f>
        <v/>
      </c>
      <c r="U1576" s="39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39" t="str">
        <f>IF(OR(TH!L1576=TH!$W$7,M1576=TH!$W$7),"x","")</f>
        <v/>
      </c>
      <c r="X1576" s="39" t="str">
        <f>IF(AND(B1576&gt;='IN-NX'!$P$3,B1576&lt;='IN-NX'!$Q$3,'IN-NX'!$D$7=D1576,OR(LEFT(L1576,2)="15",AND(LEFT(M1576,2)&lt;&gt;"15",LEFT(M1576,2)&lt;&gt;"33"))),"x","")</f>
        <v/>
      </c>
      <c r="Y1576" s="39" t="str">
        <f>IF(AND(OR(LEFT(TH!L1576,2)="15",LEFT(TH!M1576,2)="15"),'152-CT'!$J$8=TH!F1576),"x","")</f>
        <v/>
      </c>
      <c r="Z1576" s="39" t="str">
        <f>IF(AND(OR(LEFT(TH!L1576,2)="15",LEFT(TH!M1576,2)="15"),TK!$E$7=TH!F1576),"x","")</f>
        <v/>
      </c>
      <c r="AA1576" s="39" t="str">
        <f>IF(AND(B1576&lt;=NKC!$N$8,B1576&gt;=NKC!$M$8),"x","")</f>
        <v/>
      </c>
      <c r="AB1576" s="821"/>
    </row>
    <row r="1577" spans="1:28" s="211" customFormat="1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96"/>
        <v/>
      </c>
      <c r="C1577" s="191"/>
      <c r="D1577" s="191"/>
      <c r="E1577" s="191"/>
      <c r="F1577" s="192"/>
      <c r="G1577" s="468"/>
      <c r="H1577" s="193"/>
      <c r="I1577" s="256"/>
      <c r="J1577" s="256"/>
      <c r="K1577" s="568"/>
      <c r="L1577" s="194"/>
      <c r="M1577" s="194"/>
      <c r="N1577" s="39" t="str">
        <f>IF(AND('331-CT'!$E$7=TH!H1577,OR(L1577="331",M1577="331")),"331",IF(AND(OR(L1577="131",M1577="131"),H1577='131-CT'!$E$7),"131",""))</f>
        <v/>
      </c>
      <c r="O1577" s="902" t="str">
        <f>IF(AND('341-CT'!$E$9=H1577,OR(LEFT(L1577,3)=$O$7,LEFT(M1577,3)=$O$7)),"x","")</f>
        <v/>
      </c>
      <c r="P1577" s="39" t="str">
        <f>IF(AND($B1577&gt;='111'!$N$11,$B1577&lt;='111'!$O$11,OR($L1577=$P$7,$M1577=$P$7)),"x","")</f>
        <v/>
      </c>
      <c r="Q1577" s="39" t="str">
        <f>IF(AND($L1577=$P$7,$B1577&lt;'111'!$N$11),"x","")</f>
        <v/>
      </c>
      <c r="R1577" s="39" t="str">
        <f>IF(AND($M1577=$P$7,$B1577&lt;'111'!$N$11),"x","")</f>
        <v/>
      </c>
      <c r="S1577" s="39" t="str">
        <f>IF(ISERROR(FIND('112'!$M$9,G1577,1)),"",IF((AND(FIND('112'!$M$9,G1577,1)&gt;=1,$B1577&gt;='112'!$N$8,$B1577&lt;='112'!$O$8,OR($L1577='112'!$I$6,$M1577='112'!$I$6))),"x",""))</f>
        <v/>
      </c>
      <c r="T1577" s="39" t="str">
        <f>IF(ISERROR(FIND('112'!$M$9,G1577,1)),"",IF((AND(LEFT(G1577,2)=LEFT('112'!$M$9,2),B1577&lt;'112'!$N$8,$L1577='112'!$I$6)),"x",""))</f>
        <v/>
      </c>
      <c r="U1577" s="39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39" t="str">
        <f>IF(OR(TH!L1577=TH!$W$7,M1577=TH!$W$7),"x","")</f>
        <v/>
      </c>
      <c r="X1577" s="39" t="str">
        <f>IF(AND(B1577&gt;='IN-NX'!$P$3,B1577&lt;='IN-NX'!$Q$3,'IN-NX'!$D$7=D1577,OR(LEFT(L1577,2)="15",AND(LEFT(M1577,2)&lt;&gt;"15",LEFT(M1577,2)&lt;&gt;"33"))),"x","")</f>
        <v/>
      </c>
      <c r="Y1577" s="39" t="str">
        <f>IF(AND(OR(LEFT(TH!L1577,2)="15",LEFT(TH!M1577,2)="15"),'152-CT'!$J$8=TH!F1577),"x","")</f>
        <v/>
      </c>
      <c r="Z1577" s="39" t="str">
        <f>IF(AND(OR(LEFT(TH!L1577,2)="15",LEFT(TH!M1577,2)="15"),TK!$E$7=TH!F1577),"x","")</f>
        <v/>
      </c>
      <c r="AA1577" s="39" t="str">
        <f>IF(AND(B1577&lt;=NKC!$N$8,B1577&gt;=NKC!$M$8),"x","")</f>
        <v/>
      </c>
      <c r="AB1577" s="821"/>
    </row>
    <row r="1578" spans="1:28" s="211" customFormat="1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96"/>
        <v/>
      </c>
      <c r="C1578" s="191"/>
      <c r="D1578" s="191"/>
      <c r="E1578" s="191"/>
      <c r="F1578" s="192"/>
      <c r="G1578" s="468"/>
      <c r="H1578" s="193"/>
      <c r="I1578" s="256"/>
      <c r="J1578" s="256"/>
      <c r="K1578" s="568"/>
      <c r="L1578" s="194"/>
      <c r="M1578" s="194"/>
      <c r="N1578" s="39" t="str">
        <f>IF(AND('331-CT'!$E$7=TH!H1578,OR(L1578="331",M1578="331")),"331",IF(AND(OR(L1578="131",M1578="131"),H1578='131-CT'!$E$7),"131",""))</f>
        <v/>
      </c>
      <c r="O1578" s="902" t="str">
        <f>IF(AND('341-CT'!$E$9=H1578,OR(LEFT(L1578,3)=$O$7,LEFT(M1578,3)=$O$7)),"x","")</f>
        <v/>
      </c>
      <c r="P1578" s="39" t="str">
        <f>IF(AND($B1578&gt;='111'!$N$11,$B1578&lt;='111'!$O$11,OR($L1578=$P$7,$M1578=$P$7)),"x","")</f>
        <v/>
      </c>
      <c r="Q1578" s="39" t="str">
        <f>IF(AND($L1578=$P$7,$B1578&lt;'111'!$N$11),"x","")</f>
        <v/>
      </c>
      <c r="R1578" s="39" t="str">
        <f>IF(AND($M1578=$P$7,$B1578&lt;'111'!$N$11),"x","")</f>
        <v/>
      </c>
      <c r="S1578" s="39" t="str">
        <f>IF(ISERROR(FIND('112'!$M$9,G1578,1)),"",IF((AND(FIND('112'!$M$9,G1578,1)&gt;=1,$B1578&gt;='112'!$N$8,$B1578&lt;='112'!$O$8,OR($L1578='112'!$I$6,$M1578='112'!$I$6))),"x",""))</f>
        <v/>
      </c>
      <c r="T1578" s="39" t="str">
        <f>IF(ISERROR(FIND('112'!$M$9,G1578,1)),"",IF((AND(LEFT(G1578,2)=LEFT('112'!$M$9,2),B1578&lt;'112'!$N$8,$L1578='112'!$I$6)),"x",""))</f>
        <v/>
      </c>
      <c r="U1578" s="39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39" t="str">
        <f>IF(OR(TH!L1578=TH!$W$7,M1578=TH!$W$7),"x","")</f>
        <v/>
      </c>
      <c r="X1578" s="39" t="str">
        <f>IF(AND(B1578&gt;='IN-NX'!$P$3,B1578&lt;='IN-NX'!$Q$3,'IN-NX'!$D$7=D1578,OR(LEFT(L1578,2)="15",AND(LEFT(M1578,2)&lt;&gt;"15",LEFT(M1578,2)&lt;&gt;"33"))),"x","")</f>
        <v/>
      </c>
      <c r="Y1578" s="39" t="str">
        <f>IF(AND(OR(LEFT(TH!L1578,2)="15",LEFT(TH!M1578,2)="15"),'152-CT'!$J$8=TH!F1578),"x","")</f>
        <v/>
      </c>
      <c r="Z1578" s="39" t="str">
        <f>IF(AND(OR(LEFT(TH!L1578,2)="15",LEFT(TH!M1578,2)="15"),TK!$E$7=TH!F1578),"x","")</f>
        <v/>
      </c>
      <c r="AA1578" s="39" t="str">
        <f>IF(AND(B1578&lt;=NKC!$N$8,B1578&gt;=NKC!$M$8),"x","")</f>
        <v/>
      </c>
      <c r="AB1578" s="821"/>
    </row>
    <row r="1579" spans="1:28" s="211" customFormat="1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96"/>
        <v/>
      </c>
      <c r="C1579" s="191"/>
      <c r="D1579" s="191"/>
      <c r="E1579" s="191"/>
      <c r="F1579" s="192"/>
      <c r="G1579" s="468"/>
      <c r="H1579" s="193"/>
      <c r="I1579" s="256"/>
      <c r="J1579" s="256"/>
      <c r="K1579" s="568"/>
      <c r="L1579" s="194"/>
      <c r="M1579" s="194"/>
      <c r="N1579" s="39" t="str">
        <f>IF(AND('331-CT'!$E$7=TH!H1579,OR(L1579="331",M1579="331")),"331",IF(AND(OR(L1579="131",M1579="131"),H1579='131-CT'!$E$7),"131",""))</f>
        <v/>
      </c>
      <c r="O1579" s="902" t="str">
        <f>IF(AND('341-CT'!$E$9=H1579,OR(LEFT(L1579,3)=$O$7,LEFT(M1579,3)=$O$7)),"x","")</f>
        <v/>
      </c>
      <c r="P1579" s="39" t="str">
        <f>IF(AND($B1579&gt;='111'!$N$11,$B1579&lt;='111'!$O$11,OR($L1579=$P$7,$M1579=$P$7)),"x","")</f>
        <v/>
      </c>
      <c r="Q1579" s="39" t="str">
        <f>IF(AND($L1579=$P$7,$B1579&lt;'111'!$N$11),"x","")</f>
        <v/>
      </c>
      <c r="R1579" s="39" t="str">
        <f>IF(AND($M1579=$P$7,$B1579&lt;'111'!$N$11),"x","")</f>
        <v/>
      </c>
      <c r="S1579" s="39" t="str">
        <f>IF(ISERROR(FIND('112'!$M$9,G1579,1)),"",IF((AND(FIND('112'!$M$9,G1579,1)&gt;=1,$B1579&gt;='112'!$N$8,$B1579&lt;='112'!$O$8,OR($L1579='112'!$I$6,$M1579='112'!$I$6))),"x",""))</f>
        <v/>
      </c>
      <c r="T1579" s="39" t="str">
        <f>IF(ISERROR(FIND('112'!$M$9,G1579,1)),"",IF((AND(LEFT(G1579,2)=LEFT('112'!$M$9,2),B1579&lt;'112'!$N$8,$L1579='112'!$I$6)),"x",""))</f>
        <v/>
      </c>
      <c r="U1579" s="39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39" t="str">
        <f>IF(OR(TH!L1579=TH!$W$7,M1579=TH!$W$7),"x","")</f>
        <v/>
      </c>
      <c r="X1579" s="39" t="str">
        <f>IF(AND(B1579&gt;='IN-NX'!$P$3,B1579&lt;='IN-NX'!$Q$3,'IN-NX'!$D$7=D1579,OR(LEFT(L1579,2)="15",AND(LEFT(M1579,2)&lt;&gt;"15",LEFT(M1579,2)&lt;&gt;"33"))),"x","")</f>
        <v/>
      </c>
      <c r="Y1579" s="39" t="str">
        <f>IF(AND(OR(LEFT(TH!L1579,2)="15",LEFT(TH!M1579,2)="15"),'152-CT'!$J$8=TH!F1579),"x","")</f>
        <v/>
      </c>
      <c r="Z1579" s="39" t="str">
        <f>IF(AND(OR(LEFT(TH!L1579,2)="15",LEFT(TH!M1579,2)="15"),TK!$E$7=TH!F1579),"x","")</f>
        <v/>
      </c>
      <c r="AA1579" s="39" t="str">
        <f>IF(AND(B1579&lt;=NKC!$N$8,B1579&gt;=NKC!$M$8),"x","")</f>
        <v/>
      </c>
      <c r="AB1579" s="821"/>
    </row>
    <row r="1580" spans="1:28" s="211" customFormat="1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96"/>
        <v/>
      </c>
      <c r="C1580" s="191"/>
      <c r="D1580" s="191"/>
      <c r="E1580" s="191"/>
      <c r="F1580" s="192"/>
      <c r="G1580" s="468"/>
      <c r="H1580" s="193"/>
      <c r="I1580" s="256"/>
      <c r="J1580" s="256"/>
      <c r="K1580" s="568"/>
      <c r="L1580" s="194"/>
      <c r="M1580" s="194"/>
      <c r="N1580" s="39" t="str">
        <f>IF(AND('331-CT'!$E$7=TH!H1580,OR(L1580="331",M1580="331")),"331",IF(AND(OR(L1580="131",M1580="131"),H1580='131-CT'!$E$7),"131",""))</f>
        <v/>
      </c>
      <c r="O1580" s="902" t="str">
        <f>IF(AND('341-CT'!$E$9=H1580,OR(LEFT(L1580,3)=$O$7,LEFT(M1580,3)=$O$7)),"x","")</f>
        <v/>
      </c>
      <c r="P1580" s="39" t="str">
        <f>IF(AND($B1580&gt;='111'!$N$11,$B1580&lt;='111'!$O$11,OR($L1580=$P$7,$M1580=$P$7)),"x","")</f>
        <v/>
      </c>
      <c r="Q1580" s="39" t="str">
        <f>IF(AND($L1580=$P$7,$B1580&lt;'111'!$N$11),"x","")</f>
        <v/>
      </c>
      <c r="R1580" s="39" t="str">
        <f>IF(AND($M1580=$P$7,$B1580&lt;'111'!$N$11),"x","")</f>
        <v/>
      </c>
      <c r="S1580" s="39" t="str">
        <f>IF(ISERROR(FIND('112'!$M$9,G1580,1)),"",IF((AND(FIND('112'!$M$9,G1580,1)&gt;=1,$B1580&gt;='112'!$N$8,$B1580&lt;='112'!$O$8,OR($L1580='112'!$I$6,$M1580='112'!$I$6))),"x",""))</f>
        <v/>
      </c>
      <c r="T1580" s="39" t="str">
        <f>IF(ISERROR(FIND('112'!$M$9,G1580,1)),"",IF((AND(LEFT(G1580,2)=LEFT('112'!$M$9,2),B1580&lt;'112'!$N$8,$L1580='112'!$I$6)),"x",""))</f>
        <v/>
      </c>
      <c r="U1580" s="39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39" t="str">
        <f>IF(OR(TH!L1580=TH!$W$7,M1580=TH!$W$7),"x","")</f>
        <v/>
      </c>
      <c r="X1580" s="39" t="str">
        <f>IF(AND(B1580&gt;='IN-NX'!$P$3,B1580&lt;='IN-NX'!$Q$3,'IN-NX'!$D$7=D1580,OR(LEFT(L1580,2)="15",AND(LEFT(M1580,2)&lt;&gt;"15",LEFT(M1580,2)&lt;&gt;"33"))),"x","")</f>
        <v/>
      </c>
      <c r="Y1580" s="39" t="str">
        <f>IF(AND(OR(LEFT(TH!L1580,2)="15",LEFT(TH!M1580,2)="15"),'152-CT'!$J$8=TH!F1580),"x","")</f>
        <v/>
      </c>
      <c r="Z1580" s="39" t="str">
        <f>IF(AND(OR(LEFT(TH!L1580,2)="15",LEFT(TH!M1580,2)="15"),TK!$E$7=TH!F1580),"x","")</f>
        <v/>
      </c>
      <c r="AA1580" s="39" t="str">
        <f>IF(AND(B1580&lt;=NKC!$N$8,B1580&gt;=NKC!$M$8),"x","")</f>
        <v/>
      </c>
      <c r="AB1580" s="821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96"/>
        <v/>
      </c>
      <c r="C1581" s="37"/>
      <c r="D1581" s="37"/>
      <c r="E1581" s="37"/>
      <c r="F1581" s="40"/>
      <c r="G1581" s="40"/>
      <c r="H1581" s="7"/>
      <c r="I1581" s="256"/>
      <c r="J1581" s="256"/>
      <c r="K1581" s="568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902" t="str">
        <f>IF(AND('341-CT'!$E$9=H1581,OR(LEFT(L1581,3)=$O$7,LEFT(M1581,3)=$O$7)),"x","")</f>
        <v/>
      </c>
      <c r="P1581" s="39" t="str">
        <f>IF(AND($B1581&gt;='111'!$N$11,$B1581&lt;='111'!$O$11,OR($L1581=$P$7,$M1581=$P$7)),"x","")</f>
        <v/>
      </c>
      <c r="Q1581" s="39" t="str">
        <f>IF(AND($L1581=$P$7,$B1581&lt;'111'!$N$11),"x","")</f>
        <v/>
      </c>
      <c r="R1581" s="39" t="str">
        <f>IF(AND($M1581=$P$7,$B1581&lt;'111'!$N$11),"x","")</f>
        <v/>
      </c>
      <c r="S1581" s="39" t="str">
        <f>IF(ISERROR(FIND('112'!$M$9,G1581,1)),"",IF((AND(FIND('112'!$M$9,G1581,1)&gt;=1,$B1581&gt;='112'!$N$8,$B1581&lt;='112'!$O$8,OR($L1581='112'!$I$6,$M1581='112'!$I$6))),"x",""))</f>
        <v/>
      </c>
      <c r="T1581" s="39" t="str">
        <f>IF(ISERROR(FIND('112'!$M$9,G1581,1)),"",IF((AND(LEFT(G1581,2)=LEFT('112'!$M$9,2),B1581&lt;'112'!$N$8,$L1581='112'!$I$6)),"x",""))</f>
        <v/>
      </c>
      <c r="U1581" s="39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39" t="str">
        <f>IF(OR(TH!L1581=TH!$W$7,M1581=TH!$W$7),"x","")</f>
        <v/>
      </c>
      <c r="X1581" s="39" t="str">
        <f>IF(AND(B1581&gt;='IN-NX'!$P$3,B1581&lt;='IN-NX'!$Q$3,'IN-NX'!$D$7=D1581,OR(LEFT(L1581,2)="15",AND(LEFT(M1581,2)&lt;&gt;"15",LEFT(M1581,2)&lt;&gt;"33"))),"x","")</f>
        <v/>
      </c>
      <c r="Y1581" s="39" t="str">
        <f>IF(AND(OR(LEFT(TH!L1581,2)="15",LEFT(TH!M1581,2)="15"),'152-CT'!$J$8=TH!F1581),"x","")</f>
        <v/>
      </c>
      <c r="Z1581" s="39" t="str">
        <f>IF(AND(OR(LEFT(TH!L1581,2)="15",LEFT(TH!M1581,2)="15"),TK!$E$7=TH!F1581),"x","")</f>
        <v/>
      </c>
      <c r="AA1581" s="39" t="str">
        <f>IF(AND(B1581&lt;=NKC!$N$8,B1581&gt;=NKC!$M$8),"x","")</f>
        <v/>
      </c>
      <c r="AB1581" s="821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96"/>
        <v/>
      </c>
      <c r="C1582" s="37"/>
      <c r="D1582" s="37"/>
      <c r="E1582" s="37"/>
      <c r="F1582" s="40"/>
      <c r="G1582" s="40"/>
      <c r="H1582" s="7"/>
      <c r="I1582" s="256"/>
      <c r="J1582" s="256"/>
      <c r="K1582" s="56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902" t="str">
        <f>IF(AND('341-CT'!$E$9=H1582,OR(LEFT(L1582,3)=$O$7,LEFT(M1582,3)=$O$7)),"x","")</f>
        <v/>
      </c>
      <c r="P1582" s="39" t="str">
        <f>IF(AND($B1582&gt;='111'!$N$11,$B1582&lt;='111'!$O$11,OR($L1582=$P$7,$M1582=$P$7)),"x","")</f>
        <v/>
      </c>
      <c r="Q1582" s="39" t="str">
        <f>IF(AND($L1582=$P$7,$B1582&lt;'111'!$N$11),"x","")</f>
        <v/>
      </c>
      <c r="R1582" s="39" t="str">
        <f>IF(AND($M1582=$P$7,$B1582&lt;'111'!$N$11),"x","")</f>
        <v/>
      </c>
      <c r="S1582" s="39" t="str">
        <f>IF(ISERROR(FIND('112'!$M$9,G1582,1)),"",IF((AND(FIND('112'!$M$9,G1582,1)&gt;=1,$B1582&gt;='112'!$N$8,$B1582&lt;='112'!$O$8,OR($L1582='112'!$I$6,$M1582='112'!$I$6))),"x",""))</f>
        <v/>
      </c>
      <c r="T1582" s="39" t="str">
        <f>IF(ISERROR(FIND('112'!$M$9,G1582,1)),"",IF((AND(LEFT(G1582,2)=LEFT('112'!$M$9,2),B1582&lt;'112'!$N$8,$L1582='112'!$I$6)),"x",""))</f>
        <v/>
      </c>
      <c r="U1582" s="39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39" t="str">
        <f>IF(OR(TH!L1582=TH!$W$7,M1582=TH!$W$7),"x","")</f>
        <v/>
      </c>
      <c r="X1582" s="39" t="str">
        <f>IF(AND(B1582&gt;='IN-NX'!$P$3,B1582&lt;='IN-NX'!$Q$3,'IN-NX'!$D$7=D1582,OR(LEFT(L1582,2)="15",AND(LEFT(M1582,2)&lt;&gt;"15",LEFT(M1582,2)&lt;&gt;"33"))),"x","")</f>
        <v/>
      </c>
      <c r="Y1582" s="39" t="str">
        <f>IF(AND(OR(LEFT(TH!L1582,2)="15",LEFT(TH!M1582,2)="15"),'152-CT'!$J$8=TH!F1582),"x","")</f>
        <v/>
      </c>
      <c r="Z1582" s="39" t="str">
        <f>IF(AND(OR(LEFT(TH!L1582,2)="15",LEFT(TH!M1582,2)="15"),TK!$E$7=TH!F1582),"x","")</f>
        <v/>
      </c>
      <c r="AA1582" s="39" t="str">
        <f>IF(AND(B1582&lt;=NKC!$N$8,B1582&gt;=NKC!$M$8),"x","")</f>
        <v/>
      </c>
      <c r="AB1582" s="821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96"/>
        <v/>
      </c>
      <c r="C1583" s="37"/>
      <c r="D1583" s="37"/>
      <c r="E1583" s="37"/>
      <c r="F1583" s="40"/>
      <c r="G1583" s="40"/>
      <c r="H1583" s="7"/>
      <c r="I1583" s="256"/>
      <c r="J1583" s="256"/>
      <c r="K1583" s="56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902" t="str">
        <f>IF(AND('341-CT'!$E$9=H1583,OR(LEFT(L1583,3)=$O$7,LEFT(M1583,3)=$O$7)),"x","")</f>
        <v/>
      </c>
      <c r="P1583" s="39" t="str">
        <f>IF(AND($B1583&gt;='111'!$N$11,$B1583&lt;='111'!$O$11,OR($L1583=$P$7,$M1583=$P$7)),"x","")</f>
        <v/>
      </c>
      <c r="Q1583" s="39" t="str">
        <f>IF(AND($L1583=$P$7,$B1583&lt;'111'!$N$11),"x","")</f>
        <v/>
      </c>
      <c r="R1583" s="39" t="str">
        <f>IF(AND($M1583=$P$7,$B1583&lt;'111'!$N$11),"x","")</f>
        <v/>
      </c>
      <c r="S1583" s="39" t="str">
        <f>IF(ISERROR(FIND('112'!$M$9,G1583,1)),"",IF((AND(FIND('112'!$M$9,G1583,1)&gt;=1,$B1583&gt;='112'!$N$8,$B1583&lt;='112'!$O$8,OR($L1583='112'!$I$6,$M1583='112'!$I$6))),"x",""))</f>
        <v/>
      </c>
      <c r="T1583" s="39" t="str">
        <f>IF(ISERROR(FIND('112'!$M$9,G1583,1)),"",IF((AND(LEFT(G1583,2)=LEFT('112'!$M$9,2),B1583&lt;'112'!$N$8,$L1583='112'!$I$6)),"x",""))</f>
        <v/>
      </c>
      <c r="U1583" s="39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39" t="str">
        <f>IF(OR(TH!L1583=TH!$W$7,M1583=TH!$W$7),"x","")</f>
        <v/>
      </c>
      <c r="X1583" s="39" t="str">
        <f>IF(AND(B1583&gt;='IN-NX'!$P$3,B1583&lt;='IN-NX'!$Q$3,'IN-NX'!$D$7=D1583,OR(LEFT(L1583,2)="15",AND(LEFT(M1583,2)&lt;&gt;"15",LEFT(M1583,2)&lt;&gt;"33"))),"x","")</f>
        <v/>
      </c>
      <c r="Y1583" s="39" t="str">
        <f>IF(AND(OR(LEFT(TH!L1583,2)="15",LEFT(TH!M1583,2)="15"),'152-CT'!$J$8=TH!F1583),"x","")</f>
        <v/>
      </c>
      <c r="Z1583" s="39" t="str">
        <f>IF(AND(OR(LEFT(TH!L1583,2)="15",LEFT(TH!M1583,2)="15"),TK!$E$7=TH!F1583),"x","")</f>
        <v/>
      </c>
      <c r="AA1583" s="39" t="str">
        <f>IF(AND(B1583&lt;=NKC!$N$8,B1583&gt;=NKC!$M$8),"x","")</f>
        <v/>
      </c>
      <c r="AB1583" s="821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96"/>
        <v/>
      </c>
      <c r="C1584" s="37"/>
      <c r="D1584" s="37"/>
      <c r="E1584" s="37"/>
      <c r="F1584" s="40"/>
      <c r="G1584" s="40"/>
      <c r="H1584" s="7"/>
      <c r="I1584" s="256"/>
      <c r="J1584" s="256"/>
      <c r="K1584" s="56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902" t="str">
        <f>IF(AND('341-CT'!$E$9=H1584,OR(LEFT(L1584,3)=$O$7,LEFT(M1584,3)=$O$7)),"x","")</f>
        <v/>
      </c>
      <c r="P1584" s="39" t="str">
        <f>IF(AND($B1584&gt;='111'!$N$11,$B1584&lt;='111'!$O$11,OR($L1584=$P$7,$M1584=$P$7)),"x","")</f>
        <v/>
      </c>
      <c r="Q1584" s="39" t="str">
        <f>IF(AND($L1584=$P$7,$B1584&lt;'111'!$N$11),"x","")</f>
        <v/>
      </c>
      <c r="R1584" s="39" t="str">
        <f>IF(AND($M1584=$P$7,$B1584&lt;'111'!$N$11),"x","")</f>
        <v/>
      </c>
      <c r="S1584" s="39" t="str">
        <f>IF(ISERROR(FIND('112'!$M$9,G1584,1)),"",IF((AND(FIND('112'!$M$9,G1584,1)&gt;=1,$B1584&gt;='112'!$N$8,$B1584&lt;='112'!$O$8,OR($L1584='112'!$I$6,$M1584='112'!$I$6))),"x",""))</f>
        <v/>
      </c>
      <c r="T1584" s="39" t="str">
        <f>IF(ISERROR(FIND('112'!$M$9,G1584,1)),"",IF((AND(LEFT(G1584,2)=LEFT('112'!$M$9,2),B1584&lt;'112'!$N$8,$L1584='112'!$I$6)),"x",""))</f>
        <v/>
      </c>
      <c r="U1584" s="39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39" t="str">
        <f>IF(OR(TH!L1584=TH!$W$7,M1584=TH!$W$7),"x","")</f>
        <v/>
      </c>
      <c r="X1584" s="39" t="str">
        <f>IF(AND(B1584&gt;='IN-NX'!$P$3,B1584&lt;='IN-NX'!$Q$3,'IN-NX'!$D$7=D1584,OR(LEFT(L1584,2)="15",AND(LEFT(M1584,2)&lt;&gt;"15",LEFT(M1584,2)&lt;&gt;"33"))),"x","")</f>
        <v/>
      </c>
      <c r="Y1584" s="39" t="str">
        <f>IF(AND(OR(LEFT(TH!L1584,2)="15",LEFT(TH!M1584,2)="15"),'152-CT'!$J$8=TH!F1584),"x","")</f>
        <v/>
      </c>
      <c r="Z1584" s="39" t="str">
        <f>IF(AND(OR(LEFT(TH!L1584,2)="15",LEFT(TH!M1584,2)="15"),TK!$E$7=TH!F1584),"x","")</f>
        <v/>
      </c>
      <c r="AA1584" s="39" t="str">
        <f>IF(AND(B1584&lt;=NKC!$N$8,B1584&gt;=NKC!$M$8),"x","")</f>
        <v/>
      </c>
      <c r="AB1584" s="821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96"/>
        <v/>
      </c>
      <c r="C1585" s="37"/>
      <c r="D1585" s="37"/>
      <c r="E1585" s="37"/>
      <c r="F1585" s="40"/>
      <c r="G1585" s="40"/>
      <c r="H1585" s="7"/>
      <c r="I1585" s="256"/>
      <c r="J1585" s="256"/>
      <c r="K1585" s="56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902" t="str">
        <f>IF(AND('341-CT'!$E$9=H1585,OR(LEFT(L1585,3)=$O$7,LEFT(M1585,3)=$O$7)),"x","")</f>
        <v/>
      </c>
      <c r="P1585" s="39" t="str">
        <f>IF(AND($B1585&gt;='111'!$N$11,$B1585&lt;='111'!$O$11,OR($L1585=$P$7,$M1585=$P$7)),"x","")</f>
        <v/>
      </c>
      <c r="Q1585" s="39" t="str">
        <f>IF(AND($L1585=$P$7,$B1585&lt;'111'!$N$11),"x","")</f>
        <v/>
      </c>
      <c r="R1585" s="39" t="str">
        <f>IF(AND($M1585=$P$7,$B1585&lt;'111'!$N$11),"x","")</f>
        <v/>
      </c>
      <c r="S1585" s="39" t="str">
        <f>IF(ISERROR(FIND('112'!$M$9,G1585,1)),"",IF((AND(FIND('112'!$M$9,G1585,1)&gt;=1,$B1585&gt;='112'!$N$8,$B1585&lt;='112'!$O$8,OR($L1585='112'!$I$6,$M1585='112'!$I$6))),"x",""))</f>
        <v/>
      </c>
      <c r="T1585" s="39" t="str">
        <f>IF(ISERROR(FIND('112'!$M$9,G1585,1)),"",IF((AND(LEFT(G1585,2)=LEFT('112'!$M$9,2),B1585&lt;'112'!$N$8,$L1585='112'!$I$6)),"x",""))</f>
        <v/>
      </c>
      <c r="U1585" s="39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39" t="str">
        <f>IF(OR(TH!L1585=TH!$W$7,M1585=TH!$W$7),"x","")</f>
        <v/>
      </c>
      <c r="X1585" s="39" t="str">
        <f>IF(AND(B1585&gt;='IN-NX'!$P$3,B1585&lt;='IN-NX'!$Q$3,'IN-NX'!$D$7=D1585,OR(LEFT(L1585,2)="15",AND(LEFT(M1585,2)&lt;&gt;"15",LEFT(M1585,2)&lt;&gt;"33"))),"x","")</f>
        <v/>
      </c>
      <c r="Y1585" s="39" t="str">
        <f>IF(AND(OR(LEFT(TH!L1585,2)="15",LEFT(TH!M1585,2)="15"),'152-CT'!$J$8=TH!F1585),"x","")</f>
        <v/>
      </c>
      <c r="Z1585" s="39" t="str">
        <f>IF(AND(OR(LEFT(TH!L1585,2)="15",LEFT(TH!M1585,2)="15"),TK!$E$7=TH!F1585),"x","")</f>
        <v/>
      </c>
      <c r="AA1585" s="39" t="str">
        <f>IF(AND(B1585&lt;=NKC!$N$8,B1585&gt;=NKC!$M$8),"x","")</f>
        <v/>
      </c>
      <c r="AB1585" s="821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96"/>
        <v/>
      </c>
      <c r="C1586" s="37"/>
      <c r="D1586" s="37"/>
      <c r="E1586" s="37"/>
      <c r="F1586" s="40"/>
      <c r="G1586" s="40"/>
      <c r="H1586" s="7"/>
      <c r="I1586" s="256"/>
      <c r="J1586" s="256"/>
      <c r="K1586" s="56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902" t="str">
        <f>IF(AND('341-CT'!$E$9=H1586,OR(LEFT(L1586,3)=$O$7,LEFT(M1586,3)=$O$7)),"x","")</f>
        <v/>
      </c>
      <c r="P1586" s="39" t="str">
        <f>IF(AND($B1586&gt;='111'!$N$11,$B1586&lt;='111'!$O$11,OR($L1586=$P$7,$M1586=$P$7)),"x","")</f>
        <v/>
      </c>
      <c r="Q1586" s="39" t="str">
        <f>IF(AND($L1586=$P$7,$B1586&lt;'111'!$N$11),"x","")</f>
        <v/>
      </c>
      <c r="R1586" s="39" t="str">
        <f>IF(AND($M1586=$P$7,$B1586&lt;'111'!$N$11),"x","")</f>
        <v/>
      </c>
      <c r="S1586" s="39" t="str">
        <f>IF(ISERROR(FIND('112'!$M$9,G1586,1)),"",IF((AND(FIND('112'!$M$9,G1586,1)&gt;=1,$B1586&gt;='112'!$N$8,$B1586&lt;='112'!$O$8,OR($L1586='112'!$I$6,$M1586='112'!$I$6))),"x",""))</f>
        <v/>
      </c>
      <c r="T1586" s="39" t="str">
        <f>IF(ISERROR(FIND('112'!$M$9,G1586,1)),"",IF((AND(LEFT(G1586,2)=LEFT('112'!$M$9,2),B1586&lt;'112'!$N$8,$L1586='112'!$I$6)),"x",""))</f>
        <v/>
      </c>
      <c r="U1586" s="39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39" t="str">
        <f>IF(OR(TH!L1586=TH!$W$7,M1586=TH!$W$7),"x","")</f>
        <v/>
      </c>
      <c r="X1586" s="39" t="str">
        <f>IF(AND(B1586&gt;='IN-NX'!$P$3,B1586&lt;='IN-NX'!$Q$3,'IN-NX'!$D$7=D1586,OR(LEFT(L1586,2)="15",AND(LEFT(M1586,2)&lt;&gt;"15",LEFT(M1586,2)&lt;&gt;"33"))),"x","")</f>
        <v/>
      </c>
      <c r="Y1586" s="39" t="str">
        <f>IF(AND(OR(LEFT(TH!L1586,2)="15",LEFT(TH!M1586,2)="15"),'152-CT'!$J$8=TH!F1586),"x","")</f>
        <v/>
      </c>
      <c r="Z1586" s="39" t="str">
        <f>IF(AND(OR(LEFT(TH!L1586,2)="15",LEFT(TH!M1586,2)="15"),TK!$E$7=TH!F1586),"x","")</f>
        <v/>
      </c>
      <c r="AA1586" s="39" t="str">
        <f>IF(AND(B1586&lt;=NKC!$N$8,B1586&gt;=NKC!$M$8),"x","")</f>
        <v/>
      </c>
      <c r="AB1586" s="821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96"/>
        <v/>
      </c>
      <c r="C1587" s="37"/>
      <c r="D1587" s="37"/>
      <c r="E1587" s="37"/>
      <c r="F1587" s="40"/>
      <c r="G1587" s="40"/>
      <c r="H1587" s="7"/>
      <c r="I1587" s="256"/>
      <c r="J1587" s="256"/>
      <c r="K1587" s="56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902" t="str">
        <f>IF(AND('341-CT'!$E$9=H1587,OR(LEFT(L1587,3)=$O$7,LEFT(M1587,3)=$O$7)),"x","")</f>
        <v/>
      </c>
      <c r="P1587" s="39" t="str">
        <f>IF(AND($B1587&gt;='111'!$N$11,$B1587&lt;='111'!$O$11,OR($L1587=$P$7,$M1587=$P$7)),"x","")</f>
        <v/>
      </c>
      <c r="Q1587" s="39" t="str">
        <f>IF(AND($L1587=$P$7,$B1587&lt;'111'!$N$11),"x","")</f>
        <v/>
      </c>
      <c r="R1587" s="39" t="str">
        <f>IF(AND($M1587=$P$7,$B1587&lt;'111'!$N$11),"x","")</f>
        <v/>
      </c>
      <c r="S1587" s="39" t="str">
        <f>IF(ISERROR(FIND('112'!$M$9,G1587,1)),"",IF((AND(FIND('112'!$M$9,G1587,1)&gt;=1,$B1587&gt;='112'!$N$8,$B1587&lt;='112'!$O$8,OR($L1587='112'!$I$6,$M1587='112'!$I$6))),"x",""))</f>
        <v/>
      </c>
      <c r="T1587" s="39" t="str">
        <f>IF(ISERROR(FIND('112'!$M$9,G1587,1)),"",IF((AND(LEFT(G1587,2)=LEFT('112'!$M$9,2),B1587&lt;'112'!$N$8,$L1587='112'!$I$6)),"x",""))</f>
        <v/>
      </c>
      <c r="U1587" s="39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39" t="str">
        <f>IF(OR(TH!L1587=TH!$W$7,M1587=TH!$W$7),"x","")</f>
        <v/>
      </c>
      <c r="X1587" s="39" t="str">
        <f>IF(AND(B1587&gt;='IN-NX'!$P$3,B1587&lt;='IN-NX'!$Q$3,'IN-NX'!$D$7=D1587,OR(LEFT(L1587,2)="15",AND(LEFT(M1587,2)&lt;&gt;"15",LEFT(M1587,2)&lt;&gt;"33"))),"x","")</f>
        <v/>
      </c>
      <c r="Y1587" s="39" t="str">
        <f>IF(AND(OR(LEFT(TH!L1587,2)="15",LEFT(TH!M1587,2)="15"),'152-CT'!$J$8=TH!F1587),"x","")</f>
        <v/>
      </c>
      <c r="Z1587" s="39" t="str">
        <f>IF(AND(OR(LEFT(TH!L1587,2)="15",LEFT(TH!M1587,2)="15"),TK!$E$7=TH!F1587),"x","")</f>
        <v/>
      </c>
      <c r="AA1587" s="39" t="str">
        <f>IF(AND(B1587&lt;=NKC!$N$8,B1587&gt;=NKC!$M$8),"x","")</f>
        <v/>
      </c>
      <c r="AB1587" s="821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si="96"/>
        <v/>
      </c>
      <c r="C1588" s="37"/>
      <c r="D1588" s="37"/>
      <c r="E1588" s="37"/>
      <c r="F1588" s="40"/>
      <c r="G1588" s="40"/>
      <c r="H1588" s="7"/>
      <c r="I1588" s="256"/>
      <c r="J1588" s="256"/>
      <c r="K1588" s="56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902" t="str">
        <f>IF(AND('341-CT'!$E$9=H1588,OR(LEFT(L1588,3)=$O$7,LEFT(M1588,3)=$O$7)),"x","")</f>
        <v/>
      </c>
      <c r="P1588" s="39" t="str">
        <f>IF(AND($B1588&gt;='111'!$N$11,$B1588&lt;='111'!$O$11,OR($L1588=$P$7,$M1588=$P$7)),"x","")</f>
        <v/>
      </c>
      <c r="Q1588" s="39" t="str">
        <f>IF(AND($L1588=$P$7,$B1588&lt;'111'!$N$11),"x","")</f>
        <v/>
      </c>
      <c r="R1588" s="39" t="str">
        <f>IF(AND($M1588=$P$7,$B1588&lt;'111'!$N$11),"x","")</f>
        <v/>
      </c>
      <c r="S1588" s="39" t="str">
        <f>IF(ISERROR(FIND('112'!$M$9,G1588,1)),"",IF((AND(FIND('112'!$M$9,G1588,1)&gt;=1,$B1588&gt;='112'!$N$8,$B1588&lt;='112'!$O$8,OR($L1588='112'!$I$6,$M1588='112'!$I$6))),"x",""))</f>
        <v/>
      </c>
      <c r="T1588" s="39" t="str">
        <f>IF(ISERROR(FIND('112'!$M$9,G1588,1)),"",IF((AND(LEFT(G1588,2)=LEFT('112'!$M$9,2),B1588&lt;'112'!$N$8,$L1588='112'!$I$6)),"x",""))</f>
        <v/>
      </c>
      <c r="U1588" s="39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39" t="str">
        <f>IF(OR(TH!L1588=TH!$W$7,M1588=TH!$W$7),"x","")</f>
        <v/>
      </c>
      <c r="X1588" s="39" t="str">
        <f>IF(AND(B1588&gt;='IN-NX'!$P$3,B1588&lt;='IN-NX'!$Q$3,'IN-NX'!$D$7=D1588,OR(LEFT(L1588,2)="15",AND(LEFT(M1588,2)&lt;&gt;"15",LEFT(M1588,2)&lt;&gt;"33"))),"x","")</f>
        <v/>
      </c>
      <c r="Y1588" s="39" t="str">
        <f>IF(AND(OR(LEFT(TH!L1588,2)="15",LEFT(TH!M1588,2)="15"),'152-CT'!$J$8=TH!F1588),"x","")</f>
        <v/>
      </c>
      <c r="Z1588" s="39" t="str">
        <f>IF(AND(OR(LEFT(TH!L1588,2)="15",LEFT(TH!M1588,2)="15"),TK!$E$7=TH!F1588),"x","")</f>
        <v/>
      </c>
      <c r="AA1588" s="39" t="str">
        <f>IF(AND(B1588&lt;=NKC!$N$8,B1588&gt;=NKC!$M$8),"x","")</f>
        <v/>
      </c>
      <c r="AB1588" s="821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96"/>
        <v/>
      </c>
      <c r="C1589" s="37"/>
      <c r="D1589" s="37"/>
      <c r="E1589" s="37"/>
      <c r="F1589" s="40"/>
      <c r="G1589" s="40"/>
      <c r="H1589" s="7"/>
      <c r="I1589" s="256"/>
      <c r="J1589" s="256"/>
      <c r="K1589" s="56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902" t="str">
        <f>IF(AND('341-CT'!$E$9=H1589,OR(LEFT(L1589,3)=$O$7,LEFT(M1589,3)=$O$7)),"x","")</f>
        <v/>
      </c>
      <c r="P1589" s="39" t="str">
        <f>IF(AND($B1589&gt;='111'!$N$11,$B1589&lt;='111'!$O$11,OR($L1589=$P$7,$M1589=$P$7)),"x","")</f>
        <v/>
      </c>
      <c r="Q1589" s="39" t="str">
        <f>IF(AND($L1589=$P$7,$B1589&lt;'111'!$N$11),"x","")</f>
        <v/>
      </c>
      <c r="R1589" s="39" t="str">
        <f>IF(AND($M1589=$P$7,$B1589&lt;'111'!$N$11),"x","")</f>
        <v/>
      </c>
      <c r="S1589" s="39" t="str">
        <f>IF(ISERROR(FIND('112'!$M$9,G1589,1)),"",IF((AND(FIND('112'!$M$9,G1589,1)&gt;=1,$B1589&gt;='112'!$N$8,$B1589&lt;='112'!$O$8,OR($L1589='112'!$I$6,$M1589='112'!$I$6))),"x",""))</f>
        <v/>
      </c>
      <c r="T1589" s="39" t="str">
        <f>IF(ISERROR(FIND('112'!$M$9,G1589,1)),"",IF((AND(LEFT(G1589,2)=LEFT('112'!$M$9,2),B1589&lt;'112'!$N$8,$L1589='112'!$I$6)),"x",""))</f>
        <v/>
      </c>
      <c r="U1589" s="39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39" t="str">
        <f>IF(OR(TH!L1589=TH!$W$7,M1589=TH!$W$7),"x","")</f>
        <v/>
      </c>
      <c r="X1589" s="39" t="str">
        <f>IF(AND(B1589&gt;='IN-NX'!$P$3,B1589&lt;='IN-NX'!$Q$3,'IN-NX'!$D$7=D1589,OR(LEFT(L1589,2)="15",AND(LEFT(M1589,2)&lt;&gt;"15",LEFT(M1589,2)&lt;&gt;"33"))),"x","")</f>
        <v/>
      </c>
      <c r="Y1589" s="39" t="str">
        <f>IF(AND(OR(LEFT(TH!L1589,2)="15",LEFT(TH!M1589,2)="15"),'152-CT'!$J$8=TH!F1589),"x","")</f>
        <v/>
      </c>
      <c r="Z1589" s="39" t="str">
        <f>IF(AND(OR(LEFT(TH!L1589,2)="15",LEFT(TH!M1589,2)="15"),TK!$E$7=TH!F1589),"x","")</f>
        <v/>
      </c>
      <c r="AA1589" s="39" t="str">
        <f>IF(AND(B1589&lt;=NKC!$N$8,B1589&gt;=NKC!$M$8),"x","")</f>
        <v/>
      </c>
      <c r="AB1589" s="821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96"/>
        <v/>
      </c>
      <c r="C1590" s="37"/>
      <c r="D1590" s="37"/>
      <c r="E1590" s="37"/>
      <c r="F1590" s="40"/>
      <c r="G1590" s="40"/>
      <c r="H1590" s="7"/>
      <c r="I1590" s="256"/>
      <c r="J1590" s="256"/>
      <c r="K1590" s="568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902" t="str">
        <f>IF(AND('341-CT'!$E$9=H1590,OR(LEFT(L1590,3)=$O$7,LEFT(M1590,3)=$O$7)),"x","")</f>
        <v/>
      </c>
      <c r="P1590" s="39" t="str">
        <f>IF(AND($B1590&gt;='111'!$N$11,$B1590&lt;='111'!$O$11,OR($L1590=$P$7,$M1590=$P$7)),"x","")</f>
        <v/>
      </c>
      <c r="Q1590" s="39" t="str">
        <f>IF(AND($L1590=$P$7,$B1590&lt;'111'!$N$11),"x","")</f>
        <v/>
      </c>
      <c r="R1590" s="39" t="str">
        <f>IF(AND($M1590=$P$7,$B1590&lt;'111'!$N$11),"x","")</f>
        <v/>
      </c>
      <c r="S1590" s="39" t="str">
        <f>IF(ISERROR(FIND('112'!$M$9,G1590,1)),"",IF((AND(FIND('112'!$M$9,G1590,1)&gt;=1,$B1590&gt;='112'!$N$8,$B1590&lt;='112'!$O$8,OR($L1590='112'!$I$6,$M1590='112'!$I$6))),"x",""))</f>
        <v/>
      </c>
      <c r="T1590" s="39" t="str">
        <f>IF(ISERROR(FIND('112'!$M$9,G1590,1)),"",IF((AND(LEFT(G1590,2)=LEFT('112'!$M$9,2),B1590&lt;'112'!$N$8,$L1590='112'!$I$6)),"x",""))</f>
        <v/>
      </c>
      <c r="U1590" s="39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39" t="str">
        <f>IF(OR(TH!L1590=TH!$W$7,M1590=TH!$W$7),"x","")</f>
        <v/>
      </c>
      <c r="X1590" s="39" t="str">
        <f>IF(AND(B1590&gt;='IN-NX'!$P$3,B1590&lt;='IN-NX'!$Q$3,'IN-NX'!$D$7=D1590,OR(LEFT(L1590,2)="15",AND(LEFT(M1590,2)&lt;&gt;"15",LEFT(M1590,2)&lt;&gt;"33"))),"x","")</f>
        <v/>
      </c>
      <c r="Y1590" s="39" t="str">
        <f>IF(AND(OR(LEFT(TH!L1590,2)="15",LEFT(TH!M1590,2)="15"),'152-CT'!$J$8=TH!F1590),"x","")</f>
        <v/>
      </c>
      <c r="Z1590" s="39" t="str">
        <f>IF(AND(OR(LEFT(TH!L1590,2)="15",LEFT(TH!M1590,2)="15"),TK!$E$7=TH!F1590),"x","")</f>
        <v/>
      </c>
      <c r="AA1590" s="39" t="str">
        <f>IF(AND(B1590&lt;=NKC!$N$8,B1590&gt;=NKC!$M$8),"x","")</f>
        <v/>
      </c>
      <c r="AB1590" s="821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96"/>
        <v/>
      </c>
      <c r="C1591" s="37"/>
      <c r="D1591" s="37"/>
      <c r="E1591" s="37"/>
      <c r="F1591" s="40"/>
      <c r="G1591" s="40"/>
      <c r="H1591" s="7"/>
      <c r="I1591" s="256"/>
      <c r="J1591" s="256"/>
      <c r="K1591" s="568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902" t="str">
        <f>IF(AND('341-CT'!$E$9=H1591,OR(LEFT(L1591,3)=$O$7,LEFT(M1591,3)=$O$7)),"x","")</f>
        <v/>
      </c>
      <c r="P1591" s="39" t="str">
        <f>IF(AND($B1591&gt;='111'!$N$11,$B1591&lt;='111'!$O$11,OR($L1591=$P$7,$M1591=$P$7)),"x","")</f>
        <v/>
      </c>
      <c r="Q1591" s="39" t="str">
        <f>IF(AND($L1591=$P$7,$B1591&lt;'111'!$N$11),"x","")</f>
        <v/>
      </c>
      <c r="R1591" s="39" t="str">
        <f>IF(AND($M1591=$P$7,$B1591&lt;'111'!$N$11),"x","")</f>
        <v/>
      </c>
      <c r="S1591" s="39" t="str">
        <f>IF(ISERROR(FIND('112'!$M$9,G1591,1)),"",IF((AND(FIND('112'!$M$9,G1591,1)&gt;=1,$B1591&gt;='112'!$N$8,$B1591&lt;='112'!$O$8,OR($L1591='112'!$I$6,$M1591='112'!$I$6))),"x",""))</f>
        <v/>
      </c>
      <c r="T1591" s="39" t="str">
        <f>IF(ISERROR(FIND('112'!$M$9,G1591,1)),"",IF((AND(LEFT(G1591,2)=LEFT('112'!$M$9,2),B1591&lt;'112'!$N$8,$L1591='112'!$I$6)),"x",""))</f>
        <v/>
      </c>
      <c r="U1591" s="39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39" t="str">
        <f>IF(OR(TH!L1591=TH!$W$7,M1591=TH!$W$7),"x","")</f>
        <v/>
      </c>
      <c r="X1591" s="39" t="str">
        <f>IF(AND(B1591&gt;='IN-NX'!$P$3,B1591&lt;='IN-NX'!$Q$3,'IN-NX'!$D$7=D1591,OR(LEFT(L1591,2)="15",AND(LEFT(M1591,2)&lt;&gt;"15",LEFT(M1591,2)&lt;&gt;"33"))),"x","")</f>
        <v/>
      </c>
      <c r="Y1591" s="39" t="str">
        <f>IF(AND(OR(LEFT(TH!L1591,2)="15",LEFT(TH!M1591,2)="15"),'152-CT'!$J$8=TH!F1591),"x","")</f>
        <v/>
      </c>
      <c r="Z1591" s="39" t="str">
        <f>IF(AND(OR(LEFT(TH!L1591,2)="15",LEFT(TH!M1591,2)="15"),TK!$E$7=TH!F1591),"x","")</f>
        <v/>
      </c>
      <c r="AA1591" s="39" t="str">
        <f>IF(AND(B1591&lt;=NKC!$N$8,B1591&gt;=NKC!$M$8),"x","")</f>
        <v/>
      </c>
      <c r="AB1591" s="821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96"/>
        <v/>
      </c>
      <c r="C1592" s="37"/>
      <c r="D1592" s="37"/>
      <c r="E1592" s="37"/>
      <c r="F1592" s="40"/>
      <c r="G1592" s="40"/>
      <c r="H1592" s="7"/>
      <c r="I1592" s="256"/>
      <c r="J1592" s="256"/>
      <c r="K1592" s="568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902" t="str">
        <f>IF(AND('341-CT'!$E$9=H1592,OR(LEFT(L1592,3)=$O$7,LEFT(M1592,3)=$O$7)),"x","")</f>
        <v/>
      </c>
      <c r="P1592" s="39" t="str">
        <f>IF(AND($B1592&gt;='111'!$N$11,$B1592&lt;='111'!$O$11,OR($L1592=$P$7,$M1592=$P$7)),"x","")</f>
        <v/>
      </c>
      <c r="Q1592" s="39" t="str">
        <f>IF(AND($L1592=$P$7,$B1592&lt;'111'!$N$11),"x","")</f>
        <v/>
      </c>
      <c r="R1592" s="39" t="str">
        <f>IF(AND($M1592=$P$7,$B1592&lt;'111'!$N$11),"x","")</f>
        <v/>
      </c>
      <c r="S1592" s="39" t="str">
        <f>IF(ISERROR(FIND('112'!$M$9,G1592,1)),"",IF((AND(FIND('112'!$M$9,G1592,1)&gt;=1,$B1592&gt;='112'!$N$8,$B1592&lt;='112'!$O$8,OR($L1592='112'!$I$6,$M1592='112'!$I$6))),"x",""))</f>
        <v/>
      </c>
      <c r="T1592" s="39" t="str">
        <f>IF(ISERROR(FIND('112'!$M$9,G1592,1)),"",IF((AND(LEFT(G1592,2)=LEFT('112'!$M$9,2),B1592&lt;'112'!$N$8,$L1592='112'!$I$6)),"x",""))</f>
        <v/>
      </c>
      <c r="U1592" s="39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39" t="str">
        <f>IF(OR(TH!L1592=TH!$W$7,M1592=TH!$W$7),"x","")</f>
        <v/>
      </c>
      <c r="X1592" s="39" t="str">
        <f>IF(AND(B1592&gt;='IN-NX'!$P$3,B1592&lt;='IN-NX'!$Q$3,'IN-NX'!$D$7=D1592,OR(LEFT(L1592,2)="15",AND(LEFT(M1592,2)&lt;&gt;"15",LEFT(M1592,2)&lt;&gt;"33"))),"x","")</f>
        <v/>
      </c>
      <c r="Y1592" s="39" t="str">
        <f>IF(AND(OR(LEFT(TH!L1592,2)="15",LEFT(TH!M1592,2)="15"),'152-CT'!$J$8=TH!F1592),"x","")</f>
        <v/>
      </c>
      <c r="Z1592" s="39" t="str">
        <f>IF(AND(OR(LEFT(TH!L1592,2)="15",LEFT(TH!M1592,2)="15"),TK!$E$7=TH!F1592),"x","")</f>
        <v/>
      </c>
      <c r="AA1592" s="39" t="str">
        <f>IF(AND(B1592&lt;=NKC!$N$8,B1592&gt;=NKC!$M$8),"x","")</f>
        <v/>
      </c>
      <c r="AB1592" s="821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ref="B1593:B1656" si="97">IF(C1593&lt;&gt;"",MONTH(C1593),"")</f>
        <v/>
      </c>
      <c r="C1593" s="37"/>
      <c r="D1593" s="37"/>
      <c r="E1593" s="37"/>
      <c r="F1593" s="40"/>
      <c r="G1593" s="40"/>
      <c r="H1593" s="7"/>
      <c r="I1593" s="256"/>
      <c r="J1593" s="256"/>
      <c r="K1593" s="568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902" t="str">
        <f>IF(AND('341-CT'!$E$9=H1593,OR(LEFT(L1593,3)=$O$7,LEFT(M1593,3)=$O$7)),"x","")</f>
        <v/>
      </c>
      <c r="P1593" s="39" t="str">
        <f>IF(AND($B1593&gt;='111'!$N$11,$B1593&lt;='111'!$O$11,OR($L1593=$P$7,$M1593=$P$7)),"x","")</f>
        <v/>
      </c>
      <c r="Q1593" s="39" t="str">
        <f>IF(AND($L1593=$P$7,$B1593&lt;'111'!$N$11),"x","")</f>
        <v/>
      </c>
      <c r="R1593" s="39" t="str">
        <f>IF(AND($M1593=$P$7,$B1593&lt;'111'!$N$11),"x","")</f>
        <v/>
      </c>
      <c r="S1593" s="39" t="str">
        <f>IF(ISERROR(FIND('112'!$M$9,G1593,1)),"",IF((AND(FIND('112'!$M$9,G1593,1)&gt;=1,$B1593&gt;='112'!$N$8,$B1593&lt;='112'!$O$8,OR($L1593='112'!$I$6,$M1593='112'!$I$6))),"x",""))</f>
        <v/>
      </c>
      <c r="T1593" s="39" t="str">
        <f>IF(ISERROR(FIND('112'!$M$9,G1593,1)),"",IF((AND(LEFT(G1593,2)=LEFT('112'!$M$9,2),B1593&lt;'112'!$N$8,$L1593='112'!$I$6)),"x",""))</f>
        <v/>
      </c>
      <c r="U1593" s="39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39" t="str">
        <f>IF(OR(TH!L1593=TH!$W$7,M1593=TH!$W$7),"x","")</f>
        <v/>
      </c>
      <c r="X1593" s="39" t="str">
        <f>IF(AND(B1593&gt;='IN-NX'!$P$3,B1593&lt;='IN-NX'!$Q$3,'IN-NX'!$D$7=D1593,OR(LEFT(L1593,2)="15",AND(LEFT(M1593,2)&lt;&gt;"15",LEFT(M1593,2)&lt;&gt;"33"))),"x","")</f>
        <v/>
      </c>
      <c r="Y1593" s="39" t="str">
        <f>IF(AND(OR(LEFT(TH!L1593,2)="15",LEFT(TH!M1593,2)="15"),'152-CT'!$J$8=TH!F1593),"x","")</f>
        <v/>
      </c>
      <c r="Z1593" s="39" t="str">
        <f>IF(AND(OR(LEFT(TH!L1593,2)="15",LEFT(TH!M1593,2)="15"),TK!$E$7=TH!F1593),"x","")</f>
        <v/>
      </c>
      <c r="AA1593" s="39" t="str">
        <f>IF(AND(B1593&lt;=NKC!$N$8,B1593&gt;=NKC!$M$8),"x","")</f>
        <v/>
      </c>
      <c r="AB1593" s="821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97"/>
        <v/>
      </c>
      <c r="C1594" s="37"/>
      <c r="D1594" s="37"/>
      <c r="E1594" s="37"/>
      <c r="F1594" s="40"/>
      <c r="G1594" s="40"/>
      <c r="H1594" s="7"/>
      <c r="I1594" s="256"/>
      <c r="J1594" s="256"/>
      <c r="K1594" s="568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902" t="str">
        <f>IF(AND('341-CT'!$E$9=H1594,OR(LEFT(L1594,3)=$O$7,LEFT(M1594,3)=$O$7)),"x","")</f>
        <v/>
      </c>
      <c r="P1594" s="39" t="str">
        <f>IF(AND($B1594&gt;='111'!$N$11,$B1594&lt;='111'!$O$11,OR($L1594=$P$7,$M1594=$P$7)),"x","")</f>
        <v/>
      </c>
      <c r="Q1594" s="39" t="str">
        <f>IF(AND($L1594=$P$7,$B1594&lt;'111'!$N$11),"x","")</f>
        <v/>
      </c>
      <c r="R1594" s="39" t="str">
        <f>IF(AND($M1594=$P$7,$B1594&lt;'111'!$N$11),"x","")</f>
        <v/>
      </c>
      <c r="S1594" s="39" t="str">
        <f>IF(ISERROR(FIND('112'!$M$9,G1594,1)),"",IF((AND(FIND('112'!$M$9,G1594,1)&gt;=1,$B1594&gt;='112'!$N$8,$B1594&lt;='112'!$O$8,OR($L1594='112'!$I$6,$M1594='112'!$I$6))),"x",""))</f>
        <v/>
      </c>
      <c r="T1594" s="39" t="str">
        <f>IF(ISERROR(FIND('112'!$M$9,G1594,1)),"",IF((AND(LEFT(G1594,2)=LEFT('112'!$M$9,2),B1594&lt;'112'!$N$8,$L1594='112'!$I$6)),"x",""))</f>
        <v/>
      </c>
      <c r="U1594" s="39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39" t="str">
        <f>IF(OR(TH!L1594=TH!$W$7,M1594=TH!$W$7),"x","")</f>
        <v/>
      </c>
      <c r="X1594" s="39" t="str">
        <f>IF(AND(B1594&gt;='IN-NX'!$P$3,B1594&lt;='IN-NX'!$Q$3,'IN-NX'!$D$7=D1594,OR(LEFT(L1594,2)="15",AND(LEFT(M1594,2)&lt;&gt;"15",LEFT(M1594,2)&lt;&gt;"33"))),"x","")</f>
        <v/>
      </c>
      <c r="Y1594" s="39" t="str">
        <f>IF(AND(OR(LEFT(TH!L1594,2)="15",LEFT(TH!M1594,2)="15"),'152-CT'!$J$8=TH!F1594),"x","")</f>
        <v/>
      </c>
      <c r="Z1594" s="39" t="str">
        <f>IF(AND(OR(LEFT(TH!L1594,2)="15",LEFT(TH!M1594,2)="15"),TK!$E$7=TH!F1594),"x","")</f>
        <v/>
      </c>
      <c r="AA1594" s="39" t="str">
        <f>IF(AND(B1594&lt;=NKC!$N$8,B1594&gt;=NKC!$M$8),"x","")</f>
        <v/>
      </c>
      <c r="AB1594" s="821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97"/>
        <v/>
      </c>
      <c r="C1595" s="37"/>
      <c r="D1595" s="37"/>
      <c r="E1595" s="37"/>
      <c r="F1595" s="40"/>
      <c r="G1595" s="40"/>
      <c r="H1595" s="7"/>
      <c r="I1595" s="256"/>
      <c r="J1595" s="256"/>
      <c r="K1595" s="568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902" t="str">
        <f>IF(AND('341-CT'!$E$9=H1595,OR(LEFT(L1595,3)=$O$7,LEFT(M1595,3)=$O$7)),"x","")</f>
        <v/>
      </c>
      <c r="P1595" s="39" t="str">
        <f>IF(AND($B1595&gt;='111'!$N$11,$B1595&lt;='111'!$O$11,OR($L1595=$P$7,$M1595=$P$7)),"x","")</f>
        <v/>
      </c>
      <c r="Q1595" s="39" t="str">
        <f>IF(AND($L1595=$P$7,$B1595&lt;'111'!$N$11),"x","")</f>
        <v/>
      </c>
      <c r="R1595" s="39" t="str">
        <f>IF(AND($M1595=$P$7,$B1595&lt;'111'!$N$11),"x","")</f>
        <v/>
      </c>
      <c r="S1595" s="39" t="str">
        <f>IF(ISERROR(FIND('112'!$M$9,G1595,1)),"",IF((AND(FIND('112'!$M$9,G1595,1)&gt;=1,$B1595&gt;='112'!$N$8,$B1595&lt;='112'!$O$8,OR($L1595='112'!$I$6,$M1595='112'!$I$6))),"x",""))</f>
        <v/>
      </c>
      <c r="T1595" s="39" t="str">
        <f>IF(ISERROR(FIND('112'!$M$9,G1595,1)),"",IF((AND(LEFT(G1595,2)=LEFT('112'!$M$9,2),B1595&lt;'112'!$N$8,$L1595='112'!$I$6)),"x",""))</f>
        <v/>
      </c>
      <c r="U1595" s="39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39" t="str">
        <f>IF(OR(TH!L1595=TH!$W$7,M1595=TH!$W$7),"x","")</f>
        <v/>
      </c>
      <c r="X1595" s="39" t="str">
        <f>IF(AND(B1595&gt;='IN-NX'!$P$3,B1595&lt;='IN-NX'!$Q$3,'IN-NX'!$D$7=D1595,OR(LEFT(L1595,2)="15",AND(LEFT(M1595,2)&lt;&gt;"15",LEFT(M1595,2)&lt;&gt;"33"))),"x","")</f>
        <v/>
      </c>
      <c r="Y1595" s="39" t="str">
        <f>IF(AND(OR(LEFT(TH!L1595,2)="15",LEFT(TH!M1595,2)="15"),'152-CT'!$J$8=TH!F1595),"x","")</f>
        <v/>
      </c>
      <c r="Z1595" s="39" t="str">
        <f>IF(AND(OR(LEFT(TH!L1595,2)="15",LEFT(TH!M1595,2)="15"),TK!$E$7=TH!F1595),"x","")</f>
        <v/>
      </c>
      <c r="AA1595" s="39" t="str">
        <f>IF(AND(B1595&lt;=NKC!$N$8,B1595&gt;=NKC!$M$8),"x","")</f>
        <v/>
      </c>
      <c r="AB1595" s="821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97"/>
        <v/>
      </c>
      <c r="C1596" s="37"/>
      <c r="D1596" s="37"/>
      <c r="E1596" s="37"/>
      <c r="F1596" s="40"/>
      <c r="G1596" s="40"/>
      <c r="H1596" s="7"/>
      <c r="I1596" s="256"/>
      <c r="J1596" s="256"/>
      <c r="K1596" s="568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902" t="str">
        <f>IF(AND('341-CT'!$E$9=H1596,OR(LEFT(L1596,3)=$O$7,LEFT(M1596,3)=$O$7)),"x","")</f>
        <v/>
      </c>
      <c r="P1596" s="39" t="str">
        <f>IF(AND($B1596&gt;='111'!$N$11,$B1596&lt;='111'!$O$11,OR($L1596=$P$7,$M1596=$P$7)),"x","")</f>
        <v/>
      </c>
      <c r="Q1596" s="39" t="str">
        <f>IF(AND($L1596=$P$7,$B1596&lt;'111'!$N$11),"x","")</f>
        <v/>
      </c>
      <c r="R1596" s="39" t="str">
        <f>IF(AND($M1596=$P$7,$B1596&lt;'111'!$N$11),"x","")</f>
        <v/>
      </c>
      <c r="S1596" s="39" t="str">
        <f>IF(ISERROR(FIND('112'!$M$9,G1596,1)),"",IF((AND(FIND('112'!$M$9,G1596,1)&gt;=1,$B1596&gt;='112'!$N$8,$B1596&lt;='112'!$O$8,OR($L1596='112'!$I$6,$M1596='112'!$I$6))),"x",""))</f>
        <v/>
      </c>
      <c r="T1596" s="39" t="str">
        <f>IF(ISERROR(FIND('112'!$M$9,G1596,1)),"",IF((AND(LEFT(G1596,2)=LEFT('112'!$M$9,2),B1596&lt;'112'!$N$8,$L1596='112'!$I$6)),"x",""))</f>
        <v/>
      </c>
      <c r="U1596" s="39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39" t="str">
        <f>IF(OR(TH!L1596=TH!$W$7,M1596=TH!$W$7),"x","")</f>
        <v/>
      </c>
      <c r="X1596" s="39" t="str">
        <f>IF(AND(B1596&gt;='IN-NX'!$P$3,B1596&lt;='IN-NX'!$Q$3,'IN-NX'!$D$7=D1596,OR(LEFT(L1596,2)="15",AND(LEFT(M1596,2)&lt;&gt;"15",LEFT(M1596,2)&lt;&gt;"33"))),"x","")</f>
        <v/>
      </c>
      <c r="Y1596" s="39" t="str">
        <f>IF(AND(OR(LEFT(TH!L1596,2)="15",LEFT(TH!M1596,2)="15"),'152-CT'!$J$8=TH!F1596),"x","")</f>
        <v/>
      </c>
      <c r="Z1596" s="39" t="str">
        <f>IF(AND(OR(LEFT(TH!L1596,2)="15",LEFT(TH!M1596,2)="15"),TK!$E$7=TH!F1596),"x","")</f>
        <v/>
      </c>
      <c r="AA1596" s="39" t="str">
        <f>IF(AND(B1596&lt;=NKC!$N$8,B1596&gt;=NKC!$M$8),"x","")</f>
        <v/>
      </c>
      <c r="AB1596" s="821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97"/>
        <v/>
      </c>
      <c r="C1597" s="37"/>
      <c r="D1597" s="37"/>
      <c r="E1597" s="37"/>
      <c r="F1597" s="40"/>
      <c r="G1597" s="40"/>
      <c r="H1597" s="7"/>
      <c r="I1597" s="256"/>
      <c r="J1597" s="256"/>
      <c r="K1597" s="568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902" t="str">
        <f>IF(AND('341-CT'!$E$9=H1597,OR(LEFT(L1597,3)=$O$7,LEFT(M1597,3)=$O$7)),"x","")</f>
        <v/>
      </c>
      <c r="P1597" s="39" t="str">
        <f>IF(AND($B1597&gt;='111'!$N$11,$B1597&lt;='111'!$O$11,OR($L1597=$P$7,$M1597=$P$7)),"x","")</f>
        <v/>
      </c>
      <c r="Q1597" s="39" t="str">
        <f>IF(AND($L1597=$P$7,$B1597&lt;'111'!$N$11),"x","")</f>
        <v/>
      </c>
      <c r="R1597" s="39" t="str">
        <f>IF(AND($M1597=$P$7,$B1597&lt;'111'!$N$11),"x","")</f>
        <v/>
      </c>
      <c r="S1597" s="39" t="str">
        <f>IF(ISERROR(FIND('112'!$M$9,G1597,1)),"",IF((AND(FIND('112'!$M$9,G1597,1)&gt;=1,$B1597&gt;='112'!$N$8,$B1597&lt;='112'!$O$8,OR($L1597='112'!$I$6,$M1597='112'!$I$6))),"x",""))</f>
        <v/>
      </c>
      <c r="T1597" s="39" t="str">
        <f>IF(ISERROR(FIND('112'!$M$9,G1597,1)),"",IF((AND(LEFT(G1597,2)=LEFT('112'!$M$9,2),B1597&lt;'112'!$N$8,$L1597='112'!$I$6)),"x",""))</f>
        <v/>
      </c>
      <c r="U1597" s="39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39" t="str">
        <f>IF(OR(TH!L1597=TH!$W$7,M1597=TH!$W$7),"x","")</f>
        <v/>
      </c>
      <c r="X1597" s="39" t="str">
        <f>IF(AND(B1597&gt;='IN-NX'!$P$3,B1597&lt;='IN-NX'!$Q$3,'IN-NX'!$D$7=D1597,OR(LEFT(L1597,2)="15",AND(LEFT(M1597,2)&lt;&gt;"15",LEFT(M1597,2)&lt;&gt;"33"))),"x","")</f>
        <v/>
      </c>
      <c r="Y1597" s="39" t="str">
        <f>IF(AND(OR(LEFT(TH!L1597,2)="15",LEFT(TH!M1597,2)="15"),'152-CT'!$J$8=TH!F1597),"x","")</f>
        <v/>
      </c>
      <c r="Z1597" s="39" t="str">
        <f>IF(AND(OR(LEFT(TH!L1597,2)="15",LEFT(TH!M1597,2)="15"),TK!$E$7=TH!F1597),"x","")</f>
        <v/>
      </c>
      <c r="AA1597" s="39" t="str">
        <f>IF(AND(B1597&lt;=NKC!$N$8,B1597&gt;=NKC!$M$8),"x","")</f>
        <v/>
      </c>
      <c r="AB1597" s="821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97"/>
        <v/>
      </c>
      <c r="C1598" s="37"/>
      <c r="D1598" s="37"/>
      <c r="E1598" s="37"/>
      <c r="F1598" s="40"/>
      <c r="G1598" s="40"/>
      <c r="H1598" s="7"/>
      <c r="I1598" s="256"/>
      <c r="J1598" s="256"/>
      <c r="K1598" s="568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902" t="str">
        <f>IF(AND('341-CT'!$E$9=H1598,OR(LEFT(L1598,3)=$O$7,LEFT(M1598,3)=$O$7)),"x","")</f>
        <v/>
      </c>
      <c r="P1598" s="39" t="str">
        <f>IF(AND($B1598&gt;='111'!$N$11,$B1598&lt;='111'!$O$11,OR($L1598=$P$7,$M1598=$P$7)),"x","")</f>
        <v/>
      </c>
      <c r="Q1598" s="39" t="str">
        <f>IF(AND($L1598=$P$7,$B1598&lt;'111'!$N$11),"x","")</f>
        <v/>
      </c>
      <c r="R1598" s="39" t="str">
        <f>IF(AND($M1598=$P$7,$B1598&lt;'111'!$N$11),"x","")</f>
        <v/>
      </c>
      <c r="S1598" s="39" t="str">
        <f>IF(ISERROR(FIND('112'!$M$9,G1598,1)),"",IF((AND(FIND('112'!$M$9,G1598,1)&gt;=1,$B1598&gt;='112'!$N$8,$B1598&lt;='112'!$O$8,OR($L1598='112'!$I$6,$M1598='112'!$I$6))),"x",""))</f>
        <v/>
      </c>
      <c r="T1598" s="39" t="str">
        <f>IF(ISERROR(FIND('112'!$M$9,G1598,1)),"",IF((AND(LEFT(G1598,2)=LEFT('112'!$M$9,2),B1598&lt;'112'!$N$8,$L1598='112'!$I$6)),"x",""))</f>
        <v/>
      </c>
      <c r="U1598" s="39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39" t="str">
        <f>IF(OR(TH!L1598=TH!$W$7,M1598=TH!$W$7),"x","")</f>
        <v/>
      </c>
      <c r="X1598" s="39" t="str">
        <f>IF(AND(B1598&gt;='IN-NX'!$P$3,B1598&lt;='IN-NX'!$Q$3,'IN-NX'!$D$7=D1598,OR(LEFT(L1598,2)="15",AND(LEFT(M1598,2)&lt;&gt;"15",LEFT(M1598,2)&lt;&gt;"33"))),"x","")</f>
        <v/>
      </c>
      <c r="Y1598" s="39" t="str">
        <f>IF(AND(OR(LEFT(TH!L1598,2)="15",LEFT(TH!M1598,2)="15"),'152-CT'!$J$8=TH!F1598),"x","")</f>
        <v/>
      </c>
      <c r="Z1598" s="39" t="str">
        <f>IF(AND(OR(LEFT(TH!L1598,2)="15",LEFT(TH!M1598,2)="15"),TK!$E$7=TH!F1598),"x","")</f>
        <v/>
      </c>
      <c r="AA1598" s="39" t="str">
        <f>IF(AND(B1598&lt;=NKC!$N$8,B1598&gt;=NKC!$M$8),"x","")</f>
        <v/>
      </c>
      <c r="AB1598" s="821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97"/>
        <v/>
      </c>
      <c r="C1599" s="191"/>
      <c r="D1599" s="191"/>
      <c r="E1599" s="191"/>
      <c r="F1599" s="192"/>
      <c r="G1599" s="468"/>
      <c r="H1599" s="193"/>
      <c r="I1599" s="256"/>
      <c r="J1599" s="256"/>
      <c r="K1599" s="568"/>
      <c r="L1599" s="194"/>
      <c r="M1599" s="194"/>
      <c r="N1599" s="39" t="str">
        <f>IF(AND('331-CT'!$E$7=TH!H1599,OR(L1599="331",M1599="331")),"331",IF(AND(OR(L1599="131",M1599="131"),H1599='131-CT'!$E$7),"131",""))</f>
        <v/>
      </c>
      <c r="O1599" s="902" t="str">
        <f>IF(AND('341-CT'!$E$9=H1599,OR(LEFT(L1599,3)=$O$7,LEFT(M1599,3)=$O$7)),"x","")</f>
        <v/>
      </c>
      <c r="P1599" s="39" t="str">
        <f>IF(AND($B1599&gt;='111'!$N$11,$B1599&lt;='111'!$O$11,OR($L1599=$P$7,$M1599=$P$7)),"x","")</f>
        <v/>
      </c>
      <c r="Q1599" s="39" t="str">
        <f>IF(AND($L1599=$P$7,$B1599&lt;'111'!$N$11),"x","")</f>
        <v/>
      </c>
      <c r="R1599" s="39" t="str">
        <f>IF(AND($M1599=$P$7,$B1599&lt;'111'!$N$11),"x","")</f>
        <v/>
      </c>
      <c r="S1599" s="39" t="str">
        <f>IF(ISERROR(FIND('112'!$M$9,G1599,1)),"",IF((AND(FIND('112'!$M$9,G1599,1)&gt;=1,$B1599&gt;='112'!$N$8,$B1599&lt;='112'!$O$8,OR($L1599='112'!$I$6,$M1599='112'!$I$6))),"x",""))</f>
        <v/>
      </c>
      <c r="T1599" s="39" t="str">
        <f>IF(ISERROR(FIND('112'!$M$9,G1599,1)),"",IF((AND(LEFT(G1599,2)=LEFT('112'!$M$9,2),B1599&lt;'112'!$N$8,$L1599='112'!$I$6)),"x",""))</f>
        <v/>
      </c>
      <c r="U1599" s="39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39" t="str">
        <f>IF(OR(TH!L1599=TH!$W$7,M1599=TH!$W$7),"x","")</f>
        <v/>
      </c>
      <c r="X1599" s="39" t="str">
        <f>IF(AND(B1599&gt;='IN-NX'!$P$3,B1599&lt;='IN-NX'!$Q$3,'IN-NX'!$D$7=D1599,OR(LEFT(L1599,2)="15",AND(LEFT(M1599,2)&lt;&gt;"15",LEFT(M1599,2)&lt;&gt;"33"))),"x","")</f>
        <v/>
      </c>
      <c r="Y1599" s="39" t="str">
        <f>IF(AND(OR(LEFT(TH!L1599,2)="15",LEFT(TH!M1599,2)="15"),'152-CT'!$J$8=TH!F1599),"x","")</f>
        <v/>
      </c>
      <c r="Z1599" s="39" t="str">
        <f>IF(AND(OR(LEFT(TH!L1599,2)="15",LEFT(TH!M1599,2)="15"),TK!$E$7=TH!F1599),"x","")</f>
        <v/>
      </c>
      <c r="AA1599" s="39" t="str">
        <f>IF(AND(B1599&lt;=NKC!$N$8,B1599&gt;=NKC!$M$8),"x","")</f>
        <v/>
      </c>
      <c r="AB1599" s="821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97"/>
        <v/>
      </c>
      <c r="C1600" s="191"/>
      <c r="D1600" s="191"/>
      <c r="E1600" s="191"/>
      <c r="F1600" s="192"/>
      <c r="G1600" s="468"/>
      <c r="H1600" s="193"/>
      <c r="I1600" s="256"/>
      <c r="J1600" s="256"/>
      <c r="K1600" s="568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902" t="str">
        <f>IF(AND('341-CT'!$E$9=H1600,OR(LEFT(L1600,3)=$O$7,LEFT(M1600,3)=$O$7)),"x","")</f>
        <v/>
      </c>
      <c r="P1600" s="39" t="str">
        <f>IF(AND($B1600&gt;='111'!$N$11,$B1600&lt;='111'!$O$11,OR($L1600=$P$7,$M1600=$P$7)),"x","")</f>
        <v/>
      </c>
      <c r="Q1600" s="39" t="str">
        <f>IF(AND($L1600=$P$7,$B1600&lt;'111'!$N$11),"x","")</f>
        <v/>
      </c>
      <c r="R1600" s="39" t="str">
        <f>IF(AND($M1600=$P$7,$B1600&lt;'111'!$N$11),"x","")</f>
        <v/>
      </c>
      <c r="S1600" s="39" t="str">
        <f>IF(ISERROR(FIND('112'!$M$9,G1600,1)),"",IF((AND(FIND('112'!$M$9,G1600,1)&gt;=1,$B1600&gt;='112'!$N$8,$B1600&lt;='112'!$O$8,OR($L1600='112'!$I$6,$M1600='112'!$I$6))),"x",""))</f>
        <v/>
      </c>
      <c r="T1600" s="39" t="str">
        <f>IF(ISERROR(FIND('112'!$M$9,G1600,1)),"",IF((AND(LEFT(G1600,2)=LEFT('112'!$M$9,2),B1600&lt;'112'!$N$8,$L1600='112'!$I$6)),"x",""))</f>
        <v/>
      </c>
      <c r="U1600" s="39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39" t="str">
        <f>IF(OR(TH!L1600=TH!$W$7,M1600=TH!$W$7),"x","")</f>
        <v/>
      </c>
      <c r="X1600" s="39" t="str">
        <f>IF(AND(B1600&gt;='IN-NX'!$P$3,B1600&lt;='IN-NX'!$Q$3,'IN-NX'!$D$7=D1600,OR(LEFT(L1600,2)="15",AND(LEFT(M1600,2)&lt;&gt;"15",LEFT(M1600,2)&lt;&gt;"33"))),"x","")</f>
        <v/>
      </c>
      <c r="Y1600" s="39" t="str">
        <f>IF(AND(OR(LEFT(TH!L1600,2)="15",LEFT(TH!M1600,2)="15"),'152-CT'!$J$8=TH!F1600),"x","")</f>
        <v/>
      </c>
      <c r="Z1600" s="39" t="str">
        <f>IF(AND(OR(LEFT(TH!L1600,2)="15",LEFT(TH!M1600,2)="15"),TK!$E$7=TH!F1600),"x","")</f>
        <v/>
      </c>
      <c r="AA1600" s="39" t="str">
        <f>IF(AND(B1600&lt;=NKC!$N$8,B1600&gt;=NKC!$M$8),"x","")</f>
        <v/>
      </c>
      <c r="AB1600" s="821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97"/>
        <v/>
      </c>
      <c r="C1601" s="191"/>
      <c r="D1601" s="191"/>
      <c r="E1601" s="191"/>
      <c r="F1601" s="192"/>
      <c r="G1601" s="468"/>
      <c r="H1601" s="193"/>
      <c r="I1601" s="256"/>
      <c r="J1601" s="256"/>
      <c r="K1601" s="568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902" t="str">
        <f>IF(AND('341-CT'!$E$9=H1601,OR(LEFT(L1601,3)=$O$7,LEFT(M1601,3)=$O$7)),"x","")</f>
        <v/>
      </c>
      <c r="P1601" s="39" t="str">
        <f>IF(AND($B1601&gt;='111'!$N$11,$B1601&lt;='111'!$O$11,OR($L1601=$P$7,$M1601=$P$7)),"x","")</f>
        <v/>
      </c>
      <c r="Q1601" s="39" t="str">
        <f>IF(AND($L1601=$P$7,$B1601&lt;'111'!$N$11),"x","")</f>
        <v/>
      </c>
      <c r="R1601" s="39" t="str">
        <f>IF(AND($M1601=$P$7,$B1601&lt;'111'!$N$11),"x","")</f>
        <v/>
      </c>
      <c r="S1601" s="39" t="str">
        <f>IF(ISERROR(FIND('112'!$M$9,G1601,1)),"",IF((AND(FIND('112'!$M$9,G1601,1)&gt;=1,$B1601&gt;='112'!$N$8,$B1601&lt;='112'!$O$8,OR($L1601='112'!$I$6,$M1601='112'!$I$6))),"x",""))</f>
        <v/>
      </c>
      <c r="T1601" s="39" t="str">
        <f>IF(ISERROR(FIND('112'!$M$9,G1601,1)),"",IF((AND(LEFT(G1601,2)=LEFT('112'!$M$9,2),B1601&lt;'112'!$N$8,$L1601='112'!$I$6)),"x",""))</f>
        <v/>
      </c>
      <c r="U1601" s="39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39" t="str">
        <f>IF(OR(TH!L1601=TH!$W$7,M1601=TH!$W$7),"x","")</f>
        <v/>
      </c>
      <c r="X1601" s="39" t="str">
        <f>IF(AND(B1601&gt;='IN-NX'!$P$3,B1601&lt;='IN-NX'!$Q$3,'IN-NX'!$D$7=D1601,OR(LEFT(L1601,2)="15",AND(LEFT(M1601,2)&lt;&gt;"15",LEFT(M1601,2)&lt;&gt;"33"))),"x","")</f>
        <v/>
      </c>
      <c r="Y1601" s="39" t="str">
        <f>IF(AND(OR(LEFT(TH!L1601,2)="15",LEFT(TH!M1601,2)="15"),'152-CT'!$J$8=TH!F1601),"x","")</f>
        <v/>
      </c>
      <c r="Z1601" s="39" t="str">
        <f>IF(AND(OR(LEFT(TH!L1601,2)="15",LEFT(TH!M1601,2)="15"),TK!$E$7=TH!F1601),"x","")</f>
        <v/>
      </c>
      <c r="AA1601" s="39" t="str">
        <f>IF(AND(B1601&lt;=NKC!$N$8,B1601&gt;=NKC!$M$8),"x","")</f>
        <v/>
      </c>
      <c r="AB1601" s="821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97"/>
        <v/>
      </c>
      <c r="C1602" s="191"/>
      <c r="D1602" s="191"/>
      <c r="E1602" s="191"/>
      <c r="F1602" s="192"/>
      <c r="G1602" s="468"/>
      <c r="H1602" s="193"/>
      <c r="I1602" s="256"/>
      <c r="J1602" s="256"/>
      <c r="K1602" s="568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902" t="str">
        <f>IF(AND('341-CT'!$E$9=H1602,OR(LEFT(L1602,3)=$O$7,LEFT(M1602,3)=$O$7)),"x","")</f>
        <v/>
      </c>
      <c r="P1602" s="39" t="str">
        <f>IF(AND($B1602&gt;='111'!$N$11,$B1602&lt;='111'!$O$11,OR($L1602=$P$7,$M1602=$P$7)),"x","")</f>
        <v/>
      </c>
      <c r="Q1602" s="39" t="str">
        <f>IF(AND($L1602=$P$7,$B1602&lt;'111'!$N$11),"x","")</f>
        <v/>
      </c>
      <c r="R1602" s="39" t="str">
        <f>IF(AND($M1602=$P$7,$B1602&lt;'111'!$N$11),"x","")</f>
        <v/>
      </c>
      <c r="S1602" s="39" t="str">
        <f>IF(ISERROR(FIND('112'!$M$9,G1602,1)),"",IF((AND(FIND('112'!$M$9,G1602,1)&gt;=1,$B1602&gt;='112'!$N$8,$B1602&lt;='112'!$O$8,OR($L1602='112'!$I$6,$M1602='112'!$I$6))),"x",""))</f>
        <v/>
      </c>
      <c r="T1602" s="39" t="str">
        <f>IF(ISERROR(FIND('112'!$M$9,G1602,1)),"",IF((AND(LEFT(G1602,2)=LEFT('112'!$M$9,2),B1602&lt;'112'!$N$8,$L1602='112'!$I$6)),"x",""))</f>
        <v/>
      </c>
      <c r="U1602" s="39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39" t="str">
        <f>IF(OR(TH!L1602=TH!$W$7,M1602=TH!$W$7),"x","")</f>
        <v/>
      </c>
      <c r="X1602" s="39" t="str">
        <f>IF(AND(B1602&gt;='IN-NX'!$P$3,B1602&lt;='IN-NX'!$Q$3,'IN-NX'!$D$7=D1602,OR(LEFT(L1602,2)="15",AND(LEFT(M1602,2)&lt;&gt;"15",LEFT(M1602,2)&lt;&gt;"33"))),"x","")</f>
        <v/>
      </c>
      <c r="Y1602" s="39" t="str">
        <f>IF(AND(OR(LEFT(TH!L1602,2)="15",LEFT(TH!M1602,2)="15"),'152-CT'!$J$8=TH!F1602),"x","")</f>
        <v/>
      </c>
      <c r="Z1602" s="39" t="str">
        <f>IF(AND(OR(LEFT(TH!L1602,2)="15",LEFT(TH!M1602,2)="15"),TK!$E$7=TH!F1602),"x","")</f>
        <v/>
      </c>
      <c r="AA1602" s="39" t="str">
        <f>IF(AND(B1602&lt;=NKC!$N$8,B1602&gt;=NKC!$M$8),"x","")</f>
        <v/>
      </c>
      <c r="AB1602" s="821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97"/>
        <v/>
      </c>
      <c r="C1603" s="191"/>
      <c r="D1603" s="191"/>
      <c r="E1603" s="191"/>
      <c r="F1603" s="192"/>
      <c r="G1603" s="468"/>
      <c r="H1603" s="193"/>
      <c r="I1603" s="256"/>
      <c r="J1603" s="256"/>
      <c r="K1603" s="568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902" t="str">
        <f>IF(AND('341-CT'!$E$9=H1603,OR(LEFT(L1603,3)=$O$7,LEFT(M1603,3)=$O$7)),"x","")</f>
        <v/>
      </c>
      <c r="P1603" s="39" t="str">
        <f>IF(AND($B1603&gt;='111'!$N$11,$B1603&lt;='111'!$O$11,OR($L1603=$P$7,$M1603=$P$7)),"x","")</f>
        <v/>
      </c>
      <c r="Q1603" s="39" t="str">
        <f>IF(AND($L1603=$P$7,$B1603&lt;'111'!$N$11),"x","")</f>
        <v/>
      </c>
      <c r="R1603" s="39" t="str">
        <f>IF(AND($M1603=$P$7,$B1603&lt;'111'!$N$11),"x","")</f>
        <v/>
      </c>
      <c r="S1603" s="39" t="str">
        <f>IF(ISERROR(FIND('112'!$M$9,G1603,1)),"",IF((AND(FIND('112'!$M$9,G1603,1)&gt;=1,$B1603&gt;='112'!$N$8,$B1603&lt;='112'!$O$8,OR($L1603='112'!$I$6,$M1603='112'!$I$6))),"x",""))</f>
        <v/>
      </c>
      <c r="T1603" s="39" t="str">
        <f>IF(ISERROR(FIND('112'!$M$9,G1603,1)),"",IF((AND(LEFT(G1603,2)=LEFT('112'!$M$9,2),B1603&lt;'112'!$N$8,$L1603='112'!$I$6)),"x",""))</f>
        <v/>
      </c>
      <c r="U1603" s="39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39" t="str">
        <f>IF(OR(TH!L1603=TH!$W$7,M1603=TH!$W$7),"x","")</f>
        <v/>
      </c>
      <c r="X1603" s="39" t="str">
        <f>IF(AND(B1603&gt;='IN-NX'!$P$3,B1603&lt;='IN-NX'!$Q$3,'IN-NX'!$D$7=D1603,OR(LEFT(L1603,2)="15",AND(LEFT(M1603,2)&lt;&gt;"15",LEFT(M1603,2)&lt;&gt;"33"))),"x","")</f>
        <v/>
      </c>
      <c r="Y1603" s="39" t="str">
        <f>IF(AND(OR(LEFT(TH!L1603,2)="15",LEFT(TH!M1603,2)="15"),'152-CT'!$J$8=TH!F1603),"x","")</f>
        <v/>
      </c>
      <c r="Z1603" s="39" t="str">
        <f>IF(AND(OR(LEFT(TH!L1603,2)="15",LEFT(TH!M1603,2)="15"),TK!$E$7=TH!F1603),"x","")</f>
        <v/>
      </c>
      <c r="AA1603" s="39" t="str">
        <f>IF(AND(B1603&lt;=NKC!$N$8,B1603&gt;=NKC!$M$8),"x","")</f>
        <v/>
      </c>
      <c r="AB1603" s="821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97"/>
        <v/>
      </c>
      <c r="C1604" s="191"/>
      <c r="D1604" s="191"/>
      <c r="E1604" s="191"/>
      <c r="F1604" s="189"/>
      <c r="G1604" s="468"/>
      <c r="H1604" s="193"/>
      <c r="I1604" s="256"/>
      <c r="J1604" s="256"/>
      <c r="K1604" s="568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902" t="str">
        <f>IF(AND('341-CT'!$E$9=H1604,OR(LEFT(L1604,3)=$O$7,LEFT(M1604,3)=$O$7)),"x","")</f>
        <v/>
      </c>
      <c r="P1604" s="39" t="str">
        <f>IF(AND($B1604&gt;='111'!$N$11,$B1604&lt;='111'!$O$11,OR($L1604=$P$7,$M1604=$P$7)),"x","")</f>
        <v/>
      </c>
      <c r="Q1604" s="39" t="str">
        <f>IF(AND($L1604=$P$7,$B1604&lt;'111'!$N$11),"x","")</f>
        <v/>
      </c>
      <c r="R1604" s="39" t="str">
        <f>IF(AND($M1604=$P$7,$B1604&lt;'111'!$N$11),"x","")</f>
        <v/>
      </c>
      <c r="S1604" s="39" t="str">
        <f>IF(ISERROR(FIND('112'!$M$9,G1604,1)),"",IF((AND(FIND('112'!$M$9,G1604,1)&gt;=1,$B1604&gt;='112'!$N$8,$B1604&lt;='112'!$O$8,OR($L1604='112'!$I$6,$M1604='112'!$I$6))),"x",""))</f>
        <v/>
      </c>
      <c r="T1604" s="39" t="str">
        <f>IF(ISERROR(FIND('112'!$M$9,G1604,1)),"",IF((AND(LEFT(G1604,2)=LEFT('112'!$M$9,2),B1604&lt;'112'!$N$8,$L1604='112'!$I$6)),"x",""))</f>
        <v/>
      </c>
      <c r="U1604" s="39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39" t="str">
        <f>IF(OR(TH!L1604=TH!$W$7,M1604=TH!$W$7),"x","")</f>
        <v/>
      </c>
      <c r="X1604" s="39" t="str">
        <f>IF(AND(B1604&gt;='IN-NX'!$P$3,B1604&lt;='IN-NX'!$Q$3,'IN-NX'!$D$7=D1604,OR(LEFT(L1604,2)="15",AND(LEFT(M1604,2)&lt;&gt;"15",LEFT(M1604,2)&lt;&gt;"33"))),"x","")</f>
        <v/>
      </c>
      <c r="Y1604" s="39" t="str">
        <f>IF(AND(OR(LEFT(TH!L1604,2)="15",LEFT(TH!M1604,2)="15"),'152-CT'!$J$8=TH!F1604),"x","")</f>
        <v/>
      </c>
      <c r="Z1604" s="39" t="str">
        <f>IF(AND(OR(LEFT(TH!L1604,2)="15",LEFT(TH!M1604,2)="15"),TK!$E$7=TH!F1604),"x","")</f>
        <v/>
      </c>
      <c r="AA1604" s="39" t="str">
        <f>IF(AND(B1604&lt;=NKC!$N$8,B1604&gt;=NKC!$M$8),"x","")</f>
        <v/>
      </c>
      <c r="AB1604" s="821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97"/>
        <v/>
      </c>
      <c r="C1605" s="191"/>
      <c r="D1605" s="191"/>
      <c r="E1605" s="191"/>
      <c r="F1605" s="192"/>
      <c r="G1605" s="468"/>
      <c r="H1605" s="193"/>
      <c r="I1605" s="256"/>
      <c r="J1605" s="256"/>
      <c r="K1605" s="568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902" t="str">
        <f>IF(AND('341-CT'!$E$9=H1605,OR(LEFT(L1605,3)=$O$7,LEFT(M1605,3)=$O$7)),"x","")</f>
        <v/>
      </c>
      <c r="P1605" s="39" t="str">
        <f>IF(AND($B1605&gt;='111'!$N$11,$B1605&lt;='111'!$O$11,OR($L1605=$P$7,$M1605=$P$7)),"x","")</f>
        <v/>
      </c>
      <c r="Q1605" s="39" t="str">
        <f>IF(AND($L1605=$P$7,$B1605&lt;'111'!$N$11),"x","")</f>
        <v/>
      </c>
      <c r="R1605" s="39" t="str">
        <f>IF(AND($M1605=$P$7,$B1605&lt;'111'!$N$11),"x","")</f>
        <v/>
      </c>
      <c r="S1605" s="39" t="str">
        <f>IF(ISERROR(FIND('112'!$M$9,G1605,1)),"",IF((AND(FIND('112'!$M$9,G1605,1)&gt;=1,$B1605&gt;='112'!$N$8,$B1605&lt;='112'!$O$8,OR($L1605='112'!$I$6,$M1605='112'!$I$6))),"x",""))</f>
        <v/>
      </c>
      <c r="T1605" s="39" t="str">
        <f>IF(ISERROR(FIND('112'!$M$9,G1605,1)),"",IF((AND(LEFT(G1605,2)=LEFT('112'!$M$9,2),B1605&lt;'112'!$N$8,$L1605='112'!$I$6)),"x",""))</f>
        <v/>
      </c>
      <c r="U1605" s="39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39" t="str">
        <f>IF(OR(TH!L1605=TH!$W$7,M1605=TH!$W$7),"x","")</f>
        <v/>
      </c>
      <c r="X1605" s="39" t="str">
        <f>IF(AND(B1605&gt;='IN-NX'!$P$3,B1605&lt;='IN-NX'!$Q$3,'IN-NX'!$D$7=D1605,OR(LEFT(L1605,2)="15",AND(LEFT(M1605,2)&lt;&gt;"15",LEFT(M1605,2)&lt;&gt;"33"))),"x","")</f>
        <v/>
      </c>
      <c r="Y1605" s="39" t="str">
        <f>IF(AND(OR(LEFT(TH!L1605,2)="15",LEFT(TH!M1605,2)="15"),'152-CT'!$J$8=TH!F1605),"x","")</f>
        <v/>
      </c>
      <c r="Z1605" s="39" t="str">
        <f>IF(AND(OR(LEFT(TH!L1605,2)="15",LEFT(TH!M1605,2)="15"),TK!$E$7=TH!F1605),"x","")</f>
        <v/>
      </c>
      <c r="AA1605" s="39" t="str">
        <f>IF(AND(B1605&lt;=NKC!$N$8,B1605&gt;=NKC!$M$8),"x","")</f>
        <v/>
      </c>
      <c r="AB1605" s="821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97"/>
        <v/>
      </c>
      <c r="C1606" s="191"/>
      <c r="D1606" s="191"/>
      <c r="E1606" s="191"/>
      <c r="F1606" s="192"/>
      <c r="G1606" s="468"/>
      <c r="H1606" s="193"/>
      <c r="I1606" s="256"/>
      <c r="J1606" s="256"/>
      <c r="K1606" s="568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902" t="str">
        <f>IF(AND('341-CT'!$E$9=H1606,OR(LEFT(L1606,3)=$O$7,LEFT(M1606,3)=$O$7)),"x","")</f>
        <v/>
      </c>
      <c r="P1606" s="39" t="str">
        <f>IF(AND($B1606&gt;='111'!$N$11,$B1606&lt;='111'!$O$11,OR($L1606=$P$7,$M1606=$P$7)),"x","")</f>
        <v/>
      </c>
      <c r="Q1606" s="39" t="str">
        <f>IF(AND($L1606=$P$7,$B1606&lt;'111'!$N$11),"x","")</f>
        <v/>
      </c>
      <c r="R1606" s="39" t="str">
        <f>IF(AND($M1606=$P$7,$B1606&lt;'111'!$N$11),"x","")</f>
        <v/>
      </c>
      <c r="S1606" s="39" t="str">
        <f>IF(ISERROR(FIND('112'!$M$9,G1606,1)),"",IF((AND(FIND('112'!$M$9,G1606,1)&gt;=1,$B1606&gt;='112'!$N$8,$B1606&lt;='112'!$O$8,OR($L1606='112'!$I$6,$M1606='112'!$I$6))),"x",""))</f>
        <v/>
      </c>
      <c r="T1606" s="39" t="str">
        <f>IF(ISERROR(FIND('112'!$M$9,G1606,1)),"",IF((AND(LEFT(G1606,2)=LEFT('112'!$M$9,2),B1606&lt;'112'!$N$8,$L1606='112'!$I$6)),"x",""))</f>
        <v/>
      </c>
      <c r="U1606" s="39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39" t="str">
        <f>IF(OR(TH!L1606=TH!$W$7,M1606=TH!$W$7),"x","")</f>
        <v/>
      </c>
      <c r="X1606" s="39" t="str">
        <f>IF(AND(B1606&gt;='IN-NX'!$P$3,B1606&lt;='IN-NX'!$Q$3,'IN-NX'!$D$7=D1606,OR(LEFT(L1606,2)="15",AND(LEFT(M1606,2)&lt;&gt;"15",LEFT(M1606,2)&lt;&gt;"33"))),"x","")</f>
        <v/>
      </c>
      <c r="Y1606" s="39" t="str">
        <f>IF(AND(OR(LEFT(TH!L1606,2)="15",LEFT(TH!M1606,2)="15"),'152-CT'!$J$8=TH!F1606),"x","")</f>
        <v/>
      </c>
      <c r="Z1606" s="39" t="str">
        <f>IF(AND(OR(LEFT(TH!L1606,2)="15",LEFT(TH!M1606,2)="15"),TK!$E$7=TH!F1606),"x","")</f>
        <v/>
      </c>
      <c r="AA1606" s="39" t="str">
        <f>IF(AND(B1606&lt;=NKC!$N$8,B1606&gt;=NKC!$M$8),"x","")</f>
        <v/>
      </c>
      <c r="AB1606" s="821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97"/>
        <v/>
      </c>
      <c r="C1607" s="191"/>
      <c r="D1607" s="191"/>
      <c r="E1607" s="191"/>
      <c r="F1607" s="192"/>
      <c r="G1607" s="468"/>
      <c r="H1607" s="193"/>
      <c r="I1607" s="256"/>
      <c r="J1607" s="256"/>
      <c r="K1607" s="568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902" t="str">
        <f>IF(AND('341-CT'!$E$9=H1607,OR(LEFT(L1607,3)=$O$7,LEFT(M1607,3)=$O$7)),"x","")</f>
        <v/>
      </c>
      <c r="P1607" s="39" t="str">
        <f>IF(AND($B1607&gt;='111'!$N$11,$B1607&lt;='111'!$O$11,OR($L1607=$P$7,$M1607=$P$7)),"x","")</f>
        <v/>
      </c>
      <c r="Q1607" s="39" t="str">
        <f>IF(AND($L1607=$P$7,$B1607&lt;'111'!$N$11),"x","")</f>
        <v/>
      </c>
      <c r="R1607" s="39" t="str">
        <f>IF(AND($M1607=$P$7,$B1607&lt;'111'!$N$11),"x","")</f>
        <v/>
      </c>
      <c r="S1607" s="39" t="str">
        <f>IF(ISERROR(FIND('112'!$M$9,G1607,1)),"",IF((AND(FIND('112'!$M$9,G1607,1)&gt;=1,$B1607&gt;='112'!$N$8,$B1607&lt;='112'!$O$8,OR($L1607='112'!$I$6,$M1607='112'!$I$6))),"x",""))</f>
        <v/>
      </c>
      <c r="T1607" s="39" t="str">
        <f>IF(ISERROR(FIND('112'!$M$9,G1607,1)),"",IF((AND(LEFT(G1607,2)=LEFT('112'!$M$9,2),B1607&lt;'112'!$N$8,$L1607='112'!$I$6)),"x",""))</f>
        <v/>
      </c>
      <c r="U1607" s="39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39" t="str">
        <f>IF(OR(TH!L1607=TH!$W$7,M1607=TH!$W$7),"x","")</f>
        <v/>
      </c>
      <c r="X1607" s="39" t="str">
        <f>IF(AND(B1607&gt;='IN-NX'!$P$3,B1607&lt;='IN-NX'!$Q$3,'IN-NX'!$D$7=D1607,OR(LEFT(L1607,2)="15",AND(LEFT(M1607,2)&lt;&gt;"15",LEFT(M1607,2)&lt;&gt;"33"))),"x","")</f>
        <v/>
      </c>
      <c r="Y1607" s="39" t="str">
        <f>IF(AND(OR(LEFT(TH!L1607,2)="15",LEFT(TH!M1607,2)="15"),'152-CT'!$J$8=TH!F1607),"x","")</f>
        <v/>
      </c>
      <c r="Z1607" s="39" t="str">
        <f>IF(AND(OR(LEFT(TH!L1607,2)="15",LEFT(TH!M1607,2)="15"),TK!$E$7=TH!F1607),"x","")</f>
        <v/>
      </c>
      <c r="AA1607" s="39" t="str">
        <f>IF(AND(B1607&lt;=NKC!$N$8,B1607&gt;=NKC!$M$8),"x","")</f>
        <v/>
      </c>
      <c r="AB1607" s="821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97"/>
        <v/>
      </c>
      <c r="C1608" s="37"/>
      <c r="D1608" s="37"/>
      <c r="E1608" s="731"/>
      <c r="F1608" s="189"/>
      <c r="G1608" s="40"/>
      <c r="H1608" s="7"/>
      <c r="I1608" s="256"/>
      <c r="J1608" s="256"/>
      <c r="K1608" s="568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902" t="str">
        <f>IF(AND('341-CT'!$E$9=H1608,OR(LEFT(L1608,3)=$O$7,LEFT(M1608,3)=$O$7)),"x","")</f>
        <v/>
      </c>
      <c r="P1608" s="39" t="str">
        <f>IF(AND($B1608&gt;='111'!$N$11,$B1608&lt;='111'!$O$11,OR($L1608=$P$7,$M1608=$P$7)),"x","")</f>
        <v/>
      </c>
      <c r="Q1608" s="39" t="str">
        <f>IF(AND($L1608=$P$7,$B1608&lt;'111'!$N$11),"x","")</f>
        <v/>
      </c>
      <c r="R1608" s="39" t="str">
        <f>IF(AND($M1608=$P$7,$B1608&lt;'111'!$N$11),"x","")</f>
        <v/>
      </c>
      <c r="S1608" s="39" t="str">
        <f>IF(ISERROR(FIND('112'!$M$9,G1608,1)),"",IF((AND(FIND('112'!$M$9,G1608,1)&gt;=1,$B1608&gt;='112'!$N$8,$B1608&lt;='112'!$O$8,OR($L1608='112'!$I$6,$M1608='112'!$I$6))),"x",""))</f>
        <v/>
      </c>
      <c r="T1608" s="39" t="str">
        <f>IF(ISERROR(FIND('112'!$M$9,G1608,1)),"",IF((AND(LEFT(G1608,2)=LEFT('112'!$M$9,2),B1608&lt;'112'!$N$8,$L1608='112'!$I$6)),"x",""))</f>
        <v/>
      </c>
      <c r="U1608" s="39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39" t="str">
        <f>IF(OR(TH!L1608=TH!$W$7,M1608=TH!$W$7),"x","")</f>
        <v/>
      </c>
      <c r="X1608" s="39" t="str">
        <f>IF(AND(B1608&gt;='IN-NX'!$P$3,B1608&lt;='IN-NX'!$Q$3,'IN-NX'!$D$7=D1608,OR(LEFT(L1608,2)="15",AND(LEFT(M1608,2)&lt;&gt;"15",LEFT(M1608,2)&lt;&gt;"33"))),"x","")</f>
        <v/>
      </c>
      <c r="Y1608" s="39" t="str">
        <f>IF(AND(OR(LEFT(TH!L1608,2)="15",LEFT(TH!M1608,2)="15"),'152-CT'!$J$8=TH!F1608),"x","")</f>
        <v/>
      </c>
      <c r="Z1608" s="39" t="str">
        <f>IF(AND(OR(LEFT(TH!L1608,2)="15",LEFT(TH!M1608,2)="15"),TK!$E$7=TH!F1608),"x","")</f>
        <v/>
      </c>
      <c r="AA1608" s="39" t="str">
        <f>IF(AND(B1608&lt;=NKC!$N$8,B1608&gt;=NKC!$M$8),"x","")</f>
        <v/>
      </c>
      <c r="AB1608" s="821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97"/>
        <v/>
      </c>
      <c r="C1609" s="37"/>
      <c r="D1609" s="37"/>
      <c r="E1609" s="731"/>
      <c r="F1609" s="296"/>
      <c r="G1609" s="40"/>
      <c r="H1609" s="7"/>
      <c r="I1609" s="256"/>
      <c r="J1609" s="256"/>
      <c r="K1609" s="568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902" t="str">
        <f>IF(AND('341-CT'!$E$9=H1609,OR(LEFT(L1609,3)=$O$7,LEFT(M1609,3)=$O$7)),"x","")</f>
        <v/>
      </c>
      <c r="P1609" s="39" t="str">
        <f>IF(AND($B1609&gt;='111'!$N$11,$B1609&lt;='111'!$O$11,OR($L1609=$P$7,$M1609=$P$7)),"x","")</f>
        <v/>
      </c>
      <c r="Q1609" s="39" t="str">
        <f>IF(AND($L1609=$P$7,$B1609&lt;'111'!$N$11),"x","")</f>
        <v/>
      </c>
      <c r="R1609" s="39" t="str">
        <f>IF(AND($M1609=$P$7,$B1609&lt;'111'!$N$11),"x","")</f>
        <v/>
      </c>
      <c r="S1609" s="39" t="str">
        <f>IF(ISERROR(FIND('112'!$M$9,G1609,1)),"",IF((AND(FIND('112'!$M$9,G1609,1)&gt;=1,$B1609&gt;='112'!$N$8,$B1609&lt;='112'!$O$8,OR($L1609='112'!$I$6,$M1609='112'!$I$6))),"x",""))</f>
        <v/>
      </c>
      <c r="T1609" s="39" t="str">
        <f>IF(ISERROR(FIND('112'!$M$9,G1609,1)),"",IF((AND(LEFT(G1609,2)=LEFT('112'!$M$9,2),B1609&lt;'112'!$N$8,$L1609='112'!$I$6)),"x",""))</f>
        <v/>
      </c>
      <c r="U1609" s="39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39" t="str">
        <f>IF(OR(TH!L1609=TH!$W$7,M1609=TH!$W$7),"x","")</f>
        <v/>
      </c>
      <c r="X1609" s="39" t="str">
        <f>IF(AND(B1609&gt;='IN-NX'!$P$3,B1609&lt;='IN-NX'!$Q$3,'IN-NX'!$D$7=D1609,OR(LEFT(L1609,2)="15",AND(LEFT(M1609,2)&lt;&gt;"15",LEFT(M1609,2)&lt;&gt;"33"))),"x","")</f>
        <v/>
      </c>
      <c r="Y1609" s="39" t="str">
        <f>IF(AND(OR(LEFT(TH!L1609,2)="15",LEFT(TH!M1609,2)="15"),'152-CT'!$J$8=TH!F1609),"x","")</f>
        <v/>
      </c>
      <c r="Z1609" s="39" t="str">
        <f>IF(AND(OR(LEFT(TH!L1609,2)="15",LEFT(TH!M1609,2)="15"),TK!$E$7=TH!F1609),"x","")</f>
        <v/>
      </c>
      <c r="AA1609" s="39" t="str">
        <f>IF(AND(B1609&lt;=NKC!$N$8,B1609&gt;=NKC!$M$8),"x","")</f>
        <v/>
      </c>
      <c r="AB1609" s="821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97"/>
        <v/>
      </c>
      <c r="C1610" s="37"/>
      <c r="D1610" s="37"/>
      <c r="E1610" s="731"/>
      <c r="F1610" s="40"/>
      <c r="G1610" s="40"/>
      <c r="H1610" s="7"/>
      <c r="I1610" s="256"/>
      <c r="J1610" s="256"/>
      <c r="K1610" s="568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902" t="str">
        <f>IF(AND('341-CT'!$E$9=H1610,OR(LEFT(L1610,3)=$O$7,LEFT(M1610,3)=$O$7)),"x","")</f>
        <v/>
      </c>
      <c r="P1610" s="39" t="str">
        <f>IF(AND($B1610&gt;='111'!$N$11,$B1610&lt;='111'!$O$11,OR($L1610=$P$7,$M1610=$P$7)),"x","")</f>
        <v/>
      </c>
      <c r="Q1610" s="39" t="str">
        <f>IF(AND($L1610=$P$7,$B1610&lt;'111'!$N$11),"x","")</f>
        <v/>
      </c>
      <c r="R1610" s="39" t="str">
        <f>IF(AND($M1610=$P$7,$B1610&lt;'111'!$N$11),"x","")</f>
        <v/>
      </c>
      <c r="S1610" s="39" t="str">
        <f>IF(ISERROR(FIND('112'!$M$9,G1610,1)),"",IF((AND(FIND('112'!$M$9,G1610,1)&gt;=1,$B1610&gt;='112'!$N$8,$B1610&lt;='112'!$O$8,OR($L1610='112'!$I$6,$M1610='112'!$I$6))),"x",""))</f>
        <v/>
      </c>
      <c r="T1610" s="39" t="str">
        <f>IF(ISERROR(FIND('112'!$M$9,G1610,1)),"",IF((AND(LEFT(G1610,2)=LEFT('112'!$M$9,2),B1610&lt;'112'!$N$8,$L1610='112'!$I$6)),"x",""))</f>
        <v/>
      </c>
      <c r="U1610" s="39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39" t="str">
        <f>IF(OR(TH!L1610=TH!$W$7,M1610=TH!$W$7),"x","")</f>
        <v/>
      </c>
      <c r="X1610" s="39" t="str">
        <f>IF(AND(B1610&gt;='IN-NX'!$P$3,B1610&lt;='IN-NX'!$Q$3,'IN-NX'!$D$7=D1610,OR(LEFT(L1610,2)="15",AND(LEFT(M1610,2)&lt;&gt;"15",LEFT(M1610,2)&lt;&gt;"33"))),"x","")</f>
        <v/>
      </c>
      <c r="Y1610" s="39" t="str">
        <f>IF(AND(OR(LEFT(TH!L1610,2)="15",LEFT(TH!M1610,2)="15"),'152-CT'!$J$8=TH!F1610),"x","")</f>
        <v/>
      </c>
      <c r="Z1610" s="39" t="str">
        <f>IF(AND(OR(LEFT(TH!L1610,2)="15",LEFT(TH!M1610,2)="15"),TK!$E$7=TH!F1610),"x","")</f>
        <v/>
      </c>
      <c r="AA1610" s="39" t="str">
        <f>IF(AND(B1610&lt;=NKC!$N$8,B1610&gt;=NKC!$M$8),"x","")</f>
        <v/>
      </c>
      <c r="AB1610" s="821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97"/>
        <v/>
      </c>
      <c r="C1611" s="37"/>
      <c r="D1611" s="37"/>
      <c r="E1611" s="731"/>
      <c r="F1611" s="189"/>
      <c r="G1611" s="40"/>
      <c r="H1611" s="7"/>
      <c r="I1611" s="256"/>
      <c r="J1611" s="256"/>
      <c r="K1611" s="568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902" t="str">
        <f>IF(AND('341-CT'!$E$9=H1611,OR(LEFT(L1611,3)=$O$7,LEFT(M1611,3)=$O$7)),"x","")</f>
        <v/>
      </c>
      <c r="P1611" s="39" t="str">
        <f>IF(AND($B1611&gt;='111'!$N$11,$B1611&lt;='111'!$O$11,OR($L1611=$P$7,$M1611=$P$7)),"x","")</f>
        <v/>
      </c>
      <c r="Q1611" s="39" t="str">
        <f>IF(AND($L1611=$P$7,$B1611&lt;'111'!$N$11),"x","")</f>
        <v/>
      </c>
      <c r="R1611" s="39" t="str">
        <f>IF(AND($M1611=$P$7,$B1611&lt;'111'!$N$11),"x","")</f>
        <v/>
      </c>
      <c r="S1611" s="39" t="str">
        <f>IF(ISERROR(FIND('112'!$M$9,G1611,1)),"",IF((AND(FIND('112'!$M$9,G1611,1)&gt;=1,$B1611&gt;='112'!$N$8,$B1611&lt;='112'!$O$8,OR($L1611='112'!$I$6,$M1611='112'!$I$6))),"x",""))</f>
        <v/>
      </c>
      <c r="T1611" s="39" t="str">
        <f>IF(ISERROR(FIND('112'!$M$9,G1611,1)),"",IF((AND(LEFT(G1611,2)=LEFT('112'!$M$9,2),B1611&lt;'112'!$N$8,$L1611='112'!$I$6)),"x",""))</f>
        <v/>
      </c>
      <c r="U1611" s="39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39" t="str">
        <f>IF(OR(TH!L1611=TH!$W$7,M1611=TH!$W$7),"x","")</f>
        <v/>
      </c>
      <c r="X1611" s="39" t="str">
        <f>IF(AND(B1611&gt;='IN-NX'!$P$3,B1611&lt;='IN-NX'!$Q$3,'IN-NX'!$D$7=D1611,OR(LEFT(L1611,2)="15",AND(LEFT(M1611,2)&lt;&gt;"15",LEFT(M1611,2)&lt;&gt;"33"))),"x","")</f>
        <v/>
      </c>
      <c r="Y1611" s="39" t="str">
        <f>IF(AND(OR(LEFT(TH!L1611,2)="15",LEFT(TH!M1611,2)="15"),'152-CT'!$J$8=TH!F1611),"x","")</f>
        <v/>
      </c>
      <c r="Z1611" s="39" t="str">
        <f>IF(AND(OR(LEFT(TH!L1611,2)="15",LEFT(TH!M1611,2)="15"),TK!$E$7=TH!F1611),"x","")</f>
        <v/>
      </c>
      <c r="AA1611" s="39" t="str">
        <f>IF(AND(B1611&lt;=NKC!$N$8,B1611&gt;=NKC!$M$8),"x","")</f>
        <v/>
      </c>
      <c r="AB1611" s="821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97"/>
        <v/>
      </c>
      <c r="C1612" s="37"/>
      <c r="D1612" s="37"/>
      <c r="E1612" s="37"/>
      <c r="F1612" s="192"/>
      <c r="G1612" s="40"/>
      <c r="H1612" s="7"/>
      <c r="I1612" s="256"/>
      <c r="J1612" s="256"/>
      <c r="K1612" s="568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902" t="str">
        <f>IF(AND('341-CT'!$E$9=H1612,OR(LEFT(L1612,3)=$O$7,LEFT(M1612,3)=$O$7)),"x","")</f>
        <v/>
      </c>
      <c r="P1612" s="39" t="str">
        <f>IF(AND($B1612&gt;='111'!$N$11,$B1612&lt;='111'!$O$11,OR($L1612=$P$7,$M1612=$P$7)),"x","")</f>
        <v/>
      </c>
      <c r="Q1612" s="39" t="str">
        <f>IF(AND($L1612=$P$7,$B1612&lt;'111'!$N$11),"x","")</f>
        <v/>
      </c>
      <c r="R1612" s="39" t="str">
        <f>IF(AND($M1612=$P$7,$B1612&lt;'111'!$N$11),"x","")</f>
        <v/>
      </c>
      <c r="S1612" s="39" t="str">
        <f>IF(ISERROR(FIND('112'!$M$9,G1612,1)),"",IF((AND(FIND('112'!$M$9,G1612,1)&gt;=1,$B1612&gt;='112'!$N$8,$B1612&lt;='112'!$O$8,OR($L1612='112'!$I$6,$M1612='112'!$I$6))),"x",""))</f>
        <v/>
      </c>
      <c r="T1612" s="39" t="str">
        <f>IF(ISERROR(FIND('112'!$M$9,G1612,1)),"",IF((AND(LEFT(G1612,2)=LEFT('112'!$M$9,2),B1612&lt;'112'!$N$8,$L1612='112'!$I$6)),"x",""))</f>
        <v/>
      </c>
      <c r="U1612" s="39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39" t="str">
        <f>IF(OR(TH!L1612=TH!$W$7,M1612=TH!$W$7),"x","")</f>
        <v/>
      </c>
      <c r="X1612" s="39" t="str">
        <f>IF(AND(B1612&gt;='IN-NX'!$P$3,B1612&lt;='IN-NX'!$Q$3,'IN-NX'!$D$7=D1612,OR(LEFT(L1612,2)="15",AND(LEFT(M1612,2)&lt;&gt;"15",LEFT(M1612,2)&lt;&gt;"33"))),"x","")</f>
        <v/>
      </c>
      <c r="Y1612" s="39" t="str">
        <f>IF(AND(OR(LEFT(TH!L1612,2)="15",LEFT(TH!M1612,2)="15"),'152-CT'!$J$8=TH!F1612),"x","")</f>
        <v/>
      </c>
      <c r="Z1612" s="39" t="str">
        <f>IF(AND(OR(LEFT(TH!L1612,2)="15",LEFT(TH!M1612,2)="15"),TK!$E$7=TH!F1612),"x","")</f>
        <v/>
      </c>
      <c r="AA1612" s="39" t="str">
        <f>IF(AND(B1612&lt;=NKC!$N$8,B1612&gt;=NKC!$M$8),"x","")</f>
        <v/>
      </c>
      <c r="AB1612" s="821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97"/>
        <v/>
      </c>
      <c r="C1613" s="37"/>
      <c r="D1613" s="37"/>
      <c r="E1613" s="37"/>
      <c r="F1613" s="192"/>
      <c r="G1613" s="40"/>
      <c r="H1613" s="7"/>
      <c r="I1613" s="256"/>
      <c r="J1613" s="256"/>
      <c r="K1613" s="568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902" t="str">
        <f>IF(AND('341-CT'!$E$9=H1613,OR(LEFT(L1613,3)=$O$7,LEFT(M1613,3)=$O$7)),"x","")</f>
        <v/>
      </c>
      <c r="P1613" s="39" t="str">
        <f>IF(AND($B1613&gt;='111'!$N$11,$B1613&lt;='111'!$O$11,OR($L1613=$P$7,$M1613=$P$7)),"x","")</f>
        <v/>
      </c>
      <c r="Q1613" s="39" t="str">
        <f>IF(AND($L1613=$P$7,$B1613&lt;'111'!$N$11),"x","")</f>
        <v/>
      </c>
      <c r="R1613" s="39" t="str">
        <f>IF(AND($M1613=$P$7,$B1613&lt;'111'!$N$11),"x","")</f>
        <v/>
      </c>
      <c r="S1613" s="39" t="str">
        <f>IF(ISERROR(FIND('112'!$M$9,G1613,1)),"",IF((AND(FIND('112'!$M$9,G1613,1)&gt;=1,$B1613&gt;='112'!$N$8,$B1613&lt;='112'!$O$8,OR($L1613='112'!$I$6,$M1613='112'!$I$6))),"x",""))</f>
        <v/>
      </c>
      <c r="T1613" s="39" t="str">
        <f>IF(ISERROR(FIND('112'!$M$9,G1613,1)),"",IF((AND(LEFT(G1613,2)=LEFT('112'!$M$9,2),B1613&lt;'112'!$N$8,$L1613='112'!$I$6)),"x",""))</f>
        <v/>
      </c>
      <c r="U1613" s="39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39" t="str">
        <f>IF(OR(TH!L1613=TH!$W$7,M1613=TH!$W$7),"x","")</f>
        <v/>
      </c>
      <c r="X1613" s="39" t="str">
        <f>IF(AND(B1613&gt;='IN-NX'!$P$3,B1613&lt;='IN-NX'!$Q$3,'IN-NX'!$D$7=D1613,OR(LEFT(L1613,2)="15",AND(LEFT(M1613,2)&lt;&gt;"15",LEFT(M1613,2)&lt;&gt;"33"))),"x","")</f>
        <v/>
      </c>
      <c r="Y1613" s="39" t="str">
        <f>IF(AND(OR(LEFT(TH!L1613,2)="15",LEFT(TH!M1613,2)="15"),'152-CT'!$J$8=TH!F1613),"x","")</f>
        <v/>
      </c>
      <c r="Z1613" s="39" t="str">
        <f>IF(AND(OR(LEFT(TH!L1613,2)="15",LEFT(TH!M1613,2)="15"),TK!$E$7=TH!F1613),"x","")</f>
        <v/>
      </c>
      <c r="AA1613" s="39" t="str">
        <f>IF(AND(B1613&lt;=NKC!$N$8,B1613&gt;=NKC!$M$8),"x","")</f>
        <v/>
      </c>
      <c r="AB1613" s="821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97"/>
        <v/>
      </c>
      <c r="C1614" s="37"/>
      <c r="D1614" s="37"/>
      <c r="E1614" s="37"/>
      <c r="F1614" s="40"/>
      <c r="G1614" s="40"/>
      <c r="H1614" s="7"/>
      <c r="I1614" s="256"/>
      <c r="J1614" s="256"/>
      <c r="K1614" s="568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902" t="str">
        <f>IF(AND('341-CT'!$E$9=H1614,OR(LEFT(L1614,3)=$O$7,LEFT(M1614,3)=$O$7)),"x","")</f>
        <v/>
      </c>
      <c r="P1614" s="39" t="str">
        <f>IF(AND($B1614&gt;='111'!$N$11,$B1614&lt;='111'!$O$11,OR($L1614=$P$7,$M1614=$P$7)),"x","")</f>
        <v/>
      </c>
      <c r="Q1614" s="39" t="str">
        <f>IF(AND($L1614=$P$7,$B1614&lt;'111'!$N$11),"x","")</f>
        <v/>
      </c>
      <c r="R1614" s="39" t="str">
        <f>IF(AND($M1614=$P$7,$B1614&lt;'111'!$N$11),"x","")</f>
        <v/>
      </c>
      <c r="S1614" s="39" t="str">
        <f>IF(ISERROR(FIND('112'!$M$9,G1614,1)),"",IF((AND(FIND('112'!$M$9,G1614,1)&gt;=1,$B1614&gt;='112'!$N$8,$B1614&lt;='112'!$O$8,OR($L1614='112'!$I$6,$M1614='112'!$I$6))),"x",""))</f>
        <v/>
      </c>
      <c r="T1614" s="39" t="str">
        <f>IF(ISERROR(FIND('112'!$M$9,G1614,1)),"",IF((AND(LEFT(G1614,2)=LEFT('112'!$M$9,2),B1614&lt;'112'!$N$8,$L1614='112'!$I$6)),"x",""))</f>
        <v/>
      </c>
      <c r="U1614" s="39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39" t="str">
        <f>IF(OR(TH!L1614=TH!$W$7,M1614=TH!$W$7),"x","")</f>
        <v/>
      </c>
      <c r="X1614" s="39" t="str">
        <f>IF(AND(B1614&gt;='IN-NX'!$P$3,B1614&lt;='IN-NX'!$Q$3,'IN-NX'!$D$7=D1614,OR(LEFT(L1614,2)="15",AND(LEFT(M1614,2)&lt;&gt;"15",LEFT(M1614,2)&lt;&gt;"33"))),"x","")</f>
        <v/>
      </c>
      <c r="Y1614" s="39" t="str">
        <f>IF(AND(OR(LEFT(TH!L1614,2)="15",LEFT(TH!M1614,2)="15"),'152-CT'!$J$8=TH!F1614),"x","")</f>
        <v/>
      </c>
      <c r="Z1614" s="39" t="str">
        <f>IF(AND(OR(LEFT(TH!L1614,2)="15",LEFT(TH!M1614,2)="15"),TK!$E$7=TH!F1614),"x","")</f>
        <v/>
      </c>
      <c r="AA1614" s="39" t="str">
        <f>IF(AND(B1614&lt;=NKC!$N$8,B1614&gt;=NKC!$M$8),"x","")</f>
        <v/>
      </c>
      <c r="AB1614" s="821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97"/>
        <v/>
      </c>
      <c r="C1615" s="37"/>
      <c r="D1615" s="37"/>
      <c r="E1615" s="37"/>
      <c r="F1615" s="40"/>
      <c r="G1615" s="40"/>
      <c r="H1615" s="7"/>
      <c r="I1615" s="256"/>
      <c r="J1615" s="256"/>
      <c r="K1615" s="568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902" t="str">
        <f>IF(AND('341-CT'!$E$9=H1615,OR(LEFT(L1615,3)=$O$7,LEFT(M1615,3)=$O$7)),"x","")</f>
        <v/>
      </c>
      <c r="P1615" s="39" t="str">
        <f>IF(AND($B1615&gt;='111'!$N$11,$B1615&lt;='111'!$O$11,OR($L1615=$P$7,$M1615=$P$7)),"x","")</f>
        <v/>
      </c>
      <c r="Q1615" s="39" t="str">
        <f>IF(AND($L1615=$P$7,$B1615&lt;'111'!$N$11),"x","")</f>
        <v/>
      </c>
      <c r="R1615" s="39" t="str">
        <f>IF(AND($M1615=$P$7,$B1615&lt;'111'!$N$11),"x","")</f>
        <v/>
      </c>
      <c r="S1615" s="39" t="str">
        <f>IF(ISERROR(FIND('112'!$M$9,G1615,1)),"",IF((AND(FIND('112'!$M$9,G1615,1)&gt;=1,$B1615&gt;='112'!$N$8,$B1615&lt;='112'!$O$8,OR($L1615='112'!$I$6,$M1615='112'!$I$6))),"x",""))</f>
        <v/>
      </c>
      <c r="T1615" s="39" t="str">
        <f>IF(ISERROR(FIND('112'!$M$9,G1615,1)),"",IF((AND(LEFT(G1615,2)=LEFT('112'!$M$9,2),B1615&lt;'112'!$N$8,$L1615='112'!$I$6)),"x",""))</f>
        <v/>
      </c>
      <c r="U1615" s="39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39" t="str">
        <f>IF(OR(TH!L1615=TH!$W$7,M1615=TH!$W$7),"x","")</f>
        <v/>
      </c>
      <c r="X1615" s="39" t="str">
        <f>IF(AND(B1615&gt;='IN-NX'!$P$3,B1615&lt;='IN-NX'!$Q$3,'IN-NX'!$D$7=D1615,OR(LEFT(L1615,2)="15",AND(LEFT(M1615,2)&lt;&gt;"15",LEFT(M1615,2)&lt;&gt;"33"))),"x","")</f>
        <v/>
      </c>
      <c r="Y1615" s="39" t="str">
        <f>IF(AND(OR(LEFT(TH!L1615,2)="15",LEFT(TH!M1615,2)="15"),'152-CT'!$J$8=TH!F1615),"x","")</f>
        <v/>
      </c>
      <c r="Z1615" s="39" t="str">
        <f>IF(AND(OR(LEFT(TH!L1615,2)="15",LEFT(TH!M1615,2)="15"),TK!$E$7=TH!F1615),"x","")</f>
        <v/>
      </c>
      <c r="AA1615" s="39" t="str">
        <f>IF(AND(B1615&lt;=NKC!$N$8,B1615&gt;=NKC!$M$8),"x","")</f>
        <v/>
      </c>
      <c r="AB1615" s="821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97"/>
        <v/>
      </c>
      <c r="C1616" s="37"/>
      <c r="D1616" s="37"/>
      <c r="E1616" s="37"/>
      <c r="F1616" s="192"/>
      <c r="G1616" s="40"/>
      <c r="H1616" s="7"/>
      <c r="I1616" s="256"/>
      <c r="J1616" s="256"/>
      <c r="K1616" s="568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902" t="str">
        <f>IF(AND('341-CT'!$E$9=H1616,OR(LEFT(L1616,3)=$O$7,LEFT(M1616,3)=$O$7)),"x","")</f>
        <v/>
      </c>
      <c r="P1616" s="39" t="str">
        <f>IF(AND($B1616&gt;='111'!$N$11,$B1616&lt;='111'!$O$11,OR($L1616=$P$7,$M1616=$P$7)),"x","")</f>
        <v/>
      </c>
      <c r="Q1616" s="39" t="str">
        <f>IF(AND($L1616=$P$7,$B1616&lt;'111'!$N$11),"x","")</f>
        <v/>
      </c>
      <c r="R1616" s="39" t="str">
        <f>IF(AND($M1616=$P$7,$B1616&lt;'111'!$N$11),"x","")</f>
        <v/>
      </c>
      <c r="S1616" s="39" t="str">
        <f>IF(ISERROR(FIND('112'!$M$9,G1616,1)),"",IF((AND(FIND('112'!$M$9,G1616,1)&gt;=1,$B1616&gt;='112'!$N$8,$B1616&lt;='112'!$O$8,OR($L1616='112'!$I$6,$M1616='112'!$I$6))),"x",""))</f>
        <v/>
      </c>
      <c r="T1616" s="39" t="str">
        <f>IF(ISERROR(FIND('112'!$M$9,G1616,1)),"",IF((AND(LEFT(G1616,2)=LEFT('112'!$M$9,2),B1616&lt;'112'!$N$8,$L1616='112'!$I$6)),"x",""))</f>
        <v/>
      </c>
      <c r="U1616" s="39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39" t="str">
        <f>IF(OR(TH!L1616=TH!$W$7,M1616=TH!$W$7),"x","")</f>
        <v/>
      </c>
      <c r="X1616" s="39" t="str">
        <f>IF(AND(B1616&gt;='IN-NX'!$P$3,B1616&lt;='IN-NX'!$Q$3,'IN-NX'!$D$7=D1616,OR(LEFT(L1616,2)="15",AND(LEFT(M1616,2)&lt;&gt;"15",LEFT(M1616,2)&lt;&gt;"33"))),"x","")</f>
        <v/>
      </c>
      <c r="Y1616" s="39" t="str">
        <f>IF(AND(OR(LEFT(TH!L1616,2)="15",LEFT(TH!M1616,2)="15"),'152-CT'!$J$8=TH!F1616),"x","")</f>
        <v/>
      </c>
      <c r="Z1616" s="39" t="str">
        <f>IF(AND(OR(LEFT(TH!L1616,2)="15",LEFT(TH!M1616,2)="15"),TK!$E$7=TH!F1616),"x","")</f>
        <v/>
      </c>
      <c r="AA1616" s="39" t="str">
        <f>IF(AND(B1616&lt;=NKC!$N$8,B1616&gt;=NKC!$M$8),"x","")</f>
        <v/>
      </c>
      <c r="AB1616" s="821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97"/>
        <v/>
      </c>
      <c r="C1617" s="37"/>
      <c r="D1617" s="37"/>
      <c r="E1617" s="37"/>
      <c r="F1617" s="189"/>
      <c r="G1617" s="40"/>
      <c r="H1617" s="7"/>
      <c r="I1617" s="256"/>
      <c r="J1617" s="256"/>
      <c r="K1617" s="568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902" t="str">
        <f>IF(AND('341-CT'!$E$9=H1617,OR(LEFT(L1617,3)=$O$7,LEFT(M1617,3)=$O$7)),"x","")</f>
        <v/>
      </c>
      <c r="P1617" s="39" t="str">
        <f>IF(AND($B1617&gt;='111'!$N$11,$B1617&lt;='111'!$O$11,OR($L1617=$P$7,$M1617=$P$7)),"x","")</f>
        <v/>
      </c>
      <c r="Q1617" s="39" t="str">
        <f>IF(AND($L1617=$P$7,$B1617&lt;'111'!$N$11),"x","")</f>
        <v/>
      </c>
      <c r="R1617" s="39" t="str">
        <f>IF(AND($M1617=$P$7,$B1617&lt;'111'!$N$11),"x","")</f>
        <v/>
      </c>
      <c r="S1617" s="39" t="str">
        <f>IF(ISERROR(FIND('112'!$M$9,G1617,1)),"",IF((AND(FIND('112'!$M$9,G1617,1)&gt;=1,$B1617&gt;='112'!$N$8,$B1617&lt;='112'!$O$8,OR($L1617='112'!$I$6,$M1617='112'!$I$6))),"x",""))</f>
        <v/>
      </c>
      <c r="T1617" s="39" t="str">
        <f>IF(ISERROR(FIND('112'!$M$9,G1617,1)),"",IF((AND(LEFT(G1617,2)=LEFT('112'!$M$9,2),B1617&lt;'112'!$N$8,$L1617='112'!$I$6)),"x",""))</f>
        <v/>
      </c>
      <c r="U1617" s="39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39" t="str">
        <f>IF(OR(TH!L1617=TH!$W$7,M1617=TH!$W$7),"x","")</f>
        <v/>
      </c>
      <c r="X1617" s="39" t="str">
        <f>IF(AND(B1617&gt;='IN-NX'!$P$3,B1617&lt;='IN-NX'!$Q$3,'IN-NX'!$D$7=D1617,OR(LEFT(L1617,2)="15",AND(LEFT(M1617,2)&lt;&gt;"15",LEFT(M1617,2)&lt;&gt;"33"))),"x","")</f>
        <v/>
      </c>
      <c r="Y1617" s="39" t="str">
        <f>IF(AND(OR(LEFT(TH!L1617,2)="15",LEFT(TH!M1617,2)="15"),'152-CT'!$J$8=TH!F1617),"x","")</f>
        <v/>
      </c>
      <c r="Z1617" s="39" t="str">
        <f>IF(AND(OR(LEFT(TH!L1617,2)="15",LEFT(TH!M1617,2)="15"),TK!$E$7=TH!F1617),"x","")</f>
        <v/>
      </c>
      <c r="AA1617" s="39" t="str">
        <f>IF(AND(B1617&lt;=NKC!$N$8,B1617&gt;=NKC!$M$8),"x","")</f>
        <v/>
      </c>
      <c r="AB1617" s="821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97"/>
        <v/>
      </c>
      <c r="C1618" s="37"/>
      <c r="D1618" s="37"/>
      <c r="E1618" s="37"/>
      <c r="F1618" s="40"/>
      <c r="G1618" s="40"/>
      <c r="H1618" s="7"/>
      <c r="I1618" s="256"/>
      <c r="J1618" s="256"/>
      <c r="K1618" s="568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902" t="str">
        <f>IF(AND('341-CT'!$E$9=H1618,OR(LEFT(L1618,3)=$O$7,LEFT(M1618,3)=$O$7)),"x","")</f>
        <v/>
      </c>
      <c r="P1618" s="39" t="str">
        <f>IF(AND($B1618&gt;='111'!$N$11,$B1618&lt;='111'!$O$11,OR($L1618=$P$7,$M1618=$P$7)),"x","")</f>
        <v/>
      </c>
      <c r="Q1618" s="39" t="str">
        <f>IF(AND($L1618=$P$7,$B1618&lt;'111'!$N$11),"x","")</f>
        <v/>
      </c>
      <c r="R1618" s="39" t="str">
        <f>IF(AND($M1618=$P$7,$B1618&lt;'111'!$N$11),"x","")</f>
        <v/>
      </c>
      <c r="S1618" s="39" t="str">
        <f>IF(ISERROR(FIND('112'!$M$9,G1618,1)),"",IF((AND(FIND('112'!$M$9,G1618,1)&gt;=1,$B1618&gt;='112'!$N$8,$B1618&lt;='112'!$O$8,OR($L1618='112'!$I$6,$M1618='112'!$I$6))),"x",""))</f>
        <v/>
      </c>
      <c r="T1618" s="39" t="str">
        <f>IF(ISERROR(FIND('112'!$M$9,G1618,1)),"",IF((AND(LEFT(G1618,2)=LEFT('112'!$M$9,2),B1618&lt;'112'!$N$8,$L1618='112'!$I$6)),"x",""))</f>
        <v/>
      </c>
      <c r="U1618" s="39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39" t="str">
        <f>IF(OR(TH!L1618=TH!$W$7,M1618=TH!$W$7),"x","")</f>
        <v/>
      </c>
      <c r="X1618" s="39" t="str">
        <f>IF(AND(B1618&gt;='IN-NX'!$P$3,B1618&lt;='IN-NX'!$Q$3,'IN-NX'!$D$7=D1618,OR(LEFT(L1618,2)="15",AND(LEFT(M1618,2)&lt;&gt;"15",LEFT(M1618,2)&lt;&gt;"33"))),"x","")</f>
        <v/>
      </c>
      <c r="Y1618" s="39" t="str">
        <f>IF(AND(OR(LEFT(TH!L1618,2)="15",LEFT(TH!M1618,2)="15"),'152-CT'!$J$8=TH!F1618),"x","")</f>
        <v/>
      </c>
      <c r="Z1618" s="39" t="str">
        <f>IF(AND(OR(LEFT(TH!L1618,2)="15",LEFT(TH!M1618,2)="15"),TK!$E$7=TH!F1618),"x","")</f>
        <v/>
      </c>
      <c r="AA1618" s="39" t="str">
        <f>IF(AND(B1618&lt;=NKC!$N$8,B1618&gt;=NKC!$M$8),"x","")</f>
        <v/>
      </c>
      <c r="AB1618" s="821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97"/>
        <v/>
      </c>
      <c r="C1619" s="37"/>
      <c r="D1619" s="37"/>
      <c r="E1619" s="37"/>
      <c r="F1619" s="40"/>
      <c r="G1619" s="40"/>
      <c r="H1619" s="7"/>
      <c r="I1619" s="256"/>
      <c r="J1619" s="256"/>
      <c r="K1619" s="56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902" t="str">
        <f>IF(AND('341-CT'!$E$9=H1619,OR(LEFT(L1619,3)=$O$7,LEFT(M1619,3)=$O$7)),"x","")</f>
        <v/>
      </c>
      <c r="P1619" s="39" t="str">
        <f>IF(AND($B1619&gt;='111'!$N$11,$B1619&lt;='111'!$O$11,OR($L1619=$P$7,$M1619=$P$7)),"x","")</f>
        <v/>
      </c>
      <c r="Q1619" s="39" t="str">
        <f>IF(AND($L1619=$P$7,$B1619&lt;'111'!$N$11),"x","")</f>
        <v/>
      </c>
      <c r="R1619" s="39" t="str">
        <f>IF(AND($M1619=$P$7,$B1619&lt;'111'!$N$11),"x","")</f>
        <v/>
      </c>
      <c r="S1619" s="39" t="str">
        <f>IF(ISERROR(FIND('112'!$M$9,G1619,1)),"",IF((AND(FIND('112'!$M$9,G1619,1)&gt;=1,$B1619&gt;='112'!$N$8,$B1619&lt;='112'!$O$8,OR($L1619='112'!$I$6,$M1619='112'!$I$6))),"x",""))</f>
        <v/>
      </c>
      <c r="T1619" s="39" t="str">
        <f>IF(ISERROR(FIND('112'!$M$9,G1619,1)),"",IF((AND(LEFT(G1619,2)=LEFT('112'!$M$9,2),B1619&lt;'112'!$N$8,$L1619='112'!$I$6)),"x",""))</f>
        <v/>
      </c>
      <c r="U1619" s="39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39" t="str">
        <f>IF(OR(TH!L1619=TH!$W$7,M1619=TH!$W$7),"x","")</f>
        <v/>
      </c>
      <c r="X1619" s="39" t="str">
        <f>IF(AND(B1619&gt;='IN-NX'!$P$3,B1619&lt;='IN-NX'!$Q$3,'IN-NX'!$D$7=D1619,OR(LEFT(L1619,2)="15",AND(LEFT(M1619,2)&lt;&gt;"15",LEFT(M1619,2)&lt;&gt;"33"))),"x","")</f>
        <v/>
      </c>
      <c r="Y1619" s="39" t="str">
        <f>IF(AND(OR(LEFT(TH!L1619,2)="15",LEFT(TH!M1619,2)="15"),'152-CT'!$J$8=TH!F1619),"x","")</f>
        <v/>
      </c>
      <c r="Z1619" s="39" t="str">
        <f>IF(AND(OR(LEFT(TH!L1619,2)="15",LEFT(TH!M1619,2)="15"),TK!$E$7=TH!F1619),"x","")</f>
        <v/>
      </c>
      <c r="AA1619" s="39" t="str">
        <f>IF(AND(B1619&lt;=NKC!$N$8,B1619&gt;=NKC!$M$8),"x","")</f>
        <v/>
      </c>
      <c r="AB1619" s="821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97"/>
        <v/>
      </c>
      <c r="C1620" s="37"/>
      <c r="D1620" s="37"/>
      <c r="E1620" s="37"/>
      <c r="F1620" s="192"/>
      <c r="G1620" s="40"/>
      <c r="H1620" s="7"/>
      <c r="I1620" s="256"/>
      <c r="J1620" s="256"/>
      <c r="K1620" s="56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902" t="str">
        <f>IF(AND('341-CT'!$E$9=H1620,OR(LEFT(L1620,3)=$O$7,LEFT(M1620,3)=$O$7)),"x","")</f>
        <v/>
      </c>
      <c r="P1620" s="39" t="str">
        <f>IF(AND($B1620&gt;='111'!$N$11,$B1620&lt;='111'!$O$11,OR($L1620=$P$7,$M1620=$P$7)),"x","")</f>
        <v/>
      </c>
      <c r="Q1620" s="39" t="str">
        <f>IF(AND($L1620=$P$7,$B1620&lt;'111'!$N$11),"x","")</f>
        <v/>
      </c>
      <c r="R1620" s="39" t="str">
        <f>IF(AND($M1620=$P$7,$B1620&lt;'111'!$N$11),"x","")</f>
        <v/>
      </c>
      <c r="S1620" s="39" t="str">
        <f>IF(ISERROR(FIND('112'!$M$9,G1620,1)),"",IF((AND(FIND('112'!$M$9,G1620,1)&gt;=1,$B1620&gt;='112'!$N$8,$B1620&lt;='112'!$O$8,OR($L1620='112'!$I$6,$M1620='112'!$I$6))),"x",""))</f>
        <v/>
      </c>
      <c r="T1620" s="39" t="str">
        <f>IF(ISERROR(FIND('112'!$M$9,G1620,1)),"",IF((AND(LEFT(G1620,2)=LEFT('112'!$M$9,2),B1620&lt;'112'!$N$8,$L1620='112'!$I$6)),"x",""))</f>
        <v/>
      </c>
      <c r="U1620" s="39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39" t="str">
        <f>IF(OR(TH!L1620=TH!$W$7,M1620=TH!$W$7),"x","")</f>
        <v/>
      </c>
      <c r="X1620" s="39" t="str">
        <f>IF(AND(B1620&gt;='IN-NX'!$P$3,B1620&lt;='IN-NX'!$Q$3,'IN-NX'!$D$7=D1620,OR(LEFT(L1620,2)="15",AND(LEFT(M1620,2)&lt;&gt;"15",LEFT(M1620,2)&lt;&gt;"33"))),"x","")</f>
        <v/>
      </c>
      <c r="Y1620" s="39" t="str">
        <f>IF(AND(OR(LEFT(TH!L1620,2)="15",LEFT(TH!M1620,2)="15"),'152-CT'!$J$8=TH!F1620),"x","")</f>
        <v/>
      </c>
      <c r="Z1620" s="39" t="str">
        <f>IF(AND(OR(LEFT(TH!L1620,2)="15",LEFT(TH!M1620,2)="15"),TK!$E$7=TH!F1620),"x","")</f>
        <v/>
      </c>
      <c r="AA1620" s="39" t="str">
        <f>IF(AND(B1620&lt;=NKC!$N$8,B1620&gt;=NKC!$M$8),"x","")</f>
        <v/>
      </c>
      <c r="AB1620" s="821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97"/>
        <v/>
      </c>
      <c r="C1621" s="37"/>
      <c r="D1621" s="37"/>
      <c r="E1621" s="37"/>
      <c r="F1621" s="192"/>
      <c r="G1621" s="40"/>
      <c r="H1621" s="7"/>
      <c r="I1621" s="256"/>
      <c r="J1621" s="256"/>
      <c r="K1621" s="56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902" t="str">
        <f>IF(AND('341-CT'!$E$9=H1621,OR(LEFT(L1621,3)=$O$7,LEFT(M1621,3)=$O$7)),"x","")</f>
        <v/>
      </c>
      <c r="P1621" s="39" t="str">
        <f>IF(AND($B1621&gt;='111'!$N$11,$B1621&lt;='111'!$O$11,OR($L1621=$P$7,$M1621=$P$7)),"x","")</f>
        <v/>
      </c>
      <c r="Q1621" s="39" t="str">
        <f>IF(AND($L1621=$P$7,$B1621&lt;'111'!$N$11),"x","")</f>
        <v/>
      </c>
      <c r="R1621" s="39" t="str">
        <f>IF(AND($M1621=$P$7,$B1621&lt;'111'!$N$11),"x","")</f>
        <v/>
      </c>
      <c r="S1621" s="39" t="str">
        <f>IF(ISERROR(FIND('112'!$M$9,G1621,1)),"",IF((AND(FIND('112'!$M$9,G1621,1)&gt;=1,$B1621&gt;='112'!$N$8,$B1621&lt;='112'!$O$8,OR($L1621='112'!$I$6,$M1621='112'!$I$6))),"x",""))</f>
        <v/>
      </c>
      <c r="T1621" s="39" t="str">
        <f>IF(ISERROR(FIND('112'!$M$9,G1621,1)),"",IF((AND(LEFT(G1621,2)=LEFT('112'!$M$9,2),B1621&lt;'112'!$N$8,$L1621='112'!$I$6)),"x",""))</f>
        <v/>
      </c>
      <c r="U1621" s="39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39" t="str">
        <f>IF(OR(TH!L1621=TH!$W$7,M1621=TH!$W$7),"x","")</f>
        <v/>
      </c>
      <c r="X1621" s="39" t="str">
        <f>IF(AND(B1621&gt;='IN-NX'!$P$3,B1621&lt;='IN-NX'!$Q$3,'IN-NX'!$D$7=D1621,OR(LEFT(L1621,2)="15",AND(LEFT(M1621,2)&lt;&gt;"15",LEFT(M1621,2)&lt;&gt;"33"))),"x","")</f>
        <v/>
      </c>
      <c r="Y1621" s="39" t="str">
        <f>IF(AND(OR(LEFT(TH!L1621,2)="15",LEFT(TH!M1621,2)="15"),'152-CT'!$J$8=TH!F1621),"x","")</f>
        <v/>
      </c>
      <c r="Z1621" s="39" t="str">
        <f>IF(AND(OR(LEFT(TH!L1621,2)="15",LEFT(TH!M1621,2)="15"),TK!$E$7=TH!F1621),"x","")</f>
        <v/>
      </c>
      <c r="AA1621" s="39" t="str">
        <f>IF(AND(B1621&lt;=NKC!$N$8,B1621&gt;=NKC!$M$8),"x","")</f>
        <v/>
      </c>
      <c r="AB1621" s="821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97"/>
        <v/>
      </c>
      <c r="C1622" s="37"/>
      <c r="D1622" s="37"/>
      <c r="E1622" s="37"/>
      <c r="F1622" s="40"/>
      <c r="G1622" s="40"/>
      <c r="H1622" s="7"/>
      <c r="I1622" s="256"/>
      <c r="J1622" s="256"/>
      <c r="K1622" s="56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902" t="str">
        <f>IF(AND('341-CT'!$E$9=H1622,OR(LEFT(L1622,3)=$O$7,LEFT(M1622,3)=$O$7)),"x","")</f>
        <v/>
      </c>
      <c r="P1622" s="39" t="str">
        <f>IF(AND($B1622&gt;='111'!$N$11,$B1622&lt;='111'!$O$11,OR($L1622=$P$7,$M1622=$P$7)),"x","")</f>
        <v/>
      </c>
      <c r="Q1622" s="39" t="str">
        <f>IF(AND($L1622=$P$7,$B1622&lt;'111'!$N$11),"x","")</f>
        <v/>
      </c>
      <c r="R1622" s="39" t="str">
        <f>IF(AND($M1622=$P$7,$B1622&lt;'111'!$N$11),"x","")</f>
        <v/>
      </c>
      <c r="S1622" s="39" t="str">
        <f>IF(ISERROR(FIND('112'!$M$9,G1622,1)),"",IF((AND(FIND('112'!$M$9,G1622,1)&gt;=1,$B1622&gt;='112'!$N$8,$B1622&lt;='112'!$O$8,OR($L1622='112'!$I$6,$M1622='112'!$I$6))),"x",""))</f>
        <v/>
      </c>
      <c r="T1622" s="39" t="str">
        <f>IF(ISERROR(FIND('112'!$M$9,G1622,1)),"",IF((AND(LEFT(G1622,2)=LEFT('112'!$M$9,2),B1622&lt;'112'!$N$8,$L1622='112'!$I$6)),"x",""))</f>
        <v/>
      </c>
      <c r="U1622" s="39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39" t="str">
        <f>IF(OR(TH!L1622=TH!$W$7,M1622=TH!$W$7),"x","")</f>
        <v/>
      </c>
      <c r="X1622" s="39" t="str">
        <f>IF(AND(B1622&gt;='IN-NX'!$P$3,B1622&lt;='IN-NX'!$Q$3,'IN-NX'!$D$7=D1622,OR(LEFT(L1622,2)="15",AND(LEFT(M1622,2)&lt;&gt;"15",LEFT(M1622,2)&lt;&gt;"33"))),"x","")</f>
        <v/>
      </c>
      <c r="Y1622" s="39" t="str">
        <f>IF(AND(OR(LEFT(TH!L1622,2)="15",LEFT(TH!M1622,2)="15"),'152-CT'!$J$8=TH!F1622),"x","")</f>
        <v/>
      </c>
      <c r="Z1622" s="39" t="str">
        <f>IF(AND(OR(LEFT(TH!L1622,2)="15",LEFT(TH!M1622,2)="15"),TK!$E$7=TH!F1622),"x","")</f>
        <v/>
      </c>
      <c r="AA1622" s="39" t="str">
        <f>IF(AND(B1622&lt;=NKC!$N$8,B1622&gt;=NKC!$M$8),"x","")</f>
        <v/>
      </c>
      <c r="AB1622" s="821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97"/>
        <v/>
      </c>
      <c r="C1623" s="37"/>
      <c r="D1623" s="37"/>
      <c r="E1623" s="37"/>
      <c r="F1623" s="40"/>
      <c r="G1623" s="40"/>
      <c r="H1623" s="7"/>
      <c r="I1623" s="256"/>
      <c r="J1623" s="256"/>
      <c r="K1623" s="56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902" t="str">
        <f>IF(AND('341-CT'!$E$9=H1623,OR(LEFT(L1623,3)=$O$7,LEFT(M1623,3)=$O$7)),"x","")</f>
        <v/>
      </c>
      <c r="P1623" s="39" t="str">
        <f>IF(AND($B1623&gt;='111'!$N$11,$B1623&lt;='111'!$O$11,OR($L1623=$P$7,$M1623=$P$7)),"x","")</f>
        <v/>
      </c>
      <c r="Q1623" s="39" t="str">
        <f>IF(AND($L1623=$P$7,$B1623&lt;'111'!$N$11),"x","")</f>
        <v/>
      </c>
      <c r="R1623" s="39" t="str">
        <f>IF(AND($M1623=$P$7,$B1623&lt;'111'!$N$11),"x","")</f>
        <v/>
      </c>
      <c r="S1623" s="39" t="str">
        <f>IF(ISERROR(FIND('112'!$M$9,G1623,1)),"",IF((AND(FIND('112'!$M$9,G1623,1)&gt;=1,$B1623&gt;='112'!$N$8,$B1623&lt;='112'!$O$8,OR($L1623='112'!$I$6,$M1623='112'!$I$6))),"x",""))</f>
        <v/>
      </c>
      <c r="T1623" s="39" t="str">
        <f>IF(ISERROR(FIND('112'!$M$9,G1623,1)),"",IF((AND(LEFT(G1623,2)=LEFT('112'!$M$9,2),B1623&lt;'112'!$N$8,$L1623='112'!$I$6)),"x",""))</f>
        <v/>
      </c>
      <c r="U1623" s="39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39" t="str">
        <f>IF(OR(TH!L1623=TH!$W$7,M1623=TH!$W$7),"x","")</f>
        <v/>
      </c>
      <c r="X1623" s="39" t="str">
        <f>IF(AND(B1623&gt;='IN-NX'!$P$3,B1623&lt;='IN-NX'!$Q$3,'IN-NX'!$D$7=D1623,OR(LEFT(L1623,2)="15",AND(LEFT(M1623,2)&lt;&gt;"15",LEFT(M1623,2)&lt;&gt;"33"))),"x","")</f>
        <v/>
      </c>
      <c r="Y1623" s="39" t="str">
        <f>IF(AND(OR(LEFT(TH!L1623,2)="15",LEFT(TH!M1623,2)="15"),'152-CT'!$J$8=TH!F1623),"x","")</f>
        <v/>
      </c>
      <c r="Z1623" s="39" t="str">
        <f>IF(AND(OR(LEFT(TH!L1623,2)="15",LEFT(TH!M1623,2)="15"),TK!$E$7=TH!F1623),"x","")</f>
        <v/>
      </c>
      <c r="AA1623" s="39" t="str">
        <f>IF(AND(B1623&lt;=NKC!$N$8,B1623&gt;=NKC!$M$8),"x","")</f>
        <v/>
      </c>
      <c r="AB1623" s="821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97"/>
        <v/>
      </c>
      <c r="C1624" s="37"/>
      <c r="D1624" s="37"/>
      <c r="E1624" s="37"/>
      <c r="F1624" s="192"/>
      <c r="G1624" s="40"/>
      <c r="H1624" s="7"/>
      <c r="I1624" s="256"/>
      <c r="J1624" s="256"/>
      <c r="K1624" s="56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902" t="str">
        <f>IF(AND('341-CT'!$E$9=H1624,OR(LEFT(L1624,3)=$O$7,LEFT(M1624,3)=$O$7)),"x","")</f>
        <v/>
      </c>
      <c r="P1624" s="39" t="str">
        <f>IF(AND($B1624&gt;='111'!$N$11,$B1624&lt;='111'!$O$11,OR($L1624=$P$7,$M1624=$P$7)),"x","")</f>
        <v/>
      </c>
      <c r="Q1624" s="39" t="str">
        <f>IF(AND($L1624=$P$7,$B1624&lt;'111'!$N$11),"x","")</f>
        <v/>
      </c>
      <c r="R1624" s="39" t="str">
        <f>IF(AND($M1624=$P$7,$B1624&lt;'111'!$N$11),"x","")</f>
        <v/>
      </c>
      <c r="S1624" s="39" t="str">
        <f>IF(ISERROR(FIND('112'!$M$9,G1624,1)),"",IF((AND(FIND('112'!$M$9,G1624,1)&gt;=1,$B1624&gt;='112'!$N$8,$B1624&lt;='112'!$O$8,OR($L1624='112'!$I$6,$M1624='112'!$I$6))),"x",""))</f>
        <v/>
      </c>
      <c r="T1624" s="39" t="str">
        <f>IF(ISERROR(FIND('112'!$M$9,G1624,1)),"",IF((AND(LEFT(G1624,2)=LEFT('112'!$M$9,2),B1624&lt;'112'!$N$8,$L1624='112'!$I$6)),"x",""))</f>
        <v/>
      </c>
      <c r="U1624" s="39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39" t="str">
        <f>IF(OR(TH!L1624=TH!$W$7,M1624=TH!$W$7),"x","")</f>
        <v/>
      </c>
      <c r="X1624" s="39" t="str">
        <f>IF(AND(B1624&gt;='IN-NX'!$P$3,B1624&lt;='IN-NX'!$Q$3,'IN-NX'!$D$7=D1624,OR(LEFT(L1624,2)="15",AND(LEFT(M1624,2)&lt;&gt;"15",LEFT(M1624,2)&lt;&gt;"33"))),"x","")</f>
        <v/>
      </c>
      <c r="Y1624" s="39" t="str">
        <f>IF(AND(OR(LEFT(TH!L1624,2)="15",LEFT(TH!M1624,2)="15"),'152-CT'!$J$8=TH!F1624),"x","")</f>
        <v/>
      </c>
      <c r="Z1624" s="39" t="str">
        <f>IF(AND(OR(LEFT(TH!L1624,2)="15",LEFT(TH!M1624,2)="15"),TK!$E$7=TH!F1624),"x","")</f>
        <v/>
      </c>
      <c r="AA1624" s="39" t="str">
        <f>IF(AND(B1624&lt;=NKC!$N$8,B1624&gt;=NKC!$M$8),"x","")</f>
        <v/>
      </c>
      <c r="AB1624" s="821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si="97"/>
        <v/>
      </c>
      <c r="C1625" s="37"/>
      <c r="D1625" s="37"/>
      <c r="E1625" s="37"/>
      <c r="F1625" s="189"/>
      <c r="G1625" s="40"/>
      <c r="H1625" s="7"/>
      <c r="I1625" s="256"/>
      <c r="J1625" s="256"/>
      <c r="K1625" s="56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902" t="str">
        <f>IF(AND('341-CT'!$E$9=H1625,OR(LEFT(L1625,3)=$O$7,LEFT(M1625,3)=$O$7)),"x","")</f>
        <v/>
      </c>
      <c r="P1625" s="39" t="str">
        <f>IF(AND($B1625&gt;='111'!$N$11,$B1625&lt;='111'!$O$11,OR($L1625=$P$7,$M1625=$P$7)),"x","")</f>
        <v/>
      </c>
      <c r="Q1625" s="39" t="str">
        <f>IF(AND($L1625=$P$7,$B1625&lt;'111'!$N$11),"x","")</f>
        <v/>
      </c>
      <c r="R1625" s="39" t="str">
        <f>IF(AND($M1625=$P$7,$B1625&lt;'111'!$N$11),"x","")</f>
        <v/>
      </c>
      <c r="S1625" s="39" t="str">
        <f>IF(ISERROR(FIND('112'!$M$9,G1625,1)),"",IF((AND(FIND('112'!$M$9,G1625,1)&gt;=1,$B1625&gt;='112'!$N$8,$B1625&lt;='112'!$O$8,OR($L1625='112'!$I$6,$M1625='112'!$I$6))),"x",""))</f>
        <v/>
      </c>
      <c r="T1625" s="39" t="str">
        <f>IF(ISERROR(FIND('112'!$M$9,G1625,1)),"",IF((AND(LEFT(G1625,2)=LEFT('112'!$M$9,2),B1625&lt;'112'!$N$8,$L1625='112'!$I$6)),"x",""))</f>
        <v/>
      </c>
      <c r="U1625" s="39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39" t="str">
        <f>IF(OR(TH!L1625=TH!$W$7,M1625=TH!$W$7),"x","")</f>
        <v/>
      </c>
      <c r="X1625" s="39" t="str">
        <f>IF(AND(B1625&gt;='IN-NX'!$P$3,B1625&lt;='IN-NX'!$Q$3,'IN-NX'!$D$7=D1625,OR(LEFT(L1625,2)="15",AND(LEFT(M1625,2)&lt;&gt;"15",LEFT(M1625,2)&lt;&gt;"33"))),"x","")</f>
        <v/>
      </c>
      <c r="Y1625" s="39" t="str">
        <f>IF(AND(OR(LEFT(TH!L1625,2)="15",LEFT(TH!M1625,2)="15"),'152-CT'!$J$8=TH!F1625),"x","")</f>
        <v/>
      </c>
      <c r="Z1625" s="39" t="str">
        <f>IF(AND(OR(LEFT(TH!L1625,2)="15",LEFT(TH!M1625,2)="15"),TK!$E$7=TH!F1625),"x","")</f>
        <v/>
      </c>
      <c r="AA1625" s="39" t="str">
        <f>IF(AND(B1625&lt;=NKC!$N$8,B1625&gt;=NKC!$M$8),"x","")</f>
        <v/>
      </c>
      <c r="AB1625" s="821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97"/>
        <v/>
      </c>
      <c r="C1626" s="37"/>
      <c r="D1626" s="37"/>
      <c r="E1626" s="37"/>
      <c r="F1626" s="40"/>
      <c r="G1626" s="40"/>
      <c r="H1626" s="7"/>
      <c r="I1626" s="256"/>
      <c r="J1626" s="256"/>
      <c r="K1626" s="568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902" t="str">
        <f>IF(AND('341-CT'!$E$9=H1626,OR(LEFT(L1626,3)=$O$7,LEFT(M1626,3)=$O$7)),"x","")</f>
        <v/>
      </c>
      <c r="P1626" s="39" t="str">
        <f>IF(AND($B1626&gt;='111'!$N$11,$B1626&lt;='111'!$O$11,OR($L1626=$P$7,$M1626=$P$7)),"x","")</f>
        <v/>
      </c>
      <c r="Q1626" s="39" t="str">
        <f>IF(AND($L1626=$P$7,$B1626&lt;'111'!$N$11),"x","")</f>
        <v/>
      </c>
      <c r="R1626" s="39" t="str">
        <f>IF(AND($M1626=$P$7,$B1626&lt;'111'!$N$11),"x","")</f>
        <v/>
      </c>
      <c r="S1626" s="39" t="str">
        <f>IF(ISERROR(FIND('112'!$M$9,G1626,1)),"",IF((AND(FIND('112'!$M$9,G1626,1)&gt;=1,$B1626&gt;='112'!$N$8,$B1626&lt;='112'!$O$8,OR($L1626='112'!$I$6,$M1626='112'!$I$6))),"x",""))</f>
        <v/>
      </c>
      <c r="T1626" s="39" t="str">
        <f>IF(ISERROR(FIND('112'!$M$9,G1626,1)),"",IF((AND(LEFT(G1626,2)=LEFT('112'!$M$9,2),B1626&lt;'112'!$N$8,$L1626='112'!$I$6)),"x",""))</f>
        <v/>
      </c>
      <c r="U1626" s="39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39" t="str">
        <f>IF(OR(TH!L1626=TH!$W$7,M1626=TH!$W$7),"x","")</f>
        <v/>
      </c>
      <c r="X1626" s="39" t="str">
        <f>IF(AND(B1626&gt;='IN-NX'!$P$3,B1626&lt;='IN-NX'!$Q$3,'IN-NX'!$D$7=D1626,OR(LEFT(L1626,2)="15",AND(LEFT(M1626,2)&lt;&gt;"15",LEFT(M1626,2)&lt;&gt;"33"))),"x","")</f>
        <v/>
      </c>
      <c r="Y1626" s="39" t="str">
        <f>IF(AND(OR(LEFT(TH!L1626,2)="15",LEFT(TH!M1626,2)="15"),'152-CT'!$J$8=TH!F1626),"x","")</f>
        <v/>
      </c>
      <c r="Z1626" s="39" t="str">
        <f>IF(AND(OR(LEFT(TH!L1626,2)="15",LEFT(TH!M1626,2)="15"),TK!$E$7=TH!F1626),"x","")</f>
        <v/>
      </c>
      <c r="AA1626" s="39" t="str">
        <f>IF(AND(B1626&lt;=NKC!$N$8,B1626&gt;=NKC!$M$8),"x","")</f>
        <v/>
      </c>
      <c r="AB1626" s="821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97"/>
        <v/>
      </c>
      <c r="C1627" s="37"/>
      <c r="D1627" s="37"/>
      <c r="E1627" s="37"/>
      <c r="F1627" s="40"/>
      <c r="G1627" s="40"/>
      <c r="H1627" s="7"/>
      <c r="I1627" s="256"/>
      <c r="J1627" s="256"/>
      <c r="K1627" s="568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902" t="str">
        <f>IF(AND('341-CT'!$E$9=H1627,OR(LEFT(L1627,3)=$O$7,LEFT(M1627,3)=$O$7)),"x","")</f>
        <v/>
      </c>
      <c r="P1627" s="39" t="str">
        <f>IF(AND($B1627&gt;='111'!$N$11,$B1627&lt;='111'!$O$11,OR($L1627=$P$7,$M1627=$P$7)),"x","")</f>
        <v/>
      </c>
      <c r="Q1627" s="39" t="str">
        <f>IF(AND($L1627=$P$7,$B1627&lt;'111'!$N$11),"x","")</f>
        <v/>
      </c>
      <c r="R1627" s="39" t="str">
        <f>IF(AND($M1627=$P$7,$B1627&lt;'111'!$N$11),"x","")</f>
        <v/>
      </c>
      <c r="S1627" s="39" t="str">
        <f>IF(ISERROR(FIND('112'!$M$9,G1627,1)),"",IF((AND(FIND('112'!$M$9,G1627,1)&gt;=1,$B1627&gt;='112'!$N$8,$B1627&lt;='112'!$O$8,OR($L1627='112'!$I$6,$M1627='112'!$I$6))),"x",""))</f>
        <v/>
      </c>
      <c r="T1627" s="39" t="str">
        <f>IF(ISERROR(FIND('112'!$M$9,G1627,1)),"",IF((AND(LEFT(G1627,2)=LEFT('112'!$M$9,2),B1627&lt;'112'!$N$8,$L1627='112'!$I$6)),"x",""))</f>
        <v/>
      </c>
      <c r="U1627" s="39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39" t="str">
        <f>IF(OR(TH!L1627=TH!$W$7,M1627=TH!$W$7),"x","")</f>
        <v/>
      </c>
      <c r="X1627" s="39" t="str">
        <f>IF(AND(B1627&gt;='IN-NX'!$P$3,B1627&lt;='IN-NX'!$Q$3,'IN-NX'!$D$7=D1627,OR(LEFT(L1627,2)="15",AND(LEFT(M1627,2)&lt;&gt;"15",LEFT(M1627,2)&lt;&gt;"33"))),"x","")</f>
        <v/>
      </c>
      <c r="Y1627" s="39" t="str">
        <f>IF(AND(OR(LEFT(TH!L1627,2)="15",LEFT(TH!M1627,2)="15"),'152-CT'!$J$8=TH!F1627),"x","")</f>
        <v/>
      </c>
      <c r="Z1627" s="39" t="str">
        <f>IF(AND(OR(LEFT(TH!L1627,2)="15",LEFT(TH!M1627,2)="15"),TK!$E$7=TH!F1627),"x","")</f>
        <v/>
      </c>
      <c r="AA1627" s="39" t="str">
        <f>IF(AND(B1627&lt;=NKC!$N$8,B1627&gt;=NKC!$M$8),"x","")</f>
        <v/>
      </c>
      <c r="AB1627" s="821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97"/>
        <v/>
      </c>
      <c r="C1628" s="191"/>
      <c r="D1628" s="191"/>
      <c r="E1628" s="191"/>
      <c r="F1628" s="192"/>
      <c r="G1628" s="468"/>
      <c r="H1628" s="193"/>
      <c r="I1628" s="256"/>
      <c r="J1628" s="256"/>
      <c r="K1628" s="568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902" t="str">
        <f>IF(AND('341-CT'!$E$9=H1628,OR(LEFT(L1628,3)=$O$7,LEFT(M1628,3)=$O$7)),"x","")</f>
        <v/>
      </c>
      <c r="P1628" s="39" t="str">
        <f>IF(AND($B1628&gt;='111'!$N$11,$B1628&lt;='111'!$O$11,OR($L1628=$P$7,$M1628=$P$7)),"x","")</f>
        <v/>
      </c>
      <c r="Q1628" s="39" t="str">
        <f>IF(AND($L1628=$P$7,$B1628&lt;'111'!$N$11),"x","")</f>
        <v/>
      </c>
      <c r="R1628" s="39" t="str">
        <f>IF(AND($M1628=$P$7,$B1628&lt;'111'!$N$11),"x","")</f>
        <v/>
      </c>
      <c r="S1628" s="39" t="str">
        <f>IF(ISERROR(FIND('112'!$M$9,G1628,1)),"",IF((AND(FIND('112'!$M$9,G1628,1)&gt;=1,$B1628&gt;='112'!$N$8,$B1628&lt;='112'!$O$8,OR($L1628='112'!$I$6,$M1628='112'!$I$6))),"x",""))</f>
        <v/>
      </c>
      <c r="T1628" s="39" t="str">
        <f>IF(ISERROR(FIND('112'!$M$9,G1628,1)),"",IF((AND(LEFT(G1628,2)=LEFT('112'!$M$9,2),B1628&lt;'112'!$N$8,$L1628='112'!$I$6)),"x",""))</f>
        <v/>
      </c>
      <c r="U1628" s="39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39" t="str">
        <f>IF(OR(TH!L1628=TH!$W$7,M1628=TH!$W$7),"x","")</f>
        <v/>
      </c>
      <c r="X1628" s="39" t="str">
        <f>IF(AND(B1628&gt;='IN-NX'!$P$3,B1628&lt;='IN-NX'!$Q$3,'IN-NX'!$D$7=D1628,OR(LEFT(L1628,2)="15",AND(LEFT(M1628,2)&lt;&gt;"15",LEFT(M1628,2)&lt;&gt;"33"))),"x","")</f>
        <v/>
      </c>
      <c r="Y1628" s="39" t="str">
        <f>IF(AND(OR(LEFT(TH!L1628,2)="15",LEFT(TH!M1628,2)="15"),'152-CT'!$J$8=TH!F1628),"x","")</f>
        <v/>
      </c>
      <c r="Z1628" s="39" t="str">
        <f>IF(AND(OR(LEFT(TH!L1628,2)="15",LEFT(TH!M1628,2)="15"),TK!$E$7=TH!F1628),"x","")</f>
        <v/>
      </c>
      <c r="AA1628" s="39" t="str">
        <f>IF(AND(B1628&lt;=NKC!$N$8,B1628&gt;=NKC!$M$8),"x","")</f>
        <v/>
      </c>
      <c r="AB1628" s="821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97"/>
        <v/>
      </c>
      <c r="C1629" s="191"/>
      <c r="D1629" s="191"/>
      <c r="E1629" s="191"/>
      <c r="F1629" s="192"/>
      <c r="G1629" s="468"/>
      <c r="H1629" s="193"/>
      <c r="I1629" s="256"/>
      <c r="J1629" s="256"/>
      <c r="K1629" s="568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902" t="str">
        <f>IF(AND('341-CT'!$E$9=H1629,OR(LEFT(L1629,3)=$O$7,LEFT(M1629,3)=$O$7)),"x","")</f>
        <v/>
      </c>
      <c r="P1629" s="39" t="str">
        <f>IF(AND($B1629&gt;='111'!$N$11,$B1629&lt;='111'!$O$11,OR($L1629=$P$7,$M1629=$P$7)),"x","")</f>
        <v/>
      </c>
      <c r="Q1629" s="39" t="str">
        <f>IF(AND($L1629=$P$7,$B1629&lt;'111'!$N$11),"x","")</f>
        <v/>
      </c>
      <c r="R1629" s="39" t="str">
        <f>IF(AND($M1629=$P$7,$B1629&lt;'111'!$N$11),"x","")</f>
        <v/>
      </c>
      <c r="S1629" s="39" t="str">
        <f>IF(ISERROR(FIND('112'!$M$9,G1629,1)),"",IF((AND(FIND('112'!$M$9,G1629,1)&gt;=1,$B1629&gt;='112'!$N$8,$B1629&lt;='112'!$O$8,OR($L1629='112'!$I$6,$M1629='112'!$I$6))),"x",""))</f>
        <v/>
      </c>
      <c r="T1629" s="39" t="str">
        <f>IF(ISERROR(FIND('112'!$M$9,G1629,1)),"",IF((AND(LEFT(G1629,2)=LEFT('112'!$M$9,2),B1629&lt;'112'!$N$8,$L1629='112'!$I$6)),"x",""))</f>
        <v/>
      </c>
      <c r="U1629" s="39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39" t="str">
        <f>IF(OR(TH!L1629=TH!$W$7,M1629=TH!$W$7),"x","")</f>
        <v/>
      </c>
      <c r="X1629" s="39" t="str">
        <f>IF(AND(B1629&gt;='IN-NX'!$P$3,B1629&lt;='IN-NX'!$Q$3,'IN-NX'!$D$7=D1629,OR(LEFT(L1629,2)="15",AND(LEFT(M1629,2)&lt;&gt;"15",LEFT(M1629,2)&lt;&gt;"33"))),"x","")</f>
        <v/>
      </c>
      <c r="Y1629" s="39" t="str">
        <f>IF(AND(OR(LEFT(TH!L1629,2)="15",LEFT(TH!M1629,2)="15"),'152-CT'!$J$8=TH!F1629),"x","")</f>
        <v/>
      </c>
      <c r="Z1629" s="39" t="str">
        <f>IF(AND(OR(LEFT(TH!L1629,2)="15",LEFT(TH!M1629,2)="15"),TK!$E$7=TH!F1629),"x","")</f>
        <v/>
      </c>
      <c r="AA1629" s="39" t="str">
        <f>IF(AND(B1629&lt;=NKC!$N$8,B1629&gt;=NKC!$M$8),"x","")</f>
        <v/>
      </c>
      <c r="AB1629" s="821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97"/>
        <v/>
      </c>
      <c r="C1630" s="191"/>
      <c r="D1630" s="191"/>
      <c r="E1630" s="191"/>
      <c r="F1630" s="192"/>
      <c r="G1630" s="468"/>
      <c r="H1630" s="193"/>
      <c r="I1630" s="256"/>
      <c r="J1630" s="256"/>
      <c r="K1630" s="568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902" t="str">
        <f>IF(AND('341-CT'!$E$9=H1630,OR(LEFT(L1630,3)=$O$7,LEFT(M1630,3)=$O$7)),"x","")</f>
        <v/>
      </c>
      <c r="P1630" s="39" t="str">
        <f>IF(AND($B1630&gt;='111'!$N$11,$B1630&lt;='111'!$O$11,OR($L1630=$P$7,$M1630=$P$7)),"x","")</f>
        <v/>
      </c>
      <c r="Q1630" s="39" t="str">
        <f>IF(AND($L1630=$P$7,$B1630&lt;'111'!$N$11),"x","")</f>
        <v/>
      </c>
      <c r="R1630" s="39" t="str">
        <f>IF(AND($M1630=$P$7,$B1630&lt;'111'!$N$11),"x","")</f>
        <v/>
      </c>
      <c r="S1630" s="39" t="str">
        <f>IF(ISERROR(FIND('112'!$M$9,G1630,1)),"",IF((AND(FIND('112'!$M$9,G1630,1)&gt;=1,$B1630&gt;='112'!$N$8,$B1630&lt;='112'!$O$8,OR($L1630='112'!$I$6,$M1630='112'!$I$6))),"x",""))</f>
        <v/>
      </c>
      <c r="T1630" s="39" t="str">
        <f>IF(ISERROR(FIND('112'!$M$9,G1630,1)),"",IF((AND(LEFT(G1630,2)=LEFT('112'!$M$9,2),B1630&lt;'112'!$N$8,$L1630='112'!$I$6)),"x",""))</f>
        <v/>
      </c>
      <c r="U1630" s="39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39" t="str">
        <f>IF(OR(TH!L1630=TH!$W$7,M1630=TH!$W$7),"x","")</f>
        <v/>
      </c>
      <c r="X1630" s="39" t="str">
        <f>IF(AND(B1630&gt;='IN-NX'!$P$3,B1630&lt;='IN-NX'!$Q$3,'IN-NX'!$D$7=D1630,OR(LEFT(L1630,2)="15",AND(LEFT(M1630,2)&lt;&gt;"15",LEFT(M1630,2)&lt;&gt;"33"))),"x","")</f>
        <v/>
      </c>
      <c r="Y1630" s="39" t="str">
        <f>IF(AND(OR(LEFT(TH!L1630,2)="15",LEFT(TH!M1630,2)="15"),'152-CT'!$J$8=TH!F1630),"x","")</f>
        <v/>
      </c>
      <c r="Z1630" s="39" t="str">
        <f>IF(AND(OR(LEFT(TH!L1630,2)="15",LEFT(TH!M1630,2)="15"),TK!$E$7=TH!F1630),"x","")</f>
        <v/>
      </c>
      <c r="AA1630" s="39" t="str">
        <f>IF(AND(B1630&lt;=NKC!$N$8,B1630&gt;=NKC!$M$8),"x","")</f>
        <v/>
      </c>
      <c r="AB1630" s="821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si="97"/>
        <v/>
      </c>
      <c r="C1631" s="191"/>
      <c r="D1631" s="191"/>
      <c r="E1631" s="191"/>
      <c r="F1631" s="192"/>
      <c r="G1631" s="468"/>
      <c r="H1631" s="193"/>
      <c r="I1631" s="256"/>
      <c r="J1631" s="256"/>
      <c r="K1631" s="568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902" t="str">
        <f>IF(AND('341-CT'!$E$9=H1631,OR(LEFT(L1631,3)=$O$7,LEFT(M1631,3)=$O$7)),"x","")</f>
        <v/>
      </c>
      <c r="P1631" s="39" t="str">
        <f>IF(AND($B1631&gt;='111'!$N$11,$B1631&lt;='111'!$O$11,OR($L1631=$P$7,$M1631=$P$7)),"x","")</f>
        <v/>
      </c>
      <c r="Q1631" s="39" t="str">
        <f>IF(AND($L1631=$P$7,$B1631&lt;'111'!$N$11),"x","")</f>
        <v/>
      </c>
      <c r="R1631" s="39" t="str">
        <f>IF(AND($M1631=$P$7,$B1631&lt;'111'!$N$11),"x","")</f>
        <v/>
      </c>
      <c r="S1631" s="39" t="str">
        <f>IF(ISERROR(FIND('112'!$M$9,G1631,1)),"",IF((AND(FIND('112'!$M$9,G1631,1)&gt;=1,$B1631&gt;='112'!$N$8,$B1631&lt;='112'!$O$8,OR($L1631='112'!$I$6,$M1631='112'!$I$6))),"x",""))</f>
        <v/>
      </c>
      <c r="T1631" s="39" t="str">
        <f>IF(ISERROR(FIND('112'!$M$9,G1631,1)),"",IF((AND(LEFT(G1631,2)=LEFT('112'!$M$9,2),B1631&lt;'112'!$N$8,$L1631='112'!$I$6)),"x",""))</f>
        <v/>
      </c>
      <c r="U1631" s="39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39" t="str">
        <f>IF(OR(TH!L1631=TH!$W$7,M1631=TH!$W$7),"x","")</f>
        <v/>
      </c>
      <c r="X1631" s="39" t="str">
        <f>IF(AND(B1631&gt;='IN-NX'!$P$3,B1631&lt;='IN-NX'!$Q$3,'IN-NX'!$D$7=D1631,OR(LEFT(L1631,2)="15",AND(LEFT(M1631,2)&lt;&gt;"15",LEFT(M1631,2)&lt;&gt;"33"))),"x","")</f>
        <v/>
      </c>
      <c r="Y1631" s="39" t="str">
        <f>IF(AND(OR(LEFT(TH!L1631,2)="15",LEFT(TH!M1631,2)="15"),'152-CT'!$J$8=TH!F1631),"x","")</f>
        <v/>
      </c>
      <c r="Z1631" s="39" t="str">
        <f>IF(AND(OR(LEFT(TH!L1631,2)="15",LEFT(TH!M1631,2)="15"),TK!$E$7=TH!F1631),"x","")</f>
        <v/>
      </c>
      <c r="AA1631" s="39" t="str">
        <f>IF(AND(B1631&lt;=NKC!$N$8,B1631&gt;=NKC!$M$8),"x","")</f>
        <v/>
      </c>
      <c r="AB1631" s="821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97"/>
        <v/>
      </c>
      <c r="C1632" s="191"/>
      <c r="D1632" s="191"/>
      <c r="E1632" s="191"/>
      <c r="F1632" s="192"/>
      <c r="G1632" s="468"/>
      <c r="H1632" s="193"/>
      <c r="I1632" s="256"/>
      <c r="J1632" s="256"/>
      <c r="K1632" s="568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902" t="str">
        <f>IF(AND('341-CT'!$E$9=H1632,OR(LEFT(L1632,3)=$O$7,LEFT(M1632,3)=$O$7)),"x","")</f>
        <v/>
      </c>
      <c r="P1632" s="39" t="str">
        <f>IF(AND($B1632&gt;='111'!$N$11,$B1632&lt;='111'!$O$11,OR($L1632=$P$7,$M1632=$P$7)),"x","")</f>
        <v/>
      </c>
      <c r="Q1632" s="39" t="str">
        <f>IF(AND($L1632=$P$7,$B1632&lt;'111'!$N$11),"x","")</f>
        <v/>
      </c>
      <c r="R1632" s="39" t="str">
        <f>IF(AND($M1632=$P$7,$B1632&lt;'111'!$N$11),"x","")</f>
        <v/>
      </c>
      <c r="S1632" s="39" t="str">
        <f>IF(ISERROR(FIND('112'!$M$9,G1632,1)),"",IF((AND(FIND('112'!$M$9,G1632,1)&gt;=1,$B1632&gt;='112'!$N$8,$B1632&lt;='112'!$O$8,OR($L1632='112'!$I$6,$M1632='112'!$I$6))),"x",""))</f>
        <v/>
      </c>
      <c r="T1632" s="39" t="str">
        <f>IF(ISERROR(FIND('112'!$M$9,G1632,1)),"",IF((AND(LEFT(G1632,2)=LEFT('112'!$M$9,2),B1632&lt;'112'!$N$8,$L1632='112'!$I$6)),"x",""))</f>
        <v/>
      </c>
      <c r="U1632" s="39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39" t="str">
        <f>IF(OR(TH!L1632=TH!$W$7,M1632=TH!$W$7),"x","")</f>
        <v/>
      </c>
      <c r="X1632" s="39" t="str">
        <f>IF(AND(B1632&gt;='IN-NX'!$P$3,B1632&lt;='IN-NX'!$Q$3,'IN-NX'!$D$7=D1632,OR(LEFT(L1632,2)="15",AND(LEFT(M1632,2)&lt;&gt;"15",LEFT(M1632,2)&lt;&gt;"33"))),"x","")</f>
        <v/>
      </c>
      <c r="Y1632" s="39" t="str">
        <f>IF(AND(OR(LEFT(TH!L1632,2)="15",LEFT(TH!M1632,2)="15"),'152-CT'!$J$8=TH!F1632),"x","")</f>
        <v/>
      </c>
      <c r="Z1632" s="39" t="str">
        <f>IF(AND(OR(LEFT(TH!L1632,2)="15",LEFT(TH!M1632,2)="15"),TK!$E$7=TH!F1632),"x","")</f>
        <v/>
      </c>
      <c r="AA1632" s="39" t="str">
        <f>IF(AND(B1632&lt;=NKC!$N$8,B1632&gt;=NKC!$M$8),"x","")</f>
        <v/>
      </c>
      <c r="AB1632" s="821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97"/>
        <v/>
      </c>
      <c r="C1633" s="191"/>
      <c r="D1633" s="191"/>
      <c r="E1633" s="191"/>
      <c r="F1633" s="192"/>
      <c r="G1633" s="468"/>
      <c r="H1633" s="193"/>
      <c r="I1633" s="256"/>
      <c r="J1633" s="256"/>
      <c r="K1633" s="568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902" t="str">
        <f>IF(AND('341-CT'!$E$9=H1633,OR(LEFT(L1633,3)=$O$7,LEFT(M1633,3)=$O$7)),"x","")</f>
        <v/>
      </c>
      <c r="P1633" s="39" t="str">
        <f>IF(AND($B1633&gt;='111'!$N$11,$B1633&lt;='111'!$O$11,OR($L1633=$P$7,$M1633=$P$7)),"x","")</f>
        <v/>
      </c>
      <c r="Q1633" s="39" t="str">
        <f>IF(AND($L1633=$P$7,$B1633&lt;'111'!$N$11),"x","")</f>
        <v/>
      </c>
      <c r="R1633" s="39" t="str">
        <f>IF(AND($M1633=$P$7,$B1633&lt;'111'!$N$11),"x","")</f>
        <v/>
      </c>
      <c r="S1633" s="39" t="str">
        <f>IF(ISERROR(FIND('112'!$M$9,G1633,1)),"",IF((AND(FIND('112'!$M$9,G1633,1)&gt;=1,$B1633&gt;='112'!$N$8,$B1633&lt;='112'!$O$8,OR($L1633='112'!$I$6,$M1633='112'!$I$6))),"x",""))</f>
        <v/>
      </c>
      <c r="T1633" s="39" t="str">
        <f>IF(ISERROR(FIND('112'!$M$9,G1633,1)),"",IF((AND(LEFT(G1633,2)=LEFT('112'!$M$9,2),B1633&lt;'112'!$N$8,$L1633='112'!$I$6)),"x",""))</f>
        <v/>
      </c>
      <c r="U1633" s="39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39" t="str">
        <f>IF(OR(TH!L1633=TH!$W$7,M1633=TH!$W$7),"x","")</f>
        <v/>
      </c>
      <c r="X1633" s="39" t="str">
        <f>IF(AND(B1633&gt;='IN-NX'!$P$3,B1633&lt;='IN-NX'!$Q$3,'IN-NX'!$D$7=D1633,OR(LEFT(L1633,2)="15",AND(LEFT(M1633,2)&lt;&gt;"15",LEFT(M1633,2)&lt;&gt;"33"))),"x","")</f>
        <v/>
      </c>
      <c r="Y1633" s="39" t="str">
        <f>IF(AND(OR(LEFT(TH!L1633,2)="15",LEFT(TH!M1633,2)="15"),'152-CT'!$J$8=TH!F1633),"x","")</f>
        <v/>
      </c>
      <c r="Z1633" s="39" t="str">
        <f>IF(AND(OR(LEFT(TH!L1633,2)="15",LEFT(TH!M1633,2)="15"),TK!$E$7=TH!F1633),"x","")</f>
        <v/>
      </c>
      <c r="AA1633" s="39" t="str">
        <f>IF(AND(B1633&lt;=NKC!$N$8,B1633&gt;=NKC!$M$8),"x","")</f>
        <v/>
      </c>
      <c r="AB1633" s="821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97"/>
        <v/>
      </c>
      <c r="C1634" s="191"/>
      <c r="D1634" s="191"/>
      <c r="E1634" s="191"/>
      <c r="F1634" s="192"/>
      <c r="G1634" s="468"/>
      <c r="H1634" s="193"/>
      <c r="I1634" s="256"/>
      <c r="J1634" s="256"/>
      <c r="K1634" s="568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902" t="str">
        <f>IF(AND('341-CT'!$E$9=H1634,OR(LEFT(L1634,3)=$O$7,LEFT(M1634,3)=$O$7)),"x","")</f>
        <v/>
      </c>
      <c r="P1634" s="39" t="str">
        <f>IF(AND($B1634&gt;='111'!$N$11,$B1634&lt;='111'!$O$11,OR($L1634=$P$7,$M1634=$P$7)),"x","")</f>
        <v/>
      </c>
      <c r="Q1634" s="39" t="str">
        <f>IF(AND($L1634=$P$7,$B1634&lt;'111'!$N$11),"x","")</f>
        <v/>
      </c>
      <c r="R1634" s="39" t="str">
        <f>IF(AND($M1634=$P$7,$B1634&lt;'111'!$N$11),"x","")</f>
        <v/>
      </c>
      <c r="S1634" s="39" t="str">
        <f>IF(ISERROR(FIND('112'!$M$9,G1634,1)),"",IF((AND(FIND('112'!$M$9,G1634,1)&gt;=1,$B1634&gt;='112'!$N$8,$B1634&lt;='112'!$O$8,OR($L1634='112'!$I$6,$M1634='112'!$I$6))),"x",""))</f>
        <v/>
      </c>
      <c r="T1634" s="39" t="str">
        <f>IF(ISERROR(FIND('112'!$M$9,G1634,1)),"",IF((AND(LEFT(G1634,2)=LEFT('112'!$M$9,2),B1634&lt;'112'!$N$8,$L1634='112'!$I$6)),"x",""))</f>
        <v/>
      </c>
      <c r="U1634" s="39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39" t="str">
        <f>IF(OR(TH!L1634=TH!$W$7,M1634=TH!$W$7),"x","")</f>
        <v/>
      </c>
      <c r="X1634" s="39" t="str">
        <f>IF(AND(B1634&gt;='IN-NX'!$P$3,B1634&lt;='IN-NX'!$Q$3,'IN-NX'!$D$7=D1634,OR(LEFT(L1634,2)="15",AND(LEFT(M1634,2)&lt;&gt;"15",LEFT(M1634,2)&lt;&gt;"33"))),"x","")</f>
        <v/>
      </c>
      <c r="Y1634" s="39" t="str">
        <f>IF(AND(OR(LEFT(TH!L1634,2)="15",LEFT(TH!M1634,2)="15"),'152-CT'!$J$8=TH!F1634),"x","")</f>
        <v/>
      </c>
      <c r="Z1634" s="39" t="str">
        <f>IF(AND(OR(LEFT(TH!L1634,2)="15",LEFT(TH!M1634,2)="15"),TK!$E$7=TH!F1634),"x","")</f>
        <v/>
      </c>
      <c r="AA1634" s="39" t="str">
        <f>IF(AND(B1634&lt;=NKC!$N$8,B1634&gt;=NKC!$M$8),"x","")</f>
        <v/>
      </c>
      <c r="AB1634" s="821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97"/>
        <v/>
      </c>
      <c r="C1635" s="191"/>
      <c r="D1635" s="191"/>
      <c r="E1635" s="191"/>
      <c r="F1635" s="192"/>
      <c r="G1635" s="468"/>
      <c r="H1635" s="193"/>
      <c r="I1635" s="256"/>
      <c r="J1635" s="256"/>
      <c r="K1635" s="568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902" t="str">
        <f>IF(AND('341-CT'!$E$9=H1635,OR(LEFT(L1635,3)=$O$7,LEFT(M1635,3)=$O$7)),"x","")</f>
        <v/>
      </c>
      <c r="P1635" s="39" t="str">
        <f>IF(AND($B1635&gt;='111'!$N$11,$B1635&lt;='111'!$O$11,OR($L1635=$P$7,$M1635=$P$7)),"x","")</f>
        <v/>
      </c>
      <c r="Q1635" s="39" t="str">
        <f>IF(AND($L1635=$P$7,$B1635&lt;'111'!$N$11),"x","")</f>
        <v/>
      </c>
      <c r="R1635" s="39" t="str">
        <f>IF(AND($M1635=$P$7,$B1635&lt;'111'!$N$11),"x","")</f>
        <v/>
      </c>
      <c r="S1635" s="39" t="str">
        <f>IF(ISERROR(FIND('112'!$M$9,G1635,1)),"",IF((AND(FIND('112'!$M$9,G1635,1)&gt;=1,$B1635&gt;='112'!$N$8,$B1635&lt;='112'!$O$8,OR($L1635='112'!$I$6,$M1635='112'!$I$6))),"x",""))</f>
        <v/>
      </c>
      <c r="T1635" s="39" t="str">
        <f>IF(ISERROR(FIND('112'!$M$9,G1635,1)),"",IF((AND(LEFT(G1635,2)=LEFT('112'!$M$9,2),B1635&lt;'112'!$N$8,$L1635='112'!$I$6)),"x",""))</f>
        <v/>
      </c>
      <c r="U1635" s="39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39" t="str">
        <f>IF(OR(TH!L1635=TH!$W$7,M1635=TH!$W$7),"x","")</f>
        <v/>
      </c>
      <c r="X1635" s="39" t="str">
        <f>IF(AND(B1635&gt;='IN-NX'!$P$3,B1635&lt;='IN-NX'!$Q$3,'IN-NX'!$D$7=D1635,OR(LEFT(L1635,2)="15",AND(LEFT(M1635,2)&lt;&gt;"15",LEFT(M1635,2)&lt;&gt;"33"))),"x","")</f>
        <v/>
      </c>
      <c r="Y1635" s="39" t="str">
        <f>IF(AND(OR(LEFT(TH!L1635,2)="15",LEFT(TH!M1635,2)="15"),'152-CT'!$J$8=TH!F1635),"x","")</f>
        <v/>
      </c>
      <c r="Z1635" s="39" t="str">
        <f>IF(AND(OR(LEFT(TH!L1635,2)="15",LEFT(TH!M1635,2)="15"),TK!$E$7=TH!F1635),"x","")</f>
        <v/>
      </c>
      <c r="AA1635" s="39" t="str">
        <f>IF(AND(B1635&lt;=NKC!$N$8,B1635&gt;=NKC!$M$8),"x","")</f>
        <v/>
      </c>
      <c r="AB1635" s="821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97"/>
        <v/>
      </c>
      <c r="C1636" s="191"/>
      <c r="D1636" s="191"/>
      <c r="E1636" s="191"/>
      <c r="F1636" s="192"/>
      <c r="G1636" s="468"/>
      <c r="H1636" s="193"/>
      <c r="I1636" s="256"/>
      <c r="J1636" s="256"/>
      <c r="K1636" s="568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902" t="str">
        <f>IF(AND('341-CT'!$E$9=H1636,OR(LEFT(L1636,3)=$O$7,LEFT(M1636,3)=$O$7)),"x","")</f>
        <v/>
      </c>
      <c r="P1636" s="39" t="str">
        <f>IF(AND($B1636&gt;='111'!$N$11,$B1636&lt;='111'!$O$11,OR($L1636=$P$7,$M1636=$P$7)),"x","")</f>
        <v/>
      </c>
      <c r="Q1636" s="39" t="str">
        <f>IF(AND($L1636=$P$7,$B1636&lt;'111'!$N$11),"x","")</f>
        <v/>
      </c>
      <c r="R1636" s="39" t="str">
        <f>IF(AND($M1636=$P$7,$B1636&lt;'111'!$N$11),"x","")</f>
        <v/>
      </c>
      <c r="S1636" s="39" t="str">
        <f>IF(ISERROR(FIND('112'!$M$9,G1636,1)),"",IF((AND(FIND('112'!$M$9,G1636,1)&gt;=1,$B1636&gt;='112'!$N$8,$B1636&lt;='112'!$O$8,OR($L1636='112'!$I$6,$M1636='112'!$I$6))),"x",""))</f>
        <v/>
      </c>
      <c r="T1636" s="39" t="str">
        <f>IF(ISERROR(FIND('112'!$M$9,G1636,1)),"",IF((AND(LEFT(G1636,2)=LEFT('112'!$M$9,2),B1636&lt;'112'!$N$8,$L1636='112'!$I$6)),"x",""))</f>
        <v/>
      </c>
      <c r="U1636" s="39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39" t="str">
        <f>IF(OR(TH!L1636=TH!$W$7,M1636=TH!$W$7),"x","")</f>
        <v/>
      </c>
      <c r="X1636" s="39" t="str">
        <f>IF(AND(B1636&gt;='IN-NX'!$P$3,B1636&lt;='IN-NX'!$Q$3,'IN-NX'!$D$7=D1636,OR(LEFT(L1636,2)="15",AND(LEFT(M1636,2)&lt;&gt;"15",LEFT(M1636,2)&lt;&gt;"33"))),"x","")</f>
        <v/>
      </c>
      <c r="Y1636" s="39" t="str">
        <f>IF(AND(OR(LEFT(TH!L1636,2)="15",LEFT(TH!M1636,2)="15"),'152-CT'!$J$8=TH!F1636),"x","")</f>
        <v/>
      </c>
      <c r="Z1636" s="39" t="str">
        <f>IF(AND(OR(LEFT(TH!L1636,2)="15",LEFT(TH!M1636,2)="15"),TK!$E$7=TH!F1636),"x","")</f>
        <v/>
      </c>
      <c r="AA1636" s="39" t="str">
        <f>IF(AND(B1636&lt;=NKC!$N$8,B1636&gt;=NKC!$M$8),"x","")</f>
        <v/>
      </c>
      <c r="AB1636" s="821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97"/>
        <v/>
      </c>
      <c r="C1637" s="37"/>
      <c r="D1637" s="37"/>
      <c r="E1637" s="37"/>
      <c r="F1637" s="40"/>
      <c r="G1637" s="40"/>
      <c r="H1637" s="7"/>
      <c r="I1637" s="256"/>
      <c r="J1637" s="256"/>
      <c r="K1637" s="568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902" t="str">
        <f>IF(AND('341-CT'!$E$9=H1637,OR(LEFT(L1637,3)=$O$7,LEFT(M1637,3)=$O$7)),"x","")</f>
        <v/>
      </c>
      <c r="P1637" s="39" t="str">
        <f>IF(AND($B1637&gt;='111'!$N$11,$B1637&lt;='111'!$O$11,OR($L1637=$P$7,$M1637=$P$7)),"x","")</f>
        <v/>
      </c>
      <c r="Q1637" s="39" t="str">
        <f>IF(AND($L1637=$P$7,$B1637&lt;'111'!$N$11),"x","")</f>
        <v/>
      </c>
      <c r="R1637" s="39" t="str">
        <f>IF(AND($M1637=$P$7,$B1637&lt;'111'!$N$11),"x","")</f>
        <v/>
      </c>
      <c r="S1637" s="39" t="str">
        <f>IF(ISERROR(FIND('112'!$M$9,G1637,1)),"",IF((AND(FIND('112'!$M$9,G1637,1)&gt;=1,$B1637&gt;='112'!$N$8,$B1637&lt;='112'!$O$8,OR($L1637='112'!$I$6,$M1637='112'!$I$6))),"x",""))</f>
        <v/>
      </c>
      <c r="T1637" s="39" t="str">
        <f>IF(ISERROR(FIND('112'!$M$9,G1637,1)),"",IF((AND(LEFT(G1637,2)=LEFT('112'!$M$9,2),B1637&lt;'112'!$N$8,$L1637='112'!$I$6)),"x",""))</f>
        <v/>
      </c>
      <c r="U1637" s="39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39" t="str">
        <f>IF(OR(TH!L1637=TH!$W$7,M1637=TH!$W$7),"x","")</f>
        <v/>
      </c>
      <c r="X1637" s="39" t="str">
        <f>IF(AND(B1637&gt;='IN-NX'!$P$3,B1637&lt;='IN-NX'!$Q$3,'IN-NX'!$D$7=D1637,OR(LEFT(L1637,2)="15",AND(LEFT(M1637,2)&lt;&gt;"15",LEFT(M1637,2)&lt;&gt;"33"))),"x","")</f>
        <v/>
      </c>
      <c r="Y1637" s="39" t="str">
        <f>IF(AND(OR(LEFT(TH!L1637,2)="15",LEFT(TH!M1637,2)="15"),'152-CT'!$J$8=TH!F1637),"x","")</f>
        <v/>
      </c>
      <c r="Z1637" s="39" t="str">
        <f>IF(AND(OR(LEFT(TH!L1637,2)="15",LEFT(TH!M1637,2)="15"),TK!$E$7=TH!F1637),"x","")</f>
        <v/>
      </c>
      <c r="AA1637" s="39" t="str">
        <f>IF(AND(B1637&lt;=NKC!$N$8,B1637&gt;=NKC!$M$8),"x","")</f>
        <v/>
      </c>
      <c r="AB1637" s="821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97"/>
        <v/>
      </c>
      <c r="C1638" s="37"/>
      <c r="D1638" s="37"/>
      <c r="E1638" s="37"/>
      <c r="F1638" s="40"/>
      <c r="G1638" s="40"/>
      <c r="H1638" s="7"/>
      <c r="I1638" s="256"/>
      <c r="J1638" s="256"/>
      <c r="K1638" s="568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902" t="str">
        <f>IF(AND('341-CT'!$E$9=H1638,OR(LEFT(L1638,3)=$O$7,LEFT(M1638,3)=$O$7)),"x","")</f>
        <v/>
      </c>
      <c r="P1638" s="39" t="str">
        <f>IF(AND($B1638&gt;='111'!$N$11,$B1638&lt;='111'!$O$11,OR($L1638=$P$7,$M1638=$P$7)),"x","")</f>
        <v/>
      </c>
      <c r="Q1638" s="39" t="str">
        <f>IF(AND($L1638=$P$7,$B1638&lt;'111'!$N$11),"x","")</f>
        <v/>
      </c>
      <c r="R1638" s="39" t="str">
        <f>IF(AND($M1638=$P$7,$B1638&lt;'111'!$N$11),"x","")</f>
        <v/>
      </c>
      <c r="S1638" s="39" t="str">
        <f>IF(ISERROR(FIND('112'!$M$9,G1638,1)),"",IF((AND(FIND('112'!$M$9,G1638,1)&gt;=1,$B1638&gt;='112'!$N$8,$B1638&lt;='112'!$O$8,OR($L1638='112'!$I$6,$M1638='112'!$I$6))),"x",""))</f>
        <v/>
      </c>
      <c r="T1638" s="39" t="str">
        <f>IF(ISERROR(FIND('112'!$M$9,G1638,1)),"",IF((AND(LEFT(G1638,2)=LEFT('112'!$M$9,2),B1638&lt;'112'!$N$8,$L1638='112'!$I$6)),"x",""))</f>
        <v/>
      </c>
      <c r="U1638" s="39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39" t="str">
        <f>IF(OR(TH!L1638=TH!$W$7,M1638=TH!$W$7),"x","")</f>
        <v/>
      </c>
      <c r="X1638" s="39" t="str">
        <f>IF(AND(B1638&gt;='IN-NX'!$P$3,B1638&lt;='IN-NX'!$Q$3,'IN-NX'!$D$7=D1638,OR(LEFT(L1638,2)="15",AND(LEFT(M1638,2)&lt;&gt;"15",LEFT(M1638,2)&lt;&gt;"33"))),"x","")</f>
        <v/>
      </c>
      <c r="Y1638" s="39" t="str">
        <f>IF(AND(OR(LEFT(TH!L1638,2)="15",LEFT(TH!M1638,2)="15"),'152-CT'!$J$8=TH!F1638),"x","")</f>
        <v/>
      </c>
      <c r="Z1638" s="39" t="str">
        <f>IF(AND(OR(LEFT(TH!L1638,2)="15",LEFT(TH!M1638,2)="15"),TK!$E$7=TH!F1638),"x","")</f>
        <v/>
      </c>
      <c r="AA1638" s="39" t="str">
        <f>IF(AND(B1638&lt;=NKC!$N$8,B1638&gt;=NKC!$M$8),"x","")</f>
        <v/>
      </c>
      <c r="AB1638" s="821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97"/>
        <v/>
      </c>
      <c r="C1639" s="37"/>
      <c r="D1639" s="37"/>
      <c r="E1639" s="37"/>
      <c r="F1639" s="40"/>
      <c r="G1639" s="40"/>
      <c r="H1639" s="7"/>
      <c r="I1639" s="256"/>
      <c r="J1639" s="256"/>
      <c r="K1639" s="568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902" t="str">
        <f>IF(AND('341-CT'!$E$9=H1639,OR(LEFT(L1639,3)=$O$7,LEFT(M1639,3)=$O$7)),"x","")</f>
        <v/>
      </c>
      <c r="P1639" s="39" t="str">
        <f>IF(AND($B1639&gt;='111'!$N$11,$B1639&lt;='111'!$O$11,OR($L1639=$P$7,$M1639=$P$7)),"x","")</f>
        <v/>
      </c>
      <c r="Q1639" s="39" t="str">
        <f>IF(AND($L1639=$P$7,$B1639&lt;'111'!$N$11),"x","")</f>
        <v/>
      </c>
      <c r="R1639" s="39" t="str">
        <f>IF(AND($M1639=$P$7,$B1639&lt;'111'!$N$11),"x","")</f>
        <v/>
      </c>
      <c r="S1639" s="39" t="str">
        <f>IF(ISERROR(FIND('112'!$M$9,G1639,1)),"",IF((AND(FIND('112'!$M$9,G1639,1)&gt;=1,$B1639&gt;='112'!$N$8,$B1639&lt;='112'!$O$8,OR($L1639='112'!$I$6,$M1639='112'!$I$6))),"x",""))</f>
        <v/>
      </c>
      <c r="T1639" s="39" t="str">
        <f>IF(ISERROR(FIND('112'!$M$9,G1639,1)),"",IF((AND(LEFT(G1639,2)=LEFT('112'!$M$9,2),B1639&lt;'112'!$N$8,$L1639='112'!$I$6)),"x",""))</f>
        <v/>
      </c>
      <c r="U1639" s="39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39" t="str">
        <f>IF(OR(TH!L1639=TH!$W$7,M1639=TH!$W$7),"x","")</f>
        <v/>
      </c>
      <c r="X1639" s="39" t="str">
        <f>IF(AND(B1639&gt;='IN-NX'!$P$3,B1639&lt;='IN-NX'!$Q$3,'IN-NX'!$D$7=D1639,OR(LEFT(L1639,2)="15",AND(LEFT(M1639,2)&lt;&gt;"15",LEFT(M1639,2)&lt;&gt;"33"))),"x","")</f>
        <v/>
      </c>
      <c r="Y1639" s="39" t="str">
        <f>IF(AND(OR(LEFT(TH!L1639,2)="15",LEFT(TH!M1639,2)="15"),'152-CT'!$J$8=TH!F1639),"x","")</f>
        <v/>
      </c>
      <c r="Z1639" s="39" t="str">
        <f>IF(AND(OR(LEFT(TH!L1639,2)="15",LEFT(TH!M1639,2)="15"),TK!$E$7=TH!F1639),"x","")</f>
        <v/>
      </c>
      <c r="AA1639" s="39" t="str">
        <f>IF(AND(B1639&lt;=NKC!$N$8,B1639&gt;=NKC!$M$8),"x","")</f>
        <v/>
      </c>
      <c r="AB1639" s="821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97"/>
        <v/>
      </c>
      <c r="C1640" s="37"/>
      <c r="D1640" s="37"/>
      <c r="E1640" s="37"/>
      <c r="F1640" s="192"/>
      <c r="G1640" s="40"/>
      <c r="H1640" s="7"/>
      <c r="I1640" s="256"/>
      <c r="J1640" s="256"/>
      <c r="K1640" s="568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902" t="str">
        <f>IF(AND('341-CT'!$E$9=H1640,OR(LEFT(L1640,3)=$O$7,LEFT(M1640,3)=$O$7)),"x","")</f>
        <v/>
      </c>
      <c r="P1640" s="39" t="str">
        <f>IF(AND($B1640&gt;='111'!$N$11,$B1640&lt;='111'!$O$11,OR($L1640=$P$7,$M1640=$P$7)),"x","")</f>
        <v/>
      </c>
      <c r="Q1640" s="39" t="str">
        <f>IF(AND($L1640=$P$7,$B1640&lt;'111'!$N$11),"x","")</f>
        <v/>
      </c>
      <c r="R1640" s="39" t="str">
        <f>IF(AND($M1640=$P$7,$B1640&lt;'111'!$N$11),"x","")</f>
        <v/>
      </c>
      <c r="S1640" s="39" t="str">
        <f>IF(ISERROR(FIND('112'!$M$9,G1640,1)),"",IF((AND(FIND('112'!$M$9,G1640,1)&gt;=1,$B1640&gt;='112'!$N$8,$B1640&lt;='112'!$O$8,OR($L1640='112'!$I$6,$M1640='112'!$I$6))),"x",""))</f>
        <v/>
      </c>
      <c r="T1640" s="39" t="str">
        <f>IF(ISERROR(FIND('112'!$M$9,G1640,1)),"",IF((AND(LEFT(G1640,2)=LEFT('112'!$M$9,2),B1640&lt;'112'!$N$8,$L1640='112'!$I$6)),"x",""))</f>
        <v/>
      </c>
      <c r="U1640" s="39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39" t="str">
        <f>IF(OR(TH!L1640=TH!$W$7,M1640=TH!$W$7),"x","")</f>
        <v/>
      </c>
      <c r="X1640" s="39" t="str">
        <f>IF(AND(B1640&gt;='IN-NX'!$P$3,B1640&lt;='IN-NX'!$Q$3,'IN-NX'!$D$7=D1640,OR(LEFT(L1640,2)="15",AND(LEFT(M1640,2)&lt;&gt;"15",LEFT(M1640,2)&lt;&gt;"33"))),"x","")</f>
        <v/>
      </c>
      <c r="Y1640" s="39" t="str">
        <f>IF(AND(OR(LEFT(TH!L1640,2)="15",LEFT(TH!M1640,2)="15"),'152-CT'!$J$8=TH!F1640),"x","")</f>
        <v/>
      </c>
      <c r="Z1640" s="39" t="str">
        <f>IF(AND(OR(LEFT(TH!L1640,2)="15",LEFT(TH!M1640,2)="15"),TK!$E$7=TH!F1640),"x","")</f>
        <v/>
      </c>
      <c r="AA1640" s="39" t="str">
        <f>IF(AND(B1640&lt;=NKC!$N$8,B1640&gt;=NKC!$M$8),"x","")</f>
        <v/>
      </c>
      <c r="AB1640" s="821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97"/>
        <v/>
      </c>
      <c r="C1641" s="37"/>
      <c r="D1641" s="37"/>
      <c r="E1641" s="37"/>
      <c r="F1641" s="40"/>
      <c r="G1641" s="40"/>
      <c r="H1641" s="7"/>
      <c r="I1641" s="256"/>
      <c r="J1641" s="256"/>
      <c r="K1641" s="568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902" t="str">
        <f>IF(AND('341-CT'!$E$9=H1641,OR(LEFT(L1641,3)=$O$7,LEFT(M1641,3)=$O$7)),"x","")</f>
        <v/>
      </c>
      <c r="P1641" s="39" t="str">
        <f>IF(AND($B1641&gt;='111'!$N$11,$B1641&lt;='111'!$O$11,OR($L1641=$P$7,$M1641=$P$7)),"x","")</f>
        <v/>
      </c>
      <c r="Q1641" s="39" t="str">
        <f>IF(AND($L1641=$P$7,$B1641&lt;'111'!$N$11),"x","")</f>
        <v/>
      </c>
      <c r="R1641" s="39" t="str">
        <f>IF(AND($M1641=$P$7,$B1641&lt;'111'!$N$11),"x","")</f>
        <v/>
      </c>
      <c r="S1641" s="39" t="str">
        <f>IF(ISERROR(FIND('112'!$M$9,G1641,1)),"",IF((AND(FIND('112'!$M$9,G1641,1)&gt;=1,$B1641&gt;='112'!$N$8,$B1641&lt;='112'!$O$8,OR($L1641='112'!$I$6,$M1641='112'!$I$6))),"x",""))</f>
        <v/>
      </c>
      <c r="T1641" s="39" t="str">
        <f>IF(ISERROR(FIND('112'!$M$9,G1641,1)),"",IF((AND(LEFT(G1641,2)=LEFT('112'!$M$9,2),B1641&lt;'112'!$N$8,$L1641='112'!$I$6)),"x",""))</f>
        <v/>
      </c>
      <c r="U1641" s="39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39" t="str">
        <f>IF(OR(TH!L1641=TH!$W$7,M1641=TH!$W$7),"x","")</f>
        <v/>
      </c>
      <c r="X1641" s="39" t="str">
        <f>IF(AND(B1641&gt;='IN-NX'!$P$3,B1641&lt;='IN-NX'!$Q$3,'IN-NX'!$D$7=D1641,OR(LEFT(L1641,2)="15",AND(LEFT(M1641,2)&lt;&gt;"15",LEFT(M1641,2)&lt;&gt;"33"))),"x","")</f>
        <v/>
      </c>
      <c r="Y1641" s="39" t="str">
        <f>IF(AND(OR(LEFT(TH!L1641,2)="15",LEFT(TH!M1641,2)="15"),'152-CT'!$J$8=TH!F1641),"x","")</f>
        <v/>
      </c>
      <c r="Z1641" s="39" t="str">
        <f>IF(AND(OR(LEFT(TH!L1641,2)="15",LEFT(TH!M1641,2)="15"),TK!$E$7=TH!F1641),"x","")</f>
        <v/>
      </c>
      <c r="AA1641" s="39" t="str">
        <f>IF(AND(B1641&lt;=NKC!$N$8,B1641&gt;=NKC!$M$8),"x","")</f>
        <v/>
      </c>
      <c r="AB1641" s="821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97"/>
        <v/>
      </c>
      <c r="C1642" s="37"/>
      <c r="D1642" s="37"/>
      <c r="E1642" s="37"/>
      <c r="F1642" s="40"/>
      <c r="G1642" s="40"/>
      <c r="H1642" s="7"/>
      <c r="I1642" s="256"/>
      <c r="J1642" s="256"/>
      <c r="K1642" s="568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902" t="str">
        <f>IF(AND('341-CT'!$E$9=H1642,OR(LEFT(L1642,3)=$O$7,LEFT(M1642,3)=$O$7)),"x","")</f>
        <v/>
      </c>
      <c r="P1642" s="39" t="str">
        <f>IF(AND($B1642&gt;='111'!$N$11,$B1642&lt;='111'!$O$11,OR($L1642=$P$7,$M1642=$P$7)),"x","")</f>
        <v/>
      </c>
      <c r="Q1642" s="39" t="str">
        <f>IF(AND($L1642=$P$7,$B1642&lt;'111'!$N$11),"x","")</f>
        <v/>
      </c>
      <c r="R1642" s="39" t="str">
        <f>IF(AND($M1642=$P$7,$B1642&lt;'111'!$N$11),"x","")</f>
        <v/>
      </c>
      <c r="S1642" s="39" t="str">
        <f>IF(ISERROR(FIND('112'!$M$9,G1642,1)),"",IF((AND(FIND('112'!$M$9,G1642,1)&gt;=1,$B1642&gt;='112'!$N$8,$B1642&lt;='112'!$O$8,OR($L1642='112'!$I$6,$M1642='112'!$I$6))),"x",""))</f>
        <v/>
      </c>
      <c r="T1642" s="39" t="str">
        <f>IF(ISERROR(FIND('112'!$M$9,G1642,1)),"",IF((AND(LEFT(G1642,2)=LEFT('112'!$M$9,2),B1642&lt;'112'!$N$8,$L1642='112'!$I$6)),"x",""))</f>
        <v/>
      </c>
      <c r="U1642" s="39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39" t="str">
        <f>IF(OR(TH!L1642=TH!$W$7,M1642=TH!$W$7),"x","")</f>
        <v/>
      </c>
      <c r="X1642" s="39" t="str">
        <f>IF(AND(B1642&gt;='IN-NX'!$P$3,B1642&lt;='IN-NX'!$Q$3,'IN-NX'!$D$7=D1642,OR(LEFT(L1642,2)="15",AND(LEFT(M1642,2)&lt;&gt;"15",LEFT(M1642,2)&lt;&gt;"33"))),"x","")</f>
        <v/>
      </c>
      <c r="Y1642" s="39" t="str">
        <f>IF(AND(OR(LEFT(TH!L1642,2)="15",LEFT(TH!M1642,2)="15"),'152-CT'!$J$8=TH!F1642),"x","")</f>
        <v/>
      </c>
      <c r="Z1642" s="39" t="str">
        <f>IF(AND(OR(LEFT(TH!L1642,2)="15",LEFT(TH!M1642,2)="15"),TK!$E$7=TH!F1642),"x","")</f>
        <v/>
      </c>
      <c r="AA1642" s="39" t="str">
        <f>IF(AND(B1642&lt;=NKC!$N$8,B1642&gt;=NKC!$M$8),"x","")</f>
        <v/>
      </c>
      <c r="AB1642" s="821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97"/>
        <v/>
      </c>
      <c r="C1643" s="37"/>
      <c r="D1643" s="37"/>
      <c r="E1643" s="37"/>
      <c r="F1643" s="40"/>
      <c r="G1643" s="40"/>
      <c r="H1643" s="7"/>
      <c r="I1643" s="256"/>
      <c r="J1643" s="256"/>
      <c r="K1643" s="568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902" t="str">
        <f>IF(AND('341-CT'!$E$9=H1643,OR(LEFT(L1643,3)=$O$7,LEFT(M1643,3)=$O$7)),"x","")</f>
        <v/>
      </c>
      <c r="P1643" s="39" t="str">
        <f>IF(AND($B1643&gt;='111'!$N$11,$B1643&lt;='111'!$O$11,OR($L1643=$P$7,$M1643=$P$7)),"x","")</f>
        <v/>
      </c>
      <c r="Q1643" s="39" t="str">
        <f>IF(AND($L1643=$P$7,$B1643&lt;'111'!$N$11),"x","")</f>
        <v/>
      </c>
      <c r="R1643" s="39" t="str">
        <f>IF(AND($M1643=$P$7,$B1643&lt;'111'!$N$11),"x","")</f>
        <v/>
      </c>
      <c r="S1643" s="39" t="str">
        <f>IF(ISERROR(FIND('112'!$M$9,G1643,1)),"",IF((AND(FIND('112'!$M$9,G1643,1)&gt;=1,$B1643&gt;='112'!$N$8,$B1643&lt;='112'!$O$8,OR($L1643='112'!$I$6,$M1643='112'!$I$6))),"x",""))</f>
        <v/>
      </c>
      <c r="T1643" s="39" t="str">
        <f>IF(ISERROR(FIND('112'!$M$9,G1643,1)),"",IF((AND(LEFT(G1643,2)=LEFT('112'!$M$9,2),B1643&lt;'112'!$N$8,$L1643='112'!$I$6)),"x",""))</f>
        <v/>
      </c>
      <c r="U1643" s="39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39" t="str">
        <f>IF(OR(TH!L1643=TH!$W$7,M1643=TH!$W$7),"x","")</f>
        <v/>
      </c>
      <c r="X1643" s="39" t="str">
        <f>IF(AND(B1643&gt;='IN-NX'!$P$3,B1643&lt;='IN-NX'!$Q$3,'IN-NX'!$D$7=D1643,OR(LEFT(L1643,2)="15",AND(LEFT(M1643,2)&lt;&gt;"15",LEFT(M1643,2)&lt;&gt;"33"))),"x","")</f>
        <v/>
      </c>
      <c r="Y1643" s="39" t="str">
        <f>IF(AND(OR(LEFT(TH!L1643,2)="15",LEFT(TH!M1643,2)="15"),'152-CT'!$J$8=TH!F1643),"x","")</f>
        <v/>
      </c>
      <c r="Z1643" s="39" t="str">
        <f>IF(AND(OR(LEFT(TH!L1643,2)="15",LEFT(TH!M1643,2)="15"),TK!$E$7=TH!F1643),"x","")</f>
        <v/>
      </c>
      <c r="AA1643" s="39" t="str">
        <f>IF(AND(B1643&lt;=NKC!$N$8,B1643&gt;=NKC!$M$8),"x","")</f>
        <v/>
      </c>
      <c r="AB1643" s="821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97"/>
        <v/>
      </c>
      <c r="C1644" s="37"/>
      <c r="D1644" s="37"/>
      <c r="E1644" s="37"/>
      <c r="F1644" s="40"/>
      <c r="G1644" s="40"/>
      <c r="H1644" s="7"/>
      <c r="I1644" s="256"/>
      <c r="J1644" s="256"/>
      <c r="K1644" s="568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902" t="str">
        <f>IF(AND('341-CT'!$E$9=H1644,OR(LEFT(L1644,3)=$O$7,LEFT(M1644,3)=$O$7)),"x","")</f>
        <v/>
      </c>
      <c r="P1644" s="39" t="str">
        <f>IF(AND($B1644&gt;='111'!$N$11,$B1644&lt;='111'!$O$11,OR($L1644=$P$7,$M1644=$P$7)),"x","")</f>
        <v/>
      </c>
      <c r="Q1644" s="39" t="str">
        <f>IF(AND($L1644=$P$7,$B1644&lt;'111'!$N$11),"x","")</f>
        <v/>
      </c>
      <c r="R1644" s="39" t="str">
        <f>IF(AND($M1644=$P$7,$B1644&lt;'111'!$N$11),"x","")</f>
        <v/>
      </c>
      <c r="S1644" s="39" t="str">
        <f>IF(ISERROR(FIND('112'!$M$9,G1644,1)),"",IF((AND(FIND('112'!$M$9,G1644,1)&gt;=1,$B1644&gt;='112'!$N$8,$B1644&lt;='112'!$O$8,OR($L1644='112'!$I$6,$M1644='112'!$I$6))),"x",""))</f>
        <v/>
      </c>
      <c r="T1644" s="39" t="str">
        <f>IF(ISERROR(FIND('112'!$M$9,G1644,1)),"",IF((AND(LEFT(G1644,2)=LEFT('112'!$M$9,2),B1644&lt;'112'!$N$8,$L1644='112'!$I$6)),"x",""))</f>
        <v/>
      </c>
      <c r="U1644" s="39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39" t="str">
        <f>IF(OR(TH!L1644=TH!$W$7,M1644=TH!$W$7),"x","")</f>
        <v/>
      </c>
      <c r="X1644" s="39" t="str">
        <f>IF(AND(B1644&gt;='IN-NX'!$P$3,B1644&lt;='IN-NX'!$Q$3,'IN-NX'!$D$7=D1644,OR(LEFT(L1644,2)="15",AND(LEFT(M1644,2)&lt;&gt;"15",LEFT(M1644,2)&lt;&gt;"33"))),"x","")</f>
        <v/>
      </c>
      <c r="Y1644" s="39" t="str">
        <f>IF(AND(OR(LEFT(TH!L1644,2)="15",LEFT(TH!M1644,2)="15"),'152-CT'!$J$8=TH!F1644),"x","")</f>
        <v/>
      </c>
      <c r="Z1644" s="39" t="str">
        <f>IF(AND(OR(LEFT(TH!L1644,2)="15",LEFT(TH!M1644,2)="15"),TK!$E$7=TH!F1644),"x","")</f>
        <v/>
      </c>
      <c r="AA1644" s="39" t="str">
        <f>IF(AND(B1644&lt;=NKC!$N$8,B1644&gt;=NKC!$M$8),"x","")</f>
        <v/>
      </c>
      <c r="AB1644" s="821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97"/>
        <v/>
      </c>
      <c r="C1645" s="37"/>
      <c r="D1645" s="37"/>
      <c r="E1645" s="37"/>
      <c r="F1645" s="40"/>
      <c r="G1645" s="40"/>
      <c r="H1645" s="7"/>
      <c r="I1645" s="256"/>
      <c r="J1645" s="256"/>
      <c r="K1645" s="568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902" t="str">
        <f>IF(AND('341-CT'!$E$9=H1645,OR(LEFT(L1645,3)=$O$7,LEFT(M1645,3)=$O$7)),"x","")</f>
        <v/>
      </c>
      <c r="P1645" s="39" t="str">
        <f>IF(AND($B1645&gt;='111'!$N$11,$B1645&lt;='111'!$O$11,OR($L1645=$P$7,$M1645=$P$7)),"x","")</f>
        <v/>
      </c>
      <c r="Q1645" s="39" t="str">
        <f>IF(AND($L1645=$P$7,$B1645&lt;'111'!$N$11),"x","")</f>
        <v/>
      </c>
      <c r="R1645" s="39" t="str">
        <f>IF(AND($M1645=$P$7,$B1645&lt;'111'!$N$11),"x","")</f>
        <v/>
      </c>
      <c r="S1645" s="39" t="str">
        <f>IF(ISERROR(FIND('112'!$M$9,G1645,1)),"",IF((AND(FIND('112'!$M$9,G1645,1)&gt;=1,$B1645&gt;='112'!$N$8,$B1645&lt;='112'!$O$8,OR($L1645='112'!$I$6,$M1645='112'!$I$6))),"x",""))</f>
        <v/>
      </c>
      <c r="T1645" s="39" t="str">
        <f>IF(ISERROR(FIND('112'!$M$9,G1645,1)),"",IF((AND(LEFT(G1645,2)=LEFT('112'!$M$9,2),B1645&lt;'112'!$N$8,$L1645='112'!$I$6)),"x",""))</f>
        <v/>
      </c>
      <c r="U1645" s="39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39" t="str">
        <f>IF(OR(TH!L1645=TH!$W$7,M1645=TH!$W$7),"x","")</f>
        <v/>
      </c>
      <c r="X1645" s="39" t="str">
        <f>IF(AND(B1645&gt;='IN-NX'!$P$3,B1645&lt;='IN-NX'!$Q$3,'IN-NX'!$D$7=D1645,OR(LEFT(L1645,2)="15",AND(LEFT(M1645,2)&lt;&gt;"15",LEFT(M1645,2)&lt;&gt;"33"))),"x","")</f>
        <v/>
      </c>
      <c r="Y1645" s="39" t="str">
        <f>IF(AND(OR(LEFT(TH!L1645,2)="15",LEFT(TH!M1645,2)="15"),'152-CT'!$J$8=TH!F1645),"x","")</f>
        <v/>
      </c>
      <c r="Z1645" s="39" t="str">
        <f>IF(AND(OR(LEFT(TH!L1645,2)="15",LEFT(TH!M1645,2)="15"),TK!$E$7=TH!F1645),"x","")</f>
        <v/>
      </c>
      <c r="AA1645" s="39" t="str">
        <f>IF(AND(B1645&lt;=NKC!$N$8,B1645&gt;=NKC!$M$8),"x","")</f>
        <v/>
      </c>
      <c r="AB1645" s="821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97"/>
        <v/>
      </c>
      <c r="C1646" s="37"/>
      <c r="D1646" s="37"/>
      <c r="E1646" s="37"/>
      <c r="F1646" s="40"/>
      <c r="G1646" s="40"/>
      <c r="H1646" s="7"/>
      <c r="I1646" s="256"/>
      <c r="J1646" s="256"/>
      <c r="K1646" s="56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902" t="str">
        <f>IF(AND('341-CT'!$E$9=H1646,OR(LEFT(L1646,3)=$O$7,LEFT(M1646,3)=$O$7)),"x","")</f>
        <v/>
      </c>
      <c r="P1646" s="39" t="str">
        <f>IF(AND($B1646&gt;='111'!$N$11,$B1646&lt;='111'!$O$11,OR($L1646=$P$7,$M1646=$P$7)),"x","")</f>
        <v/>
      </c>
      <c r="Q1646" s="39" t="str">
        <f>IF(AND($L1646=$P$7,$B1646&lt;'111'!$N$11),"x","")</f>
        <v/>
      </c>
      <c r="R1646" s="39" t="str">
        <f>IF(AND($M1646=$P$7,$B1646&lt;'111'!$N$11),"x","")</f>
        <v/>
      </c>
      <c r="S1646" s="39" t="str">
        <f>IF(ISERROR(FIND('112'!$M$9,G1646,1)),"",IF((AND(FIND('112'!$M$9,G1646,1)&gt;=1,$B1646&gt;='112'!$N$8,$B1646&lt;='112'!$O$8,OR($L1646='112'!$I$6,$M1646='112'!$I$6))),"x",""))</f>
        <v/>
      </c>
      <c r="T1646" s="39" t="str">
        <f>IF(ISERROR(FIND('112'!$M$9,G1646,1)),"",IF((AND(LEFT(G1646,2)=LEFT('112'!$M$9,2),B1646&lt;'112'!$N$8,$L1646='112'!$I$6)),"x",""))</f>
        <v/>
      </c>
      <c r="U1646" s="39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39" t="str">
        <f>IF(OR(TH!L1646=TH!$W$7,M1646=TH!$W$7),"x","")</f>
        <v/>
      </c>
      <c r="X1646" s="39" t="str">
        <f>IF(AND(B1646&gt;='IN-NX'!$P$3,B1646&lt;='IN-NX'!$Q$3,'IN-NX'!$D$7=D1646,OR(LEFT(L1646,2)="15",AND(LEFT(M1646,2)&lt;&gt;"15",LEFT(M1646,2)&lt;&gt;"33"))),"x","")</f>
        <v/>
      </c>
      <c r="Y1646" s="39" t="str">
        <f>IF(AND(OR(LEFT(TH!L1646,2)="15",LEFT(TH!M1646,2)="15"),'152-CT'!$J$8=TH!F1646),"x","")</f>
        <v/>
      </c>
      <c r="Z1646" s="39" t="str">
        <f>IF(AND(OR(LEFT(TH!L1646,2)="15",LEFT(TH!M1646,2)="15"),TK!$E$7=TH!F1646),"x","")</f>
        <v/>
      </c>
      <c r="AA1646" s="39" t="str">
        <f>IF(AND(B1646&lt;=NKC!$N$8,B1646&gt;=NKC!$M$8),"x","")</f>
        <v/>
      </c>
      <c r="AB1646" s="821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97"/>
        <v/>
      </c>
      <c r="C1647" s="37"/>
      <c r="D1647" s="37"/>
      <c r="E1647" s="37"/>
      <c r="F1647" s="40"/>
      <c r="G1647" s="40"/>
      <c r="H1647" s="7"/>
      <c r="I1647" s="256"/>
      <c r="J1647" s="256"/>
      <c r="K1647" s="56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902" t="str">
        <f>IF(AND('341-CT'!$E$9=H1647,OR(LEFT(L1647,3)=$O$7,LEFT(M1647,3)=$O$7)),"x","")</f>
        <v/>
      </c>
      <c r="P1647" s="39" t="str">
        <f>IF(AND($B1647&gt;='111'!$N$11,$B1647&lt;='111'!$O$11,OR($L1647=$P$7,$M1647=$P$7)),"x","")</f>
        <v/>
      </c>
      <c r="Q1647" s="39" t="str">
        <f>IF(AND($L1647=$P$7,$B1647&lt;'111'!$N$11),"x","")</f>
        <v/>
      </c>
      <c r="R1647" s="39" t="str">
        <f>IF(AND($M1647=$P$7,$B1647&lt;'111'!$N$11),"x","")</f>
        <v/>
      </c>
      <c r="S1647" s="39" t="str">
        <f>IF(ISERROR(FIND('112'!$M$9,G1647,1)),"",IF((AND(FIND('112'!$M$9,G1647,1)&gt;=1,$B1647&gt;='112'!$N$8,$B1647&lt;='112'!$O$8,OR($L1647='112'!$I$6,$M1647='112'!$I$6))),"x",""))</f>
        <v/>
      </c>
      <c r="T1647" s="39" t="str">
        <f>IF(ISERROR(FIND('112'!$M$9,G1647,1)),"",IF((AND(LEFT(G1647,2)=LEFT('112'!$M$9,2),B1647&lt;'112'!$N$8,$L1647='112'!$I$6)),"x",""))</f>
        <v/>
      </c>
      <c r="U1647" s="39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39" t="str">
        <f>IF(OR(TH!L1647=TH!$W$7,M1647=TH!$W$7),"x","")</f>
        <v/>
      </c>
      <c r="X1647" s="39" t="str">
        <f>IF(AND(B1647&gt;='IN-NX'!$P$3,B1647&lt;='IN-NX'!$Q$3,'IN-NX'!$D$7=D1647,OR(LEFT(L1647,2)="15",AND(LEFT(M1647,2)&lt;&gt;"15",LEFT(M1647,2)&lt;&gt;"33"))),"x","")</f>
        <v/>
      </c>
      <c r="Y1647" s="39" t="str">
        <f>IF(AND(OR(LEFT(TH!L1647,2)="15",LEFT(TH!M1647,2)="15"),'152-CT'!$J$8=TH!F1647),"x","")</f>
        <v/>
      </c>
      <c r="Z1647" s="39" t="str">
        <f>IF(AND(OR(LEFT(TH!L1647,2)="15",LEFT(TH!M1647,2)="15"),TK!$E$7=TH!F1647),"x","")</f>
        <v/>
      </c>
      <c r="AA1647" s="39" t="str">
        <f>IF(AND(B1647&lt;=NKC!$N$8,B1647&gt;=NKC!$M$8),"x","")</f>
        <v/>
      </c>
      <c r="AB1647" s="821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97"/>
        <v/>
      </c>
      <c r="C1648" s="37"/>
      <c r="D1648" s="37"/>
      <c r="E1648" s="37"/>
      <c r="F1648" s="192"/>
      <c r="G1648" s="40"/>
      <c r="H1648" s="7"/>
      <c r="I1648" s="256"/>
      <c r="J1648" s="256"/>
      <c r="K1648" s="56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902" t="str">
        <f>IF(AND('341-CT'!$E$9=H1648,OR(LEFT(L1648,3)=$O$7,LEFT(M1648,3)=$O$7)),"x","")</f>
        <v/>
      </c>
      <c r="P1648" s="39" t="str">
        <f>IF(AND($B1648&gt;='111'!$N$11,$B1648&lt;='111'!$O$11,OR($L1648=$P$7,$M1648=$P$7)),"x","")</f>
        <v/>
      </c>
      <c r="Q1648" s="39" t="str">
        <f>IF(AND($L1648=$P$7,$B1648&lt;'111'!$N$11),"x","")</f>
        <v/>
      </c>
      <c r="R1648" s="39" t="str">
        <f>IF(AND($M1648=$P$7,$B1648&lt;'111'!$N$11),"x","")</f>
        <v/>
      </c>
      <c r="S1648" s="39" t="str">
        <f>IF(ISERROR(FIND('112'!$M$9,G1648,1)),"",IF((AND(FIND('112'!$M$9,G1648,1)&gt;=1,$B1648&gt;='112'!$N$8,$B1648&lt;='112'!$O$8,OR($L1648='112'!$I$6,$M1648='112'!$I$6))),"x",""))</f>
        <v/>
      </c>
      <c r="T1648" s="39" t="str">
        <f>IF(ISERROR(FIND('112'!$M$9,G1648,1)),"",IF((AND(LEFT(G1648,2)=LEFT('112'!$M$9,2),B1648&lt;'112'!$N$8,$L1648='112'!$I$6)),"x",""))</f>
        <v/>
      </c>
      <c r="U1648" s="39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39" t="str">
        <f>IF(OR(TH!L1648=TH!$W$7,M1648=TH!$W$7),"x","")</f>
        <v/>
      </c>
      <c r="X1648" s="39" t="str">
        <f>IF(AND(B1648&gt;='IN-NX'!$P$3,B1648&lt;='IN-NX'!$Q$3,'IN-NX'!$D$7=D1648,OR(LEFT(L1648,2)="15",AND(LEFT(M1648,2)&lt;&gt;"15",LEFT(M1648,2)&lt;&gt;"33"))),"x","")</f>
        <v/>
      </c>
      <c r="Y1648" s="39" t="str">
        <f>IF(AND(OR(LEFT(TH!L1648,2)="15",LEFT(TH!M1648,2)="15"),'152-CT'!$J$8=TH!F1648),"x","")</f>
        <v/>
      </c>
      <c r="Z1648" s="39" t="str">
        <f>IF(AND(OR(LEFT(TH!L1648,2)="15",LEFT(TH!M1648,2)="15"),TK!$E$7=TH!F1648),"x","")</f>
        <v/>
      </c>
      <c r="AA1648" s="39" t="str">
        <f>IF(AND(B1648&lt;=NKC!$N$8,B1648&gt;=NKC!$M$8),"x","")</f>
        <v/>
      </c>
      <c r="AB1648" s="821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97"/>
        <v/>
      </c>
      <c r="C1649" s="37"/>
      <c r="D1649" s="37"/>
      <c r="E1649" s="37"/>
      <c r="F1649" s="40"/>
      <c r="G1649" s="40"/>
      <c r="H1649" s="7"/>
      <c r="I1649" s="256"/>
      <c r="J1649" s="256"/>
      <c r="K1649" s="56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902" t="str">
        <f>IF(AND('341-CT'!$E$9=H1649,OR(LEFT(L1649,3)=$O$7,LEFT(M1649,3)=$O$7)),"x","")</f>
        <v/>
      </c>
      <c r="P1649" s="39" t="str">
        <f>IF(AND($B1649&gt;='111'!$N$11,$B1649&lt;='111'!$O$11,OR($L1649=$P$7,$M1649=$P$7)),"x","")</f>
        <v/>
      </c>
      <c r="Q1649" s="39" t="str">
        <f>IF(AND($L1649=$P$7,$B1649&lt;'111'!$N$11),"x","")</f>
        <v/>
      </c>
      <c r="R1649" s="39" t="str">
        <f>IF(AND($M1649=$P$7,$B1649&lt;'111'!$N$11),"x","")</f>
        <v/>
      </c>
      <c r="S1649" s="39" t="str">
        <f>IF(ISERROR(FIND('112'!$M$9,G1649,1)),"",IF((AND(FIND('112'!$M$9,G1649,1)&gt;=1,$B1649&gt;='112'!$N$8,$B1649&lt;='112'!$O$8,OR($L1649='112'!$I$6,$M1649='112'!$I$6))),"x",""))</f>
        <v/>
      </c>
      <c r="T1649" s="39" t="str">
        <f>IF(ISERROR(FIND('112'!$M$9,G1649,1)),"",IF((AND(LEFT(G1649,2)=LEFT('112'!$M$9,2),B1649&lt;'112'!$N$8,$L1649='112'!$I$6)),"x",""))</f>
        <v/>
      </c>
      <c r="U1649" s="39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39" t="str">
        <f>IF(OR(TH!L1649=TH!$W$7,M1649=TH!$W$7),"x","")</f>
        <v/>
      </c>
      <c r="X1649" s="39" t="str">
        <f>IF(AND(B1649&gt;='IN-NX'!$P$3,B1649&lt;='IN-NX'!$Q$3,'IN-NX'!$D$7=D1649,OR(LEFT(L1649,2)="15",AND(LEFT(M1649,2)&lt;&gt;"15",LEFT(M1649,2)&lt;&gt;"33"))),"x","")</f>
        <v/>
      </c>
      <c r="Y1649" s="39" t="str">
        <f>IF(AND(OR(LEFT(TH!L1649,2)="15",LEFT(TH!M1649,2)="15"),'152-CT'!$J$8=TH!F1649),"x","")</f>
        <v/>
      </c>
      <c r="Z1649" s="39" t="str">
        <f>IF(AND(OR(LEFT(TH!L1649,2)="15",LEFT(TH!M1649,2)="15"),TK!$E$7=TH!F1649),"x","")</f>
        <v/>
      </c>
      <c r="AA1649" s="39" t="str">
        <f>IF(AND(B1649&lt;=NKC!$N$8,B1649&gt;=NKC!$M$8),"x","")</f>
        <v/>
      </c>
      <c r="AB1649" s="821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97"/>
        <v/>
      </c>
      <c r="C1650" s="37"/>
      <c r="D1650" s="37"/>
      <c r="E1650" s="37"/>
      <c r="F1650" s="40"/>
      <c r="G1650" s="40"/>
      <c r="H1650" s="7"/>
      <c r="I1650" s="256"/>
      <c r="J1650" s="256"/>
      <c r="K1650" s="56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902" t="str">
        <f>IF(AND('341-CT'!$E$9=H1650,OR(LEFT(L1650,3)=$O$7,LEFT(M1650,3)=$O$7)),"x","")</f>
        <v/>
      </c>
      <c r="P1650" s="39" t="str">
        <f>IF(AND($B1650&gt;='111'!$N$11,$B1650&lt;='111'!$O$11,OR($L1650=$P$7,$M1650=$P$7)),"x","")</f>
        <v/>
      </c>
      <c r="Q1650" s="39" t="str">
        <f>IF(AND($L1650=$P$7,$B1650&lt;'111'!$N$11),"x","")</f>
        <v/>
      </c>
      <c r="R1650" s="39" t="str">
        <f>IF(AND($M1650=$P$7,$B1650&lt;'111'!$N$11),"x","")</f>
        <v/>
      </c>
      <c r="S1650" s="39" t="str">
        <f>IF(ISERROR(FIND('112'!$M$9,G1650,1)),"",IF((AND(FIND('112'!$M$9,G1650,1)&gt;=1,$B1650&gt;='112'!$N$8,$B1650&lt;='112'!$O$8,OR($L1650='112'!$I$6,$M1650='112'!$I$6))),"x",""))</f>
        <v/>
      </c>
      <c r="T1650" s="39" t="str">
        <f>IF(ISERROR(FIND('112'!$M$9,G1650,1)),"",IF((AND(LEFT(G1650,2)=LEFT('112'!$M$9,2),B1650&lt;'112'!$N$8,$L1650='112'!$I$6)),"x",""))</f>
        <v/>
      </c>
      <c r="U1650" s="39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39" t="str">
        <f>IF(OR(TH!L1650=TH!$W$7,M1650=TH!$W$7),"x","")</f>
        <v/>
      </c>
      <c r="X1650" s="39" t="str">
        <f>IF(AND(B1650&gt;='IN-NX'!$P$3,B1650&lt;='IN-NX'!$Q$3,'IN-NX'!$D$7=D1650,OR(LEFT(L1650,2)="15",AND(LEFT(M1650,2)&lt;&gt;"15",LEFT(M1650,2)&lt;&gt;"33"))),"x","")</f>
        <v/>
      </c>
      <c r="Y1650" s="39" t="str">
        <f>IF(AND(OR(LEFT(TH!L1650,2)="15",LEFT(TH!M1650,2)="15"),'152-CT'!$J$8=TH!F1650),"x","")</f>
        <v/>
      </c>
      <c r="Z1650" s="39" t="str">
        <f>IF(AND(OR(LEFT(TH!L1650,2)="15",LEFT(TH!M1650,2)="15"),TK!$E$7=TH!F1650),"x","")</f>
        <v/>
      </c>
      <c r="AA1650" s="39" t="str">
        <f>IF(AND(B1650&lt;=NKC!$N$8,B1650&gt;=NKC!$M$8),"x","")</f>
        <v/>
      </c>
      <c r="AB1650" s="821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97"/>
        <v/>
      </c>
      <c r="C1651" s="37"/>
      <c r="D1651" s="37"/>
      <c r="E1651" s="37"/>
      <c r="F1651" s="40"/>
      <c r="G1651" s="40"/>
      <c r="H1651" s="7"/>
      <c r="I1651" s="256"/>
      <c r="J1651" s="256"/>
      <c r="K1651" s="568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902" t="str">
        <f>IF(AND('341-CT'!$E$9=H1651,OR(LEFT(L1651,3)=$O$7,LEFT(M1651,3)=$O$7)),"x","")</f>
        <v/>
      </c>
      <c r="P1651" s="39" t="str">
        <f>IF(AND($B1651&gt;='111'!$N$11,$B1651&lt;='111'!$O$11,OR($L1651=$P$7,$M1651=$P$7)),"x","")</f>
        <v/>
      </c>
      <c r="Q1651" s="39" t="str">
        <f>IF(AND($L1651=$P$7,$B1651&lt;'111'!$N$11),"x","")</f>
        <v/>
      </c>
      <c r="R1651" s="39" t="str">
        <f>IF(AND($M1651=$P$7,$B1651&lt;'111'!$N$11),"x","")</f>
        <v/>
      </c>
      <c r="S1651" s="39" t="str">
        <f>IF(ISERROR(FIND('112'!$M$9,G1651,1)),"",IF((AND(FIND('112'!$M$9,G1651,1)&gt;=1,$B1651&gt;='112'!$N$8,$B1651&lt;='112'!$O$8,OR($L1651='112'!$I$6,$M1651='112'!$I$6))),"x",""))</f>
        <v/>
      </c>
      <c r="T1651" s="39" t="str">
        <f>IF(ISERROR(FIND('112'!$M$9,G1651,1)),"",IF((AND(LEFT(G1651,2)=LEFT('112'!$M$9,2),B1651&lt;'112'!$N$8,$L1651='112'!$I$6)),"x",""))</f>
        <v/>
      </c>
      <c r="U1651" s="39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39" t="str">
        <f>IF(OR(TH!L1651=TH!$W$7,M1651=TH!$W$7),"x","")</f>
        <v/>
      </c>
      <c r="X1651" s="39" t="str">
        <f>IF(AND(B1651&gt;='IN-NX'!$P$3,B1651&lt;='IN-NX'!$Q$3,'IN-NX'!$D$7=D1651,OR(LEFT(L1651,2)="15",AND(LEFT(M1651,2)&lt;&gt;"15",LEFT(M1651,2)&lt;&gt;"33"))),"x","")</f>
        <v/>
      </c>
      <c r="Y1651" s="39" t="str">
        <f>IF(AND(OR(LEFT(TH!L1651,2)="15",LEFT(TH!M1651,2)="15"),'152-CT'!$J$8=TH!F1651),"x","")</f>
        <v/>
      </c>
      <c r="Z1651" s="39" t="str">
        <f>IF(AND(OR(LEFT(TH!L1651,2)="15",LEFT(TH!M1651,2)="15"),TK!$E$7=TH!F1651),"x","")</f>
        <v/>
      </c>
      <c r="AA1651" s="39" t="str">
        <f>IF(AND(B1651&lt;=NKC!$N$8,B1651&gt;=NKC!$M$8),"x","")</f>
        <v/>
      </c>
      <c r="AB1651" s="821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si="97"/>
        <v/>
      </c>
      <c r="C1652" s="37"/>
      <c r="D1652" s="37"/>
      <c r="E1652" s="37"/>
      <c r="F1652" s="40"/>
      <c r="G1652" s="40"/>
      <c r="H1652" s="7"/>
      <c r="I1652" s="256"/>
      <c r="J1652" s="256"/>
      <c r="K1652" s="568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902" t="str">
        <f>IF(AND('341-CT'!$E$9=H1652,OR(LEFT(L1652,3)=$O$7,LEFT(M1652,3)=$O$7)),"x","")</f>
        <v/>
      </c>
      <c r="P1652" s="39" t="str">
        <f>IF(AND($B1652&gt;='111'!$N$11,$B1652&lt;='111'!$O$11,OR($L1652=$P$7,$M1652=$P$7)),"x","")</f>
        <v/>
      </c>
      <c r="Q1652" s="39" t="str">
        <f>IF(AND($L1652=$P$7,$B1652&lt;'111'!$N$11),"x","")</f>
        <v/>
      </c>
      <c r="R1652" s="39" t="str">
        <f>IF(AND($M1652=$P$7,$B1652&lt;'111'!$N$11),"x","")</f>
        <v/>
      </c>
      <c r="S1652" s="39" t="str">
        <f>IF(ISERROR(FIND('112'!$M$9,G1652,1)),"",IF((AND(FIND('112'!$M$9,G1652,1)&gt;=1,$B1652&gt;='112'!$N$8,$B1652&lt;='112'!$O$8,OR($L1652='112'!$I$6,$M1652='112'!$I$6))),"x",""))</f>
        <v/>
      </c>
      <c r="T1652" s="39" t="str">
        <f>IF(ISERROR(FIND('112'!$M$9,G1652,1)),"",IF((AND(LEFT(G1652,2)=LEFT('112'!$M$9,2),B1652&lt;'112'!$N$8,$L1652='112'!$I$6)),"x",""))</f>
        <v/>
      </c>
      <c r="U1652" s="39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39" t="str">
        <f>IF(OR(TH!L1652=TH!$W$7,M1652=TH!$W$7),"x","")</f>
        <v/>
      </c>
      <c r="X1652" s="39" t="str">
        <f>IF(AND(B1652&gt;='IN-NX'!$P$3,B1652&lt;='IN-NX'!$Q$3,'IN-NX'!$D$7=D1652,OR(LEFT(L1652,2)="15",AND(LEFT(M1652,2)&lt;&gt;"15",LEFT(M1652,2)&lt;&gt;"33"))),"x","")</f>
        <v/>
      </c>
      <c r="Y1652" s="39" t="str">
        <f>IF(AND(OR(LEFT(TH!L1652,2)="15",LEFT(TH!M1652,2)="15"),'152-CT'!$J$8=TH!F1652),"x","")</f>
        <v/>
      </c>
      <c r="Z1652" s="39" t="str">
        <f>IF(AND(OR(LEFT(TH!L1652,2)="15",LEFT(TH!M1652,2)="15"),TK!$E$7=TH!F1652),"x","")</f>
        <v/>
      </c>
      <c r="AA1652" s="39" t="str">
        <f>IF(AND(B1652&lt;=NKC!$N$8,B1652&gt;=NKC!$M$8),"x","")</f>
        <v/>
      </c>
      <c r="AB1652" s="821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97"/>
        <v/>
      </c>
      <c r="C1653" s="191"/>
      <c r="D1653" s="191"/>
      <c r="E1653" s="191"/>
      <c r="F1653" s="192"/>
      <c r="G1653" s="468"/>
      <c r="H1653" s="764"/>
      <c r="I1653" s="256"/>
      <c r="J1653" s="256"/>
      <c r="K1653" s="568"/>
      <c r="L1653" s="194"/>
      <c r="M1653" s="194"/>
      <c r="N1653" s="39" t="str">
        <f>IF(AND('331-CT'!$E$7=TH!H1653,OR(L1653="331",M1653="331")),"331",IF(AND(OR(L1653="131",M1653="131"),H1653='131-CT'!$E$7),"131",""))</f>
        <v/>
      </c>
      <c r="O1653" s="902" t="str">
        <f>IF(AND('341-CT'!$E$9=H1653,OR(LEFT(L1653,3)=$O$7,LEFT(M1653,3)=$O$7)),"x","")</f>
        <v/>
      </c>
      <c r="P1653" s="39" t="str">
        <f>IF(AND($B1653&gt;='111'!$N$11,$B1653&lt;='111'!$O$11,OR($L1653=$P$7,$M1653=$P$7)),"x","")</f>
        <v/>
      </c>
      <c r="Q1653" s="39" t="str">
        <f>IF(AND($L1653=$P$7,$B1653&lt;'111'!$N$11),"x","")</f>
        <v/>
      </c>
      <c r="R1653" s="39" t="str">
        <f>IF(AND($M1653=$P$7,$B1653&lt;'111'!$N$11),"x","")</f>
        <v/>
      </c>
      <c r="S1653" s="39" t="str">
        <f>IF(ISERROR(FIND('112'!$M$9,G1653,1)),"",IF((AND(FIND('112'!$M$9,G1653,1)&gt;=1,$B1653&gt;='112'!$N$8,$B1653&lt;='112'!$O$8,OR($L1653='112'!$I$6,$M1653='112'!$I$6))),"x",""))</f>
        <v/>
      </c>
      <c r="T1653" s="39" t="str">
        <f>IF(ISERROR(FIND('112'!$M$9,G1653,1)),"",IF((AND(LEFT(G1653,2)=LEFT('112'!$M$9,2),B1653&lt;'112'!$N$8,$L1653='112'!$I$6)),"x",""))</f>
        <v/>
      </c>
      <c r="U1653" s="39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39" t="str">
        <f>IF(OR(TH!L1653=TH!$W$7,M1653=TH!$W$7),"x","")</f>
        <v/>
      </c>
      <c r="X1653" s="39" t="str">
        <f>IF(AND(B1653&gt;='IN-NX'!$P$3,B1653&lt;='IN-NX'!$Q$3,'IN-NX'!$D$7=D1653,OR(LEFT(L1653,2)="15",AND(LEFT(M1653,2)&lt;&gt;"15",LEFT(M1653,2)&lt;&gt;"33"))),"x","")</f>
        <v/>
      </c>
      <c r="Y1653" s="39" t="str">
        <f>IF(AND(OR(LEFT(TH!L1653,2)="15",LEFT(TH!M1653,2)="15"),'152-CT'!$J$8=TH!F1653),"x","")</f>
        <v/>
      </c>
      <c r="Z1653" s="39" t="str">
        <f>IF(AND(OR(LEFT(TH!L1653,2)="15",LEFT(TH!M1653,2)="15"),TK!$E$7=TH!F1653),"x","")</f>
        <v/>
      </c>
      <c r="AA1653" s="39" t="str">
        <f>IF(AND(B1653&lt;=NKC!$N$8,B1653&gt;=NKC!$M$8),"x","")</f>
        <v/>
      </c>
      <c r="AB1653" s="821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97"/>
        <v/>
      </c>
      <c r="C1654" s="191"/>
      <c r="D1654" s="191"/>
      <c r="E1654" s="191"/>
      <c r="F1654" s="192"/>
      <c r="G1654" s="468"/>
      <c r="H1654" s="764"/>
      <c r="I1654" s="256"/>
      <c r="J1654" s="256"/>
      <c r="K1654" s="568"/>
      <c r="L1654" s="194"/>
      <c r="M1654" s="194"/>
      <c r="N1654" s="39" t="str">
        <f>IF(AND('331-CT'!$E$7=TH!H1654,OR(L1654="331",M1654="331")),"331",IF(AND(OR(L1654="131",M1654="131"),H1654='131-CT'!$E$7),"131",""))</f>
        <v/>
      </c>
      <c r="O1654" s="902" t="str">
        <f>IF(AND('341-CT'!$E$9=H1654,OR(LEFT(L1654,3)=$O$7,LEFT(M1654,3)=$O$7)),"x","")</f>
        <v/>
      </c>
      <c r="P1654" s="39" t="str">
        <f>IF(AND($B1654&gt;='111'!$N$11,$B1654&lt;='111'!$O$11,OR($L1654=$P$7,$M1654=$P$7)),"x","")</f>
        <v/>
      </c>
      <c r="Q1654" s="39" t="str">
        <f>IF(AND($L1654=$P$7,$B1654&lt;'111'!$N$11),"x","")</f>
        <v/>
      </c>
      <c r="R1654" s="39" t="str">
        <f>IF(AND($M1654=$P$7,$B1654&lt;'111'!$N$11),"x","")</f>
        <v/>
      </c>
      <c r="S1654" s="39" t="str">
        <f>IF(ISERROR(FIND('112'!$M$9,G1654,1)),"",IF((AND(FIND('112'!$M$9,G1654,1)&gt;=1,$B1654&gt;='112'!$N$8,$B1654&lt;='112'!$O$8,OR($L1654='112'!$I$6,$M1654='112'!$I$6))),"x",""))</f>
        <v/>
      </c>
      <c r="T1654" s="39" t="str">
        <f>IF(ISERROR(FIND('112'!$M$9,G1654,1)),"",IF((AND(LEFT(G1654,2)=LEFT('112'!$M$9,2),B1654&lt;'112'!$N$8,$L1654='112'!$I$6)),"x",""))</f>
        <v/>
      </c>
      <c r="U1654" s="39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39" t="str">
        <f>IF(OR(TH!L1654=TH!$W$7,M1654=TH!$W$7),"x","")</f>
        <v/>
      </c>
      <c r="X1654" s="39" t="str">
        <f>IF(AND(B1654&gt;='IN-NX'!$P$3,B1654&lt;='IN-NX'!$Q$3,'IN-NX'!$D$7=D1654,OR(LEFT(L1654,2)="15",AND(LEFT(M1654,2)&lt;&gt;"15",LEFT(M1654,2)&lt;&gt;"33"))),"x","")</f>
        <v/>
      </c>
      <c r="Y1654" s="39" t="str">
        <f>IF(AND(OR(LEFT(TH!L1654,2)="15",LEFT(TH!M1654,2)="15"),'152-CT'!$J$8=TH!F1654),"x","")</f>
        <v/>
      </c>
      <c r="Z1654" s="39" t="str">
        <f>IF(AND(OR(LEFT(TH!L1654,2)="15",LEFT(TH!M1654,2)="15"),TK!$E$7=TH!F1654),"x","")</f>
        <v/>
      </c>
      <c r="AA1654" s="39" t="str">
        <f>IF(AND(B1654&lt;=NKC!$N$8,B1654&gt;=NKC!$M$8),"x","")</f>
        <v/>
      </c>
      <c r="AB1654" s="821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97"/>
        <v/>
      </c>
      <c r="C1655" s="191"/>
      <c r="D1655" s="191"/>
      <c r="E1655" s="191"/>
      <c r="F1655" s="192"/>
      <c r="G1655" s="468"/>
      <c r="H1655" s="764"/>
      <c r="I1655" s="256"/>
      <c r="J1655" s="256"/>
      <c r="K1655" s="568"/>
      <c r="L1655" s="194"/>
      <c r="M1655" s="194"/>
      <c r="N1655" s="39" t="str">
        <f>IF(AND('331-CT'!$E$7=TH!H1655,OR(L1655="331",M1655="331")),"331",IF(AND(OR(L1655="131",M1655="131"),H1655='131-CT'!$E$7),"131",""))</f>
        <v/>
      </c>
      <c r="O1655" s="902" t="str">
        <f>IF(AND('341-CT'!$E$9=H1655,OR(LEFT(L1655,3)=$O$7,LEFT(M1655,3)=$O$7)),"x","")</f>
        <v/>
      </c>
      <c r="P1655" s="39" t="str">
        <f>IF(AND($B1655&gt;='111'!$N$11,$B1655&lt;='111'!$O$11,OR($L1655=$P$7,$M1655=$P$7)),"x","")</f>
        <v/>
      </c>
      <c r="Q1655" s="39" t="str">
        <f>IF(AND($L1655=$P$7,$B1655&lt;'111'!$N$11),"x","")</f>
        <v/>
      </c>
      <c r="R1655" s="39" t="str">
        <f>IF(AND($M1655=$P$7,$B1655&lt;'111'!$N$11),"x","")</f>
        <v/>
      </c>
      <c r="S1655" s="39" t="str">
        <f>IF(ISERROR(FIND('112'!$M$9,G1655,1)),"",IF((AND(FIND('112'!$M$9,G1655,1)&gt;=1,$B1655&gt;='112'!$N$8,$B1655&lt;='112'!$O$8,OR($L1655='112'!$I$6,$M1655='112'!$I$6))),"x",""))</f>
        <v/>
      </c>
      <c r="T1655" s="39" t="str">
        <f>IF(ISERROR(FIND('112'!$M$9,G1655,1)),"",IF((AND(LEFT(G1655,2)=LEFT('112'!$M$9,2),B1655&lt;'112'!$N$8,$L1655='112'!$I$6)),"x",""))</f>
        <v/>
      </c>
      <c r="U1655" s="39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39" t="str">
        <f>IF(OR(TH!L1655=TH!$W$7,M1655=TH!$W$7),"x","")</f>
        <v/>
      </c>
      <c r="X1655" s="39" t="str">
        <f>IF(AND(B1655&gt;='IN-NX'!$P$3,B1655&lt;='IN-NX'!$Q$3,'IN-NX'!$D$7=D1655,OR(LEFT(L1655,2)="15",AND(LEFT(M1655,2)&lt;&gt;"15",LEFT(M1655,2)&lt;&gt;"33"))),"x","")</f>
        <v/>
      </c>
      <c r="Y1655" s="39" t="str">
        <f>IF(AND(OR(LEFT(TH!L1655,2)="15",LEFT(TH!M1655,2)="15"),'152-CT'!$J$8=TH!F1655),"x","")</f>
        <v/>
      </c>
      <c r="Z1655" s="39" t="str">
        <f>IF(AND(OR(LEFT(TH!L1655,2)="15",LEFT(TH!M1655,2)="15"),TK!$E$7=TH!F1655),"x","")</f>
        <v/>
      </c>
      <c r="AA1655" s="39" t="str">
        <f>IF(AND(B1655&lt;=NKC!$N$8,B1655&gt;=NKC!$M$8),"x","")</f>
        <v/>
      </c>
      <c r="AB1655" s="821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97"/>
        <v/>
      </c>
      <c r="C1656" s="191"/>
      <c r="D1656" s="191"/>
      <c r="E1656" s="191"/>
      <c r="F1656" s="192"/>
      <c r="G1656" s="468"/>
      <c r="H1656" s="764"/>
      <c r="I1656" s="256"/>
      <c r="J1656" s="256"/>
      <c r="K1656" s="568"/>
      <c r="L1656" s="194"/>
      <c r="M1656" s="194"/>
      <c r="N1656" s="39" t="str">
        <f>IF(AND('331-CT'!$E$7=TH!H1656,OR(L1656="331",M1656="331")),"331",IF(AND(OR(L1656="131",M1656="131"),H1656='131-CT'!$E$7),"131",""))</f>
        <v/>
      </c>
      <c r="O1656" s="902" t="str">
        <f>IF(AND('341-CT'!$E$9=H1656,OR(LEFT(L1656,3)=$O$7,LEFT(M1656,3)=$O$7)),"x","")</f>
        <v/>
      </c>
      <c r="P1656" s="39" t="str">
        <f>IF(AND($B1656&gt;='111'!$N$11,$B1656&lt;='111'!$O$11,OR($L1656=$P$7,$M1656=$P$7)),"x","")</f>
        <v/>
      </c>
      <c r="Q1656" s="39" t="str">
        <f>IF(AND($L1656=$P$7,$B1656&lt;'111'!$N$11),"x","")</f>
        <v/>
      </c>
      <c r="R1656" s="39" t="str">
        <f>IF(AND($M1656=$P$7,$B1656&lt;'111'!$N$11),"x","")</f>
        <v/>
      </c>
      <c r="S1656" s="39" t="str">
        <f>IF(ISERROR(FIND('112'!$M$9,G1656,1)),"",IF((AND(FIND('112'!$M$9,G1656,1)&gt;=1,$B1656&gt;='112'!$N$8,$B1656&lt;='112'!$O$8,OR($L1656='112'!$I$6,$M1656='112'!$I$6))),"x",""))</f>
        <v/>
      </c>
      <c r="T1656" s="39" t="str">
        <f>IF(ISERROR(FIND('112'!$M$9,G1656,1)),"",IF((AND(LEFT(G1656,2)=LEFT('112'!$M$9,2),B1656&lt;'112'!$N$8,$L1656='112'!$I$6)),"x",""))</f>
        <v/>
      </c>
      <c r="U1656" s="39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39" t="str">
        <f>IF(OR(TH!L1656=TH!$W$7,M1656=TH!$W$7),"x","")</f>
        <v/>
      </c>
      <c r="X1656" s="39" t="str">
        <f>IF(AND(B1656&gt;='IN-NX'!$P$3,B1656&lt;='IN-NX'!$Q$3,'IN-NX'!$D$7=D1656,OR(LEFT(L1656,2)="15",AND(LEFT(M1656,2)&lt;&gt;"15",LEFT(M1656,2)&lt;&gt;"33"))),"x","")</f>
        <v/>
      </c>
      <c r="Y1656" s="39" t="str">
        <f>IF(AND(OR(LEFT(TH!L1656,2)="15",LEFT(TH!M1656,2)="15"),'152-CT'!$J$8=TH!F1656),"x","")</f>
        <v/>
      </c>
      <c r="Z1656" s="39" t="str">
        <f>IF(AND(OR(LEFT(TH!L1656,2)="15",LEFT(TH!M1656,2)="15"),TK!$E$7=TH!F1656),"x","")</f>
        <v/>
      </c>
      <c r="AA1656" s="39" t="str">
        <f>IF(AND(B1656&lt;=NKC!$N$8,B1656&gt;=NKC!$M$8),"x","")</f>
        <v/>
      </c>
      <c r="AB1656" s="821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ref="B1657:B1720" si="98">IF(C1657&lt;&gt;"",MONTH(C1657),"")</f>
        <v/>
      </c>
      <c r="C1657" s="191"/>
      <c r="D1657" s="191"/>
      <c r="E1657" s="191"/>
      <c r="F1657" s="192"/>
      <c r="G1657" s="468"/>
      <c r="H1657" s="764"/>
      <c r="I1657" s="256"/>
      <c r="J1657" s="256"/>
      <c r="K1657" s="568"/>
      <c r="L1657" s="194"/>
      <c r="M1657" s="194"/>
      <c r="N1657" s="39" t="str">
        <f>IF(AND('331-CT'!$E$7=TH!H1657,OR(L1657="331",M1657="331")),"331",IF(AND(OR(L1657="131",M1657="131"),H1657='131-CT'!$E$7),"131",""))</f>
        <v/>
      </c>
      <c r="O1657" s="902" t="str">
        <f>IF(AND('341-CT'!$E$9=H1657,OR(LEFT(L1657,3)=$O$7,LEFT(M1657,3)=$O$7)),"x","")</f>
        <v/>
      </c>
      <c r="P1657" s="39" t="str">
        <f>IF(AND($B1657&gt;='111'!$N$11,$B1657&lt;='111'!$O$11,OR($L1657=$P$7,$M1657=$P$7)),"x","")</f>
        <v/>
      </c>
      <c r="Q1657" s="39" t="str">
        <f>IF(AND($L1657=$P$7,$B1657&lt;'111'!$N$11),"x","")</f>
        <v/>
      </c>
      <c r="R1657" s="39" t="str">
        <f>IF(AND($M1657=$P$7,$B1657&lt;'111'!$N$11),"x","")</f>
        <v/>
      </c>
      <c r="S1657" s="39" t="str">
        <f>IF(ISERROR(FIND('112'!$M$9,G1657,1)),"",IF((AND(FIND('112'!$M$9,G1657,1)&gt;=1,$B1657&gt;='112'!$N$8,$B1657&lt;='112'!$O$8,OR($L1657='112'!$I$6,$M1657='112'!$I$6))),"x",""))</f>
        <v/>
      </c>
      <c r="T1657" s="39" t="str">
        <f>IF(ISERROR(FIND('112'!$M$9,G1657,1)),"",IF((AND(LEFT(G1657,2)=LEFT('112'!$M$9,2),B1657&lt;'112'!$N$8,$L1657='112'!$I$6)),"x",""))</f>
        <v/>
      </c>
      <c r="U1657" s="39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39" t="str">
        <f>IF(OR(TH!L1657=TH!$W$7,M1657=TH!$W$7),"x","")</f>
        <v/>
      </c>
      <c r="X1657" s="39" t="str">
        <f>IF(AND(B1657&gt;='IN-NX'!$P$3,B1657&lt;='IN-NX'!$Q$3,'IN-NX'!$D$7=D1657,OR(LEFT(L1657,2)="15",AND(LEFT(M1657,2)&lt;&gt;"15",LEFT(M1657,2)&lt;&gt;"33"))),"x","")</f>
        <v/>
      </c>
      <c r="Y1657" s="39" t="str">
        <f>IF(AND(OR(LEFT(TH!L1657,2)="15",LEFT(TH!M1657,2)="15"),'152-CT'!$J$8=TH!F1657),"x","")</f>
        <v/>
      </c>
      <c r="Z1657" s="39" t="str">
        <f>IF(AND(OR(LEFT(TH!L1657,2)="15",LEFT(TH!M1657,2)="15"),TK!$E$7=TH!F1657),"x","")</f>
        <v/>
      </c>
      <c r="AA1657" s="39" t="str">
        <f>IF(AND(B1657&lt;=NKC!$N$8,B1657&gt;=NKC!$M$8),"x","")</f>
        <v/>
      </c>
      <c r="AB1657" s="821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98"/>
        <v/>
      </c>
      <c r="C1658" s="191"/>
      <c r="D1658" s="191"/>
      <c r="E1658" s="191"/>
      <c r="F1658" s="192"/>
      <c r="G1658" s="468"/>
      <c r="H1658" s="764"/>
      <c r="I1658" s="256"/>
      <c r="J1658" s="256"/>
      <c r="K1658" s="568"/>
      <c r="L1658" s="194"/>
      <c r="M1658" s="194"/>
      <c r="N1658" s="39" t="str">
        <f>IF(AND('331-CT'!$E$7=TH!H1658,OR(L1658="331",M1658="331")),"331",IF(AND(OR(L1658="131",M1658="131"),H1658='131-CT'!$E$7),"131",""))</f>
        <v/>
      </c>
      <c r="O1658" s="902" t="str">
        <f>IF(AND('341-CT'!$E$9=H1658,OR(LEFT(L1658,3)=$O$7,LEFT(M1658,3)=$O$7)),"x","")</f>
        <v/>
      </c>
      <c r="P1658" s="39" t="str">
        <f>IF(AND($B1658&gt;='111'!$N$11,$B1658&lt;='111'!$O$11,OR($L1658=$P$7,$M1658=$P$7)),"x","")</f>
        <v/>
      </c>
      <c r="Q1658" s="39" t="str">
        <f>IF(AND($L1658=$P$7,$B1658&lt;'111'!$N$11),"x","")</f>
        <v/>
      </c>
      <c r="R1658" s="39" t="str">
        <f>IF(AND($M1658=$P$7,$B1658&lt;'111'!$N$11),"x","")</f>
        <v/>
      </c>
      <c r="S1658" s="39" t="str">
        <f>IF(ISERROR(FIND('112'!$M$9,G1658,1)),"",IF((AND(FIND('112'!$M$9,G1658,1)&gt;=1,$B1658&gt;='112'!$N$8,$B1658&lt;='112'!$O$8,OR($L1658='112'!$I$6,$M1658='112'!$I$6))),"x",""))</f>
        <v/>
      </c>
      <c r="T1658" s="39" t="str">
        <f>IF(ISERROR(FIND('112'!$M$9,G1658,1)),"",IF((AND(LEFT(G1658,2)=LEFT('112'!$M$9,2),B1658&lt;'112'!$N$8,$L1658='112'!$I$6)),"x",""))</f>
        <v/>
      </c>
      <c r="U1658" s="39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39" t="str">
        <f>IF(OR(TH!L1658=TH!$W$7,M1658=TH!$W$7),"x","")</f>
        <v/>
      </c>
      <c r="X1658" s="39" t="str">
        <f>IF(AND(B1658&gt;='IN-NX'!$P$3,B1658&lt;='IN-NX'!$Q$3,'IN-NX'!$D$7=D1658,OR(LEFT(L1658,2)="15",AND(LEFT(M1658,2)&lt;&gt;"15",LEFT(M1658,2)&lt;&gt;"33"))),"x","")</f>
        <v/>
      </c>
      <c r="Y1658" s="39" t="str">
        <f>IF(AND(OR(LEFT(TH!L1658,2)="15",LEFT(TH!M1658,2)="15"),'152-CT'!$J$8=TH!F1658),"x","")</f>
        <v/>
      </c>
      <c r="Z1658" s="39" t="str">
        <f>IF(AND(OR(LEFT(TH!L1658,2)="15",LEFT(TH!M1658,2)="15"),TK!$E$7=TH!F1658),"x","")</f>
        <v/>
      </c>
      <c r="AA1658" s="39" t="str">
        <f>IF(AND(B1658&lt;=NKC!$N$8,B1658&gt;=NKC!$M$8),"x","")</f>
        <v/>
      </c>
      <c r="AB1658" s="821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98"/>
        <v/>
      </c>
      <c r="C1659" s="191"/>
      <c r="D1659" s="191"/>
      <c r="E1659" s="191"/>
      <c r="F1659" s="192"/>
      <c r="G1659" s="468"/>
      <c r="H1659" s="764"/>
      <c r="I1659" s="256"/>
      <c r="J1659" s="256"/>
      <c r="K1659" s="568"/>
      <c r="L1659" s="194"/>
      <c r="M1659" s="194"/>
      <c r="N1659" s="39" t="str">
        <f>IF(AND('331-CT'!$E$7=TH!H1659,OR(L1659="331",M1659="331")),"331",IF(AND(OR(L1659="131",M1659="131"),H1659='131-CT'!$E$7),"131",""))</f>
        <v/>
      </c>
      <c r="O1659" s="902" t="str">
        <f>IF(AND('341-CT'!$E$9=H1659,OR(LEFT(L1659,3)=$O$7,LEFT(M1659,3)=$O$7)),"x","")</f>
        <v/>
      </c>
      <c r="P1659" s="39" t="str">
        <f>IF(AND($B1659&gt;='111'!$N$11,$B1659&lt;='111'!$O$11,OR($L1659=$P$7,$M1659=$P$7)),"x","")</f>
        <v/>
      </c>
      <c r="Q1659" s="39" t="str">
        <f>IF(AND($L1659=$P$7,$B1659&lt;'111'!$N$11),"x","")</f>
        <v/>
      </c>
      <c r="R1659" s="39" t="str">
        <f>IF(AND($M1659=$P$7,$B1659&lt;'111'!$N$11),"x","")</f>
        <v/>
      </c>
      <c r="S1659" s="39" t="str">
        <f>IF(ISERROR(FIND('112'!$M$9,G1659,1)),"",IF((AND(FIND('112'!$M$9,G1659,1)&gt;=1,$B1659&gt;='112'!$N$8,$B1659&lt;='112'!$O$8,OR($L1659='112'!$I$6,$M1659='112'!$I$6))),"x",""))</f>
        <v/>
      </c>
      <c r="T1659" s="39" t="str">
        <f>IF(ISERROR(FIND('112'!$M$9,G1659,1)),"",IF((AND(LEFT(G1659,2)=LEFT('112'!$M$9,2),B1659&lt;'112'!$N$8,$L1659='112'!$I$6)),"x",""))</f>
        <v/>
      </c>
      <c r="U1659" s="39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39" t="str">
        <f>IF(OR(TH!L1659=TH!$W$7,M1659=TH!$W$7),"x","")</f>
        <v/>
      </c>
      <c r="X1659" s="39" t="str">
        <f>IF(AND(B1659&gt;='IN-NX'!$P$3,B1659&lt;='IN-NX'!$Q$3,'IN-NX'!$D$7=D1659,OR(LEFT(L1659,2)="15",AND(LEFT(M1659,2)&lt;&gt;"15",LEFT(M1659,2)&lt;&gt;"33"))),"x","")</f>
        <v/>
      </c>
      <c r="Y1659" s="39" t="str">
        <f>IF(AND(OR(LEFT(TH!L1659,2)="15",LEFT(TH!M1659,2)="15"),'152-CT'!$J$8=TH!F1659),"x","")</f>
        <v/>
      </c>
      <c r="Z1659" s="39" t="str">
        <f>IF(AND(OR(LEFT(TH!L1659,2)="15",LEFT(TH!M1659,2)="15"),TK!$E$7=TH!F1659),"x","")</f>
        <v/>
      </c>
      <c r="AA1659" s="39" t="str">
        <f>IF(AND(B1659&lt;=NKC!$N$8,B1659&gt;=NKC!$M$8),"x","")</f>
        <v/>
      </c>
      <c r="AB1659" s="821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98"/>
        <v/>
      </c>
      <c r="C1660" s="191"/>
      <c r="D1660" s="191"/>
      <c r="E1660" s="191"/>
      <c r="F1660" s="192"/>
      <c r="G1660" s="468"/>
      <c r="H1660" s="764"/>
      <c r="I1660" s="256"/>
      <c r="J1660" s="256"/>
      <c r="K1660" s="568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902" t="str">
        <f>IF(AND('341-CT'!$E$9=H1660,OR(LEFT(L1660,3)=$O$7,LEFT(M1660,3)=$O$7)),"x","")</f>
        <v/>
      </c>
      <c r="P1660" s="39" t="str">
        <f>IF(AND($B1660&gt;='111'!$N$11,$B1660&lt;='111'!$O$11,OR($L1660=$P$7,$M1660=$P$7)),"x","")</f>
        <v/>
      </c>
      <c r="Q1660" s="39" t="str">
        <f>IF(AND($L1660=$P$7,$B1660&lt;'111'!$N$11),"x","")</f>
        <v/>
      </c>
      <c r="R1660" s="39" t="str">
        <f>IF(AND($M1660=$P$7,$B1660&lt;'111'!$N$11),"x","")</f>
        <v/>
      </c>
      <c r="S1660" s="39" t="str">
        <f>IF(ISERROR(FIND('112'!$M$9,G1660,1)),"",IF((AND(FIND('112'!$M$9,G1660,1)&gt;=1,$B1660&gt;='112'!$N$8,$B1660&lt;='112'!$O$8,OR($L1660='112'!$I$6,$M1660='112'!$I$6))),"x",""))</f>
        <v/>
      </c>
      <c r="T1660" s="39" t="str">
        <f>IF(ISERROR(FIND('112'!$M$9,G1660,1)),"",IF((AND(LEFT(G1660,2)=LEFT('112'!$M$9,2),B1660&lt;'112'!$N$8,$L1660='112'!$I$6)),"x",""))</f>
        <v/>
      </c>
      <c r="U1660" s="39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39" t="str">
        <f>IF(OR(TH!L1660=TH!$W$7,M1660=TH!$W$7),"x","")</f>
        <v/>
      </c>
      <c r="X1660" s="39" t="str">
        <f>IF(AND(B1660&gt;='IN-NX'!$P$3,B1660&lt;='IN-NX'!$Q$3,'IN-NX'!$D$7=D1660,OR(LEFT(L1660,2)="15",AND(LEFT(M1660,2)&lt;&gt;"15",LEFT(M1660,2)&lt;&gt;"33"))),"x","")</f>
        <v/>
      </c>
      <c r="Y1660" s="39" t="str">
        <f>IF(AND(OR(LEFT(TH!L1660,2)="15",LEFT(TH!M1660,2)="15"),'152-CT'!$J$8=TH!F1660),"x","")</f>
        <v/>
      </c>
      <c r="Z1660" s="39" t="str">
        <f>IF(AND(OR(LEFT(TH!L1660,2)="15",LEFT(TH!M1660,2)="15"),TK!$E$7=TH!F1660),"x","")</f>
        <v/>
      </c>
      <c r="AA1660" s="39" t="str">
        <f>IF(AND(B1660&lt;=NKC!$N$8,B1660&gt;=NKC!$M$8),"x","")</f>
        <v/>
      </c>
      <c r="AB1660" s="821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98"/>
        <v/>
      </c>
      <c r="C1661" s="191"/>
      <c r="D1661" s="191"/>
      <c r="E1661" s="191"/>
      <c r="F1661" s="192"/>
      <c r="G1661" s="468"/>
      <c r="H1661" s="764"/>
      <c r="I1661" s="256"/>
      <c r="J1661" s="256"/>
      <c r="K1661" s="568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902" t="str">
        <f>IF(AND('341-CT'!$E$9=H1661,OR(LEFT(L1661,3)=$O$7,LEFT(M1661,3)=$O$7)),"x","")</f>
        <v/>
      </c>
      <c r="P1661" s="39" t="str">
        <f>IF(AND($B1661&gt;='111'!$N$11,$B1661&lt;='111'!$O$11,OR($L1661=$P$7,$M1661=$P$7)),"x","")</f>
        <v/>
      </c>
      <c r="Q1661" s="39" t="str">
        <f>IF(AND($L1661=$P$7,$B1661&lt;'111'!$N$11),"x","")</f>
        <v/>
      </c>
      <c r="R1661" s="39" t="str">
        <f>IF(AND($M1661=$P$7,$B1661&lt;'111'!$N$11),"x","")</f>
        <v/>
      </c>
      <c r="S1661" s="39" t="str">
        <f>IF(ISERROR(FIND('112'!$M$9,G1661,1)),"",IF((AND(FIND('112'!$M$9,G1661,1)&gt;=1,$B1661&gt;='112'!$N$8,$B1661&lt;='112'!$O$8,OR($L1661='112'!$I$6,$M1661='112'!$I$6))),"x",""))</f>
        <v/>
      </c>
      <c r="T1661" s="39" t="str">
        <f>IF(ISERROR(FIND('112'!$M$9,G1661,1)),"",IF((AND(LEFT(G1661,2)=LEFT('112'!$M$9,2),B1661&lt;'112'!$N$8,$L1661='112'!$I$6)),"x",""))</f>
        <v/>
      </c>
      <c r="U1661" s="39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39" t="str">
        <f>IF(OR(TH!L1661=TH!$W$7,M1661=TH!$W$7),"x","")</f>
        <v/>
      </c>
      <c r="X1661" s="39" t="str">
        <f>IF(AND(B1661&gt;='IN-NX'!$P$3,B1661&lt;='IN-NX'!$Q$3,'IN-NX'!$D$7=D1661,OR(LEFT(L1661,2)="15",AND(LEFT(M1661,2)&lt;&gt;"15",LEFT(M1661,2)&lt;&gt;"33"))),"x","")</f>
        <v/>
      </c>
      <c r="Y1661" s="39" t="str">
        <f>IF(AND(OR(LEFT(TH!L1661,2)="15",LEFT(TH!M1661,2)="15"),'152-CT'!$J$8=TH!F1661),"x","")</f>
        <v/>
      </c>
      <c r="Z1661" s="39" t="str">
        <f>IF(AND(OR(LEFT(TH!L1661,2)="15",LEFT(TH!M1661,2)="15"),TK!$E$7=TH!F1661),"x","")</f>
        <v/>
      </c>
      <c r="AA1661" s="39" t="str">
        <f>IF(AND(B1661&lt;=NKC!$N$8,B1661&gt;=NKC!$M$8),"x","")</f>
        <v/>
      </c>
      <c r="AB1661" s="821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98"/>
        <v/>
      </c>
      <c r="C1662" s="191"/>
      <c r="D1662" s="191"/>
      <c r="E1662" s="191"/>
      <c r="F1662" s="192"/>
      <c r="G1662" s="468"/>
      <c r="H1662" s="764"/>
      <c r="I1662" s="256"/>
      <c r="J1662" s="256"/>
      <c r="K1662" s="568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902" t="str">
        <f>IF(AND('341-CT'!$E$9=H1662,OR(LEFT(L1662,3)=$O$7,LEFT(M1662,3)=$O$7)),"x","")</f>
        <v/>
      </c>
      <c r="P1662" s="39" t="str">
        <f>IF(AND($B1662&gt;='111'!$N$11,$B1662&lt;='111'!$O$11,OR($L1662=$P$7,$M1662=$P$7)),"x","")</f>
        <v/>
      </c>
      <c r="Q1662" s="39" t="str">
        <f>IF(AND($L1662=$P$7,$B1662&lt;'111'!$N$11),"x","")</f>
        <v/>
      </c>
      <c r="R1662" s="39" t="str">
        <f>IF(AND($M1662=$P$7,$B1662&lt;'111'!$N$11),"x","")</f>
        <v/>
      </c>
      <c r="S1662" s="39" t="str">
        <f>IF(ISERROR(FIND('112'!$M$9,G1662,1)),"",IF((AND(FIND('112'!$M$9,G1662,1)&gt;=1,$B1662&gt;='112'!$N$8,$B1662&lt;='112'!$O$8,OR($L1662='112'!$I$6,$M1662='112'!$I$6))),"x",""))</f>
        <v/>
      </c>
      <c r="T1662" s="39" t="str">
        <f>IF(ISERROR(FIND('112'!$M$9,G1662,1)),"",IF((AND(LEFT(G1662,2)=LEFT('112'!$M$9,2),B1662&lt;'112'!$N$8,$L1662='112'!$I$6)),"x",""))</f>
        <v/>
      </c>
      <c r="U1662" s="39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39" t="str">
        <f>IF(OR(TH!L1662=TH!$W$7,M1662=TH!$W$7),"x","")</f>
        <v/>
      </c>
      <c r="X1662" s="39" t="str">
        <f>IF(AND(B1662&gt;='IN-NX'!$P$3,B1662&lt;='IN-NX'!$Q$3,'IN-NX'!$D$7=D1662,OR(LEFT(L1662,2)="15",AND(LEFT(M1662,2)&lt;&gt;"15",LEFT(M1662,2)&lt;&gt;"33"))),"x","")</f>
        <v/>
      </c>
      <c r="Y1662" s="39" t="str">
        <f>IF(AND(OR(LEFT(TH!L1662,2)="15",LEFT(TH!M1662,2)="15"),'152-CT'!$J$8=TH!F1662),"x","")</f>
        <v/>
      </c>
      <c r="Z1662" s="39" t="str">
        <f>IF(AND(OR(LEFT(TH!L1662,2)="15",LEFT(TH!M1662,2)="15"),TK!$E$7=TH!F1662),"x","")</f>
        <v/>
      </c>
      <c r="AA1662" s="39" t="str">
        <f>IF(AND(B1662&lt;=NKC!$N$8,B1662&gt;=NKC!$M$8),"x","")</f>
        <v/>
      </c>
      <c r="AB1662" s="821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98"/>
        <v/>
      </c>
      <c r="C1663" s="191"/>
      <c r="D1663" s="191"/>
      <c r="E1663" s="191"/>
      <c r="F1663" s="192"/>
      <c r="G1663" s="468"/>
      <c r="H1663" s="764"/>
      <c r="I1663" s="256"/>
      <c r="J1663" s="256"/>
      <c r="K1663" s="568"/>
      <c r="L1663" s="194"/>
      <c r="M1663" s="194"/>
      <c r="N1663" s="39" t="str">
        <f>IF(AND('331-CT'!$E$7=TH!H1663,OR(L1663="331",M1663="331")),"331",IF(AND(OR(L1663="131",M1663="131"),H1663='131-CT'!$E$7),"131",""))</f>
        <v/>
      </c>
      <c r="O1663" s="902" t="str">
        <f>IF(AND('341-CT'!$E$9=H1663,OR(LEFT(L1663,3)=$O$7,LEFT(M1663,3)=$O$7)),"x","")</f>
        <v/>
      </c>
      <c r="P1663" s="39" t="str">
        <f>IF(AND($B1663&gt;='111'!$N$11,$B1663&lt;='111'!$O$11,OR($L1663=$P$7,$M1663=$P$7)),"x","")</f>
        <v/>
      </c>
      <c r="Q1663" s="39" t="str">
        <f>IF(AND($L1663=$P$7,$B1663&lt;'111'!$N$11),"x","")</f>
        <v/>
      </c>
      <c r="R1663" s="39" t="str">
        <f>IF(AND($M1663=$P$7,$B1663&lt;'111'!$N$11),"x","")</f>
        <v/>
      </c>
      <c r="S1663" s="39" t="str">
        <f>IF(ISERROR(FIND('112'!$M$9,G1663,1)),"",IF((AND(FIND('112'!$M$9,G1663,1)&gt;=1,$B1663&gt;='112'!$N$8,$B1663&lt;='112'!$O$8,OR($L1663='112'!$I$6,$M1663='112'!$I$6))),"x",""))</f>
        <v/>
      </c>
      <c r="T1663" s="39" t="str">
        <f>IF(ISERROR(FIND('112'!$M$9,G1663,1)),"",IF((AND(LEFT(G1663,2)=LEFT('112'!$M$9,2),B1663&lt;'112'!$N$8,$L1663='112'!$I$6)),"x",""))</f>
        <v/>
      </c>
      <c r="U1663" s="39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39" t="str">
        <f>IF(OR(TH!L1663=TH!$W$7,M1663=TH!$W$7),"x","")</f>
        <v/>
      </c>
      <c r="X1663" s="39" t="str">
        <f>IF(AND(B1663&gt;='IN-NX'!$P$3,B1663&lt;='IN-NX'!$Q$3,'IN-NX'!$D$7=D1663,OR(LEFT(L1663,2)="15",AND(LEFT(M1663,2)&lt;&gt;"15",LEFT(M1663,2)&lt;&gt;"33"))),"x","")</f>
        <v/>
      </c>
      <c r="Y1663" s="39" t="str">
        <f>IF(AND(OR(LEFT(TH!L1663,2)="15",LEFT(TH!M1663,2)="15"),'152-CT'!$J$8=TH!F1663),"x","")</f>
        <v/>
      </c>
      <c r="Z1663" s="39" t="str">
        <f>IF(AND(OR(LEFT(TH!L1663,2)="15",LEFT(TH!M1663,2)="15"),TK!$E$7=TH!F1663),"x","")</f>
        <v/>
      </c>
      <c r="AA1663" s="39" t="str">
        <f>IF(AND(B1663&lt;=NKC!$N$8,B1663&gt;=NKC!$M$8),"x","")</f>
        <v/>
      </c>
      <c r="AB1663" s="821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98"/>
        <v/>
      </c>
      <c r="C1664" s="191"/>
      <c r="D1664" s="191"/>
      <c r="E1664" s="191"/>
      <c r="F1664" s="192"/>
      <c r="G1664" s="468"/>
      <c r="H1664" s="764"/>
      <c r="I1664" s="256"/>
      <c r="J1664" s="256"/>
      <c r="K1664" s="568"/>
      <c r="L1664" s="194"/>
      <c r="M1664" s="194"/>
      <c r="N1664" s="39" t="str">
        <f>IF(AND('331-CT'!$E$7=TH!H1664,OR(L1664="331",M1664="331")),"331",IF(AND(OR(L1664="131",M1664="131"),H1664='131-CT'!$E$7),"131",""))</f>
        <v/>
      </c>
      <c r="O1664" s="902" t="str">
        <f>IF(AND('341-CT'!$E$9=H1664,OR(LEFT(L1664,3)=$O$7,LEFT(M1664,3)=$O$7)),"x","")</f>
        <v/>
      </c>
      <c r="P1664" s="39" t="str">
        <f>IF(AND($B1664&gt;='111'!$N$11,$B1664&lt;='111'!$O$11,OR($L1664=$P$7,$M1664=$P$7)),"x","")</f>
        <v/>
      </c>
      <c r="Q1664" s="39" t="str">
        <f>IF(AND($L1664=$P$7,$B1664&lt;'111'!$N$11),"x","")</f>
        <v/>
      </c>
      <c r="R1664" s="39" t="str">
        <f>IF(AND($M1664=$P$7,$B1664&lt;'111'!$N$11),"x","")</f>
        <v/>
      </c>
      <c r="S1664" s="39" t="str">
        <f>IF(ISERROR(FIND('112'!$M$9,G1664,1)),"",IF((AND(FIND('112'!$M$9,G1664,1)&gt;=1,$B1664&gt;='112'!$N$8,$B1664&lt;='112'!$O$8,OR($L1664='112'!$I$6,$M1664='112'!$I$6))),"x",""))</f>
        <v/>
      </c>
      <c r="T1664" s="39" t="str">
        <f>IF(ISERROR(FIND('112'!$M$9,G1664,1)),"",IF((AND(LEFT(G1664,2)=LEFT('112'!$M$9,2),B1664&lt;'112'!$N$8,$L1664='112'!$I$6)),"x",""))</f>
        <v/>
      </c>
      <c r="U1664" s="39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39" t="str">
        <f>IF(OR(TH!L1664=TH!$W$7,M1664=TH!$W$7),"x","")</f>
        <v/>
      </c>
      <c r="X1664" s="39" t="str">
        <f>IF(AND(B1664&gt;='IN-NX'!$P$3,B1664&lt;='IN-NX'!$Q$3,'IN-NX'!$D$7=D1664,OR(LEFT(L1664,2)="15",AND(LEFT(M1664,2)&lt;&gt;"15",LEFT(M1664,2)&lt;&gt;"33"))),"x","")</f>
        <v/>
      </c>
      <c r="Y1664" s="39" t="str">
        <f>IF(AND(OR(LEFT(TH!L1664,2)="15",LEFT(TH!M1664,2)="15"),'152-CT'!$J$8=TH!F1664),"x","")</f>
        <v/>
      </c>
      <c r="Z1664" s="39" t="str">
        <f>IF(AND(OR(LEFT(TH!L1664,2)="15",LEFT(TH!M1664,2)="15"),TK!$E$7=TH!F1664),"x","")</f>
        <v/>
      </c>
      <c r="AA1664" s="39" t="str">
        <f>IF(AND(B1664&lt;=NKC!$N$8,B1664&gt;=NKC!$M$8),"x","")</f>
        <v/>
      </c>
      <c r="AB1664" s="821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98"/>
        <v/>
      </c>
      <c r="C1665" s="191"/>
      <c r="D1665" s="191"/>
      <c r="E1665" s="191"/>
      <c r="F1665" s="192"/>
      <c r="G1665" s="468"/>
      <c r="H1665" s="764"/>
      <c r="I1665" s="256"/>
      <c r="J1665" s="256"/>
      <c r="K1665" s="568"/>
      <c r="L1665" s="194"/>
      <c r="M1665" s="194"/>
      <c r="N1665" s="39" t="str">
        <f>IF(AND('331-CT'!$E$7=TH!H1665,OR(L1665="331",M1665="331")),"331",IF(AND(OR(L1665="131",M1665="131"),H1665='131-CT'!$E$7),"131",""))</f>
        <v/>
      </c>
      <c r="O1665" s="902" t="str">
        <f>IF(AND('341-CT'!$E$9=H1665,OR(LEFT(L1665,3)=$O$7,LEFT(M1665,3)=$O$7)),"x","")</f>
        <v/>
      </c>
      <c r="P1665" s="39" t="str">
        <f>IF(AND($B1665&gt;='111'!$N$11,$B1665&lt;='111'!$O$11,OR($L1665=$P$7,$M1665=$P$7)),"x","")</f>
        <v/>
      </c>
      <c r="Q1665" s="39" t="str">
        <f>IF(AND($L1665=$P$7,$B1665&lt;'111'!$N$11),"x","")</f>
        <v/>
      </c>
      <c r="R1665" s="39" t="str">
        <f>IF(AND($M1665=$P$7,$B1665&lt;'111'!$N$11),"x","")</f>
        <v/>
      </c>
      <c r="S1665" s="39" t="str">
        <f>IF(ISERROR(FIND('112'!$M$9,G1665,1)),"",IF((AND(FIND('112'!$M$9,G1665,1)&gt;=1,$B1665&gt;='112'!$N$8,$B1665&lt;='112'!$O$8,OR($L1665='112'!$I$6,$M1665='112'!$I$6))),"x",""))</f>
        <v/>
      </c>
      <c r="T1665" s="39" t="str">
        <f>IF(ISERROR(FIND('112'!$M$9,G1665,1)),"",IF((AND(LEFT(G1665,2)=LEFT('112'!$M$9,2),B1665&lt;'112'!$N$8,$L1665='112'!$I$6)),"x",""))</f>
        <v/>
      </c>
      <c r="U1665" s="39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39" t="str">
        <f>IF(OR(TH!L1665=TH!$W$7,M1665=TH!$W$7),"x","")</f>
        <v/>
      </c>
      <c r="X1665" s="39" t="str">
        <f>IF(AND(B1665&gt;='IN-NX'!$P$3,B1665&lt;='IN-NX'!$Q$3,'IN-NX'!$D$7=D1665,OR(LEFT(L1665,2)="15",AND(LEFT(M1665,2)&lt;&gt;"15",LEFT(M1665,2)&lt;&gt;"33"))),"x","")</f>
        <v/>
      </c>
      <c r="Y1665" s="39" t="str">
        <f>IF(AND(OR(LEFT(TH!L1665,2)="15",LEFT(TH!M1665,2)="15"),'152-CT'!$J$8=TH!F1665),"x","")</f>
        <v/>
      </c>
      <c r="Z1665" s="39" t="str">
        <f>IF(AND(OR(LEFT(TH!L1665,2)="15",LEFT(TH!M1665,2)="15"),TK!$E$7=TH!F1665),"x","")</f>
        <v/>
      </c>
      <c r="AA1665" s="39" t="str">
        <f>IF(AND(B1665&lt;=NKC!$N$8,B1665&gt;=NKC!$M$8),"x","")</f>
        <v/>
      </c>
      <c r="AB1665" s="821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98"/>
        <v/>
      </c>
      <c r="C1666" s="191"/>
      <c r="D1666" s="191"/>
      <c r="E1666" s="191"/>
      <c r="F1666" s="192"/>
      <c r="G1666" s="468"/>
      <c r="H1666" s="764"/>
      <c r="I1666" s="256"/>
      <c r="J1666" s="256"/>
      <c r="K1666" s="568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902" t="str">
        <f>IF(AND('341-CT'!$E$9=H1666,OR(LEFT(L1666,3)=$O$7,LEFT(M1666,3)=$O$7)),"x","")</f>
        <v/>
      </c>
      <c r="P1666" s="39" t="str">
        <f>IF(AND($B1666&gt;='111'!$N$11,$B1666&lt;='111'!$O$11,OR($L1666=$P$7,$M1666=$P$7)),"x","")</f>
        <v/>
      </c>
      <c r="Q1666" s="39" t="str">
        <f>IF(AND($L1666=$P$7,$B1666&lt;'111'!$N$11),"x","")</f>
        <v/>
      </c>
      <c r="R1666" s="39" t="str">
        <f>IF(AND($M1666=$P$7,$B1666&lt;'111'!$N$11),"x","")</f>
        <v/>
      </c>
      <c r="S1666" s="39" t="str">
        <f>IF(ISERROR(FIND('112'!$M$9,G1666,1)),"",IF((AND(FIND('112'!$M$9,G1666,1)&gt;=1,$B1666&gt;='112'!$N$8,$B1666&lt;='112'!$O$8,OR($L1666='112'!$I$6,$M1666='112'!$I$6))),"x",""))</f>
        <v/>
      </c>
      <c r="T1666" s="39" t="str">
        <f>IF(ISERROR(FIND('112'!$M$9,G1666,1)),"",IF((AND(LEFT(G1666,2)=LEFT('112'!$M$9,2),B1666&lt;'112'!$N$8,$L1666='112'!$I$6)),"x",""))</f>
        <v/>
      </c>
      <c r="U1666" s="39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39" t="str">
        <f>IF(OR(TH!L1666=TH!$W$7,M1666=TH!$W$7),"x","")</f>
        <v/>
      </c>
      <c r="X1666" s="39" t="str">
        <f>IF(AND(B1666&gt;='IN-NX'!$P$3,B1666&lt;='IN-NX'!$Q$3,'IN-NX'!$D$7=D1666,OR(LEFT(L1666,2)="15",AND(LEFT(M1666,2)&lt;&gt;"15",LEFT(M1666,2)&lt;&gt;"33"))),"x","")</f>
        <v/>
      </c>
      <c r="Y1666" s="39" t="str">
        <f>IF(AND(OR(LEFT(TH!L1666,2)="15",LEFT(TH!M1666,2)="15"),'152-CT'!$J$8=TH!F1666),"x","")</f>
        <v/>
      </c>
      <c r="Z1666" s="39" t="str">
        <f>IF(AND(OR(LEFT(TH!L1666,2)="15",LEFT(TH!M1666,2)="15"),TK!$E$7=TH!F1666),"x","")</f>
        <v/>
      </c>
      <c r="AA1666" s="39" t="str">
        <f>IF(AND(B1666&lt;=NKC!$N$8,B1666&gt;=NKC!$M$8),"x","")</f>
        <v/>
      </c>
      <c r="AB1666" s="821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98"/>
        <v/>
      </c>
      <c r="C1667" s="191"/>
      <c r="D1667" s="191"/>
      <c r="E1667" s="191"/>
      <c r="F1667" s="192"/>
      <c r="G1667" s="468"/>
      <c r="H1667" s="764"/>
      <c r="I1667" s="256"/>
      <c r="J1667" s="256"/>
      <c r="K1667" s="568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902" t="str">
        <f>IF(AND('341-CT'!$E$9=H1667,OR(LEFT(L1667,3)=$O$7,LEFT(M1667,3)=$O$7)),"x","")</f>
        <v/>
      </c>
      <c r="P1667" s="39" t="str">
        <f>IF(AND($B1667&gt;='111'!$N$11,$B1667&lt;='111'!$O$11,OR($L1667=$P$7,$M1667=$P$7)),"x","")</f>
        <v/>
      </c>
      <c r="Q1667" s="39" t="str">
        <f>IF(AND($L1667=$P$7,$B1667&lt;'111'!$N$11),"x","")</f>
        <v/>
      </c>
      <c r="R1667" s="39" t="str">
        <f>IF(AND($M1667=$P$7,$B1667&lt;'111'!$N$11),"x","")</f>
        <v/>
      </c>
      <c r="S1667" s="39" t="str">
        <f>IF(ISERROR(FIND('112'!$M$9,G1667,1)),"",IF((AND(FIND('112'!$M$9,G1667,1)&gt;=1,$B1667&gt;='112'!$N$8,$B1667&lt;='112'!$O$8,OR($L1667='112'!$I$6,$M1667='112'!$I$6))),"x",""))</f>
        <v/>
      </c>
      <c r="T1667" s="39" t="str">
        <f>IF(ISERROR(FIND('112'!$M$9,G1667,1)),"",IF((AND(LEFT(G1667,2)=LEFT('112'!$M$9,2),B1667&lt;'112'!$N$8,$L1667='112'!$I$6)),"x",""))</f>
        <v/>
      </c>
      <c r="U1667" s="39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39" t="str">
        <f>IF(OR(TH!L1667=TH!$W$7,M1667=TH!$W$7),"x","")</f>
        <v/>
      </c>
      <c r="X1667" s="39" t="str">
        <f>IF(AND(B1667&gt;='IN-NX'!$P$3,B1667&lt;='IN-NX'!$Q$3,'IN-NX'!$D$7=D1667,OR(LEFT(L1667,2)="15",AND(LEFT(M1667,2)&lt;&gt;"15",LEFT(M1667,2)&lt;&gt;"33"))),"x","")</f>
        <v/>
      </c>
      <c r="Y1667" s="39" t="str">
        <f>IF(AND(OR(LEFT(TH!L1667,2)="15",LEFT(TH!M1667,2)="15"),'152-CT'!$J$8=TH!F1667),"x","")</f>
        <v/>
      </c>
      <c r="Z1667" s="39" t="str">
        <f>IF(AND(OR(LEFT(TH!L1667,2)="15",LEFT(TH!M1667,2)="15"),TK!$E$7=TH!F1667),"x","")</f>
        <v/>
      </c>
      <c r="AA1667" s="39" t="str">
        <f>IF(AND(B1667&lt;=NKC!$N$8,B1667&gt;=NKC!$M$8),"x","")</f>
        <v/>
      </c>
      <c r="AB1667" s="821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98"/>
        <v/>
      </c>
      <c r="C1668" s="37"/>
      <c r="D1668" s="37"/>
      <c r="E1668" s="37"/>
      <c r="F1668" s="40"/>
      <c r="G1668" s="40"/>
      <c r="H1668" s="7"/>
      <c r="I1668" s="256"/>
      <c r="J1668" s="256"/>
      <c r="K1668" s="568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902" t="str">
        <f>IF(AND('341-CT'!$E$9=H1668,OR(LEFT(L1668,3)=$O$7,LEFT(M1668,3)=$O$7)),"x","")</f>
        <v/>
      </c>
      <c r="P1668" s="39" t="str">
        <f>IF(AND($B1668&gt;='111'!$N$11,$B1668&lt;='111'!$O$11,OR($L1668=$P$7,$M1668=$P$7)),"x","")</f>
        <v/>
      </c>
      <c r="Q1668" s="39" t="str">
        <f>IF(AND($L1668=$P$7,$B1668&lt;'111'!$N$11),"x","")</f>
        <v/>
      </c>
      <c r="R1668" s="39" t="str">
        <f>IF(AND($M1668=$P$7,$B1668&lt;'111'!$N$11),"x","")</f>
        <v/>
      </c>
      <c r="S1668" s="39" t="str">
        <f>IF(ISERROR(FIND('112'!$M$9,G1668,1)),"",IF((AND(FIND('112'!$M$9,G1668,1)&gt;=1,$B1668&gt;='112'!$N$8,$B1668&lt;='112'!$O$8,OR($L1668='112'!$I$6,$M1668='112'!$I$6))),"x",""))</f>
        <v/>
      </c>
      <c r="T1668" s="39" t="str">
        <f>IF(ISERROR(FIND('112'!$M$9,G1668,1)),"",IF((AND(LEFT(G1668,2)=LEFT('112'!$M$9,2),B1668&lt;'112'!$N$8,$L1668='112'!$I$6)),"x",""))</f>
        <v/>
      </c>
      <c r="U1668" s="39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39" t="str">
        <f>IF(OR(TH!L1668=TH!$W$7,M1668=TH!$W$7),"x","")</f>
        <v/>
      </c>
      <c r="X1668" s="39" t="str">
        <f>IF(AND(B1668&gt;='IN-NX'!$P$3,B1668&lt;='IN-NX'!$Q$3,'IN-NX'!$D$7=D1668,OR(LEFT(L1668,2)="15",AND(LEFT(M1668,2)&lt;&gt;"15",LEFT(M1668,2)&lt;&gt;"33"))),"x","")</f>
        <v/>
      </c>
      <c r="Y1668" s="39" t="str">
        <f>IF(AND(OR(LEFT(TH!L1668,2)="15",LEFT(TH!M1668,2)="15"),'152-CT'!$J$8=TH!F1668),"x","")</f>
        <v/>
      </c>
      <c r="Z1668" s="39" t="str">
        <f>IF(AND(OR(LEFT(TH!L1668,2)="15",LEFT(TH!M1668,2)="15"),TK!$E$7=TH!F1668),"x","")</f>
        <v/>
      </c>
      <c r="AA1668" s="39" t="str">
        <f>IF(AND(B1668&lt;=NKC!$N$8,B1668&gt;=NKC!$M$8),"x","")</f>
        <v/>
      </c>
      <c r="AB1668" s="821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98"/>
        <v/>
      </c>
      <c r="C1669" s="37"/>
      <c r="D1669" s="37"/>
      <c r="E1669" s="37"/>
      <c r="F1669" s="40"/>
      <c r="G1669" s="40"/>
      <c r="H1669" s="7"/>
      <c r="I1669" s="256"/>
      <c r="J1669" s="256"/>
      <c r="K1669" s="568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902" t="str">
        <f>IF(AND('341-CT'!$E$9=H1669,OR(LEFT(L1669,3)=$O$7,LEFT(M1669,3)=$O$7)),"x","")</f>
        <v/>
      </c>
      <c r="P1669" s="39" t="str">
        <f>IF(AND($B1669&gt;='111'!$N$11,$B1669&lt;='111'!$O$11,OR($L1669=$P$7,$M1669=$P$7)),"x","")</f>
        <v/>
      </c>
      <c r="Q1669" s="39" t="str">
        <f>IF(AND($L1669=$P$7,$B1669&lt;'111'!$N$11),"x","")</f>
        <v/>
      </c>
      <c r="R1669" s="39" t="str">
        <f>IF(AND($M1669=$P$7,$B1669&lt;'111'!$N$11),"x","")</f>
        <v/>
      </c>
      <c r="S1669" s="39" t="str">
        <f>IF(ISERROR(FIND('112'!$M$9,G1669,1)),"",IF((AND(FIND('112'!$M$9,G1669,1)&gt;=1,$B1669&gt;='112'!$N$8,$B1669&lt;='112'!$O$8,OR($L1669='112'!$I$6,$M1669='112'!$I$6))),"x",""))</f>
        <v/>
      </c>
      <c r="T1669" s="39" t="str">
        <f>IF(ISERROR(FIND('112'!$M$9,G1669,1)),"",IF((AND(LEFT(G1669,2)=LEFT('112'!$M$9,2),B1669&lt;'112'!$N$8,$L1669='112'!$I$6)),"x",""))</f>
        <v/>
      </c>
      <c r="U1669" s="39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39" t="str">
        <f>IF(OR(TH!L1669=TH!$W$7,M1669=TH!$W$7),"x","")</f>
        <v/>
      </c>
      <c r="X1669" s="39" t="str">
        <f>IF(AND(B1669&gt;='IN-NX'!$P$3,B1669&lt;='IN-NX'!$Q$3,'IN-NX'!$D$7=D1669,OR(LEFT(L1669,2)="15",AND(LEFT(M1669,2)&lt;&gt;"15",LEFT(M1669,2)&lt;&gt;"33"))),"x","")</f>
        <v/>
      </c>
      <c r="Y1669" s="39" t="str">
        <f>IF(AND(OR(LEFT(TH!L1669,2)="15",LEFT(TH!M1669,2)="15"),'152-CT'!$J$8=TH!F1669),"x","")</f>
        <v/>
      </c>
      <c r="Z1669" s="39" t="str">
        <f>IF(AND(OR(LEFT(TH!L1669,2)="15",LEFT(TH!M1669,2)="15"),TK!$E$7=TH!F1669),"x","")</f>
        <v/>
      </c>
      <c r="AA1669" s="39" t="str">
        <f>IF(AND(B1669&lt;=NKC!$N$8,B1669&gt;=NKC!$M$8),"x","")</f>
        <v/>
      </c>
      <c r="AB1669" s="821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98"/>
        <v/>
      </c>
      <c r="C1670" s="37"/>
      <c r="D1670" s="37"/>
      <c r="E1670" s="37"/>
      <c r="F1670" s="40"/>
      <c r="G1670" s="40"/>
      <c r="H1670" s="7"/>
      <c r="I1670" s="256"/>
      <c r="J1670" s="256"/>
      <c r="K1670" s="568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902" t="str">
        <f>IF(AND('341-CT'!$E$9=H1670,OR(LEFT(L1670,3)=$O$7,LEFT(M1670,3)=$O$7)),"x","")</f>
        <v/>
      </c>
      <c r="P1670" s="39" t="str">
        <f>IF(AND($B1670&gt;='111'!$N$11,$B1670&lt;='111'!$O$11,OR($L1670=$P$7,$M1670=$P$7)),"x","")</f>
        <v/>
      </c>
      <c r="Q1670" s="39" t="str">
        <f>IF(AND($L1670=$P$7,$B1670&lt;'111'!$N$11),"x","")</f>
        <v/>
      </c>
      <c r="R1670" s="39" t="str">
        <f>IF(AND($M1670=$P$7,$B1670&lt;'111'!$N$11),"x","")</f>
        <v/>
      </c>
      <c r="S1670" s="39" t="str">
        <f>IF(ISERROR(FIND('112'!$M$9,G1670,1)),"",IF((AND(FIND('112'!$M$9,G1670,1)&gt;=1,$B1670&gt;='112'!$N$8,$B1670&lt;='112'!$O$8,OR($L1670='112'!$I$6,$M1670='112'!$I$6))),"x",""))</f>
        <v/>
      </c>
      <c r="T1670" s="39" t="str">
        <f>IF(ISERROR(FIND('112'!$M$9,G1670,1)),"",IF((AND(LEFT(G1670,2)=LEFT('112'!$M$9,2),B1670&lt;'112'!$N$8,$L1670='112'!$I$6)),"x",""))</f>
        <v/>
      </c>
      <c r="U1670" s="39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39" t="str">
        <f>IF(OR(TH!L1670=TH!$W$7,M1670=TH!$W$7),"x","")</f>
        <v/>
      </c>
      <c r="X1670" s="39" t="str">
        <f>IF(AND(B1670&gt;='IN-NX'!$P$3,B1670&lt;='IN-NX'!$Q$3,'IN-NX'!$D$7=D1670,OR(LEFT(L1670,2)="15",AND(LEFT(M1670,2)&lt;&gt;"15",LEFT(M1670,2)&lt;&gt;"33"))),"x","")</f>
        <v/>
      </c>
      <c r="Y1670" s="39" t="str">
        <f>IF(AND(OR(LEFT(TH!L1670,2)="15",LEFT(TH!M1670,2)="15"),'152-CT'!$J$8=TH!F1670),"x","")</f>
        <v/>
      </c>
      <c r="Z1670" s="39" t="str">
        <f>IF(AND(OR(LEFT(TH!L1670,2)="15",LEFT(TH!M1670,2)="15"),TK!$E$7=TH!F1670),"x","")</f>
        <v/>
      </c>
      <c r="AA1670" s="39" t="str">
        <f>IF(AND(B1670&lt;=NKC!$N$8,B1670&gt;=NKC!$M$8),"x","")</f>
        <v/>
      </c>
      <c r="AB1670" s="821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98"/>
        <v/>
      </c>
      <c r="C1671" s="37"/>
      <c r="D1671" s="37"/>
      <c r="E1671" s="37"/>
      <c r="F1671" s="40"/>
      <c r="G1671" s="40"/>
      <c r="H1671" s="7"/>
      <c r="I1671" s="256"/>
      <c r="J1671" s="256"/>
      <c r="K1671" s="568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902" t="str">
        <f>IF(AND('341-CT'!$E$9=H1671,OR(LEFT(L1671,3)=$O$7,LEFT(M1671,3)=$O$7)),"x","")</f>
        <v/>
      </c>
      <c r="P1671" s="39" t="str">
        <f>IF(AND($B1671&gt;='111'!$N$11,$B1671&lt;='111'!$O$11,OR($L1671=$P$7,$M1671=$P$7)),"x","")</f>
        <v/>
      </c>
      <c r="Q1671" s="39" t="str">
        <f>IF(AND($L1671=$P$7,$B1671&lt;'111'!$N$11),"x","")</f>
        <v/>
      </c>
      <c r="R1671" s="39" t="str">
        <f>IF(AND($M1671=$P$7,$B1671&lt;'111'!$N$11),"x","")</f>
        <v/>
      </c>
      <c r="S1671" s="39" t="str">
        <f>IF(ISERROR(FIND('112'!$M$9,G1671,1)),"",IF((AND(FIND('112'!$M$9,G1671,1)&gt;=1,$B1671&gt;='112'!$N$8,$B1671&lt;='112'!$O$8,OR($L1671='112'!$I$6,$M1671='112'!$I$6))),"x",""))</f>
        <v/>
      </c>
      <c r="T1671" s="39" t="str">
        <f>IF(ISERROR(FIND('112'!$M$9,G1671,1)),"",IF((AND(LEFT(G1671,2)=LEFT('112'!$M$9,2),B1671&lt;'112'!$N$8,$L1671='112'!$I$6)),"x",""))</f>
        <v/>
      </c>
      <c r="U1671" s="39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39" t="str">
        <f>IF(OR(TH!L1671=TH!$W$7,M1671=TH!$W$7),"x","")</f>
        <v/>
      </c>
      <c r="X1671" s="39" t="str">
        <f>IF(AND(B1671&gt;='IN-NX'!$P$3,B1671&lt;='IN-NX'!$Q$3,'IN-NX'!$D$7=D1671,OR(LEFT(L1671,2)="15",AND(LEFT(M1671,2)&lt;&gt;"15",LEFT(M1671,2)&lt;&gt;"33"))),"x","")</f>
        <v/>
      </c>
      <c r="Y1671" s="39" t="str">
        <f>IF(AND(OR(LEFT(TH!L1671,2)="15",LEFT(TH!M1671,2)="15"),'152-CT'!$J$8=TH!F1671),"x","")</f>
        <v/>
      </c>
      <c r="Z1671" s="39" t="str">
        <f>IF(AND(OR(LEFT(TH!L1671,2)="15",LEFT(TH!M1671,2)="15"),TK!$E$7=TH!F1671),"x","")</f>
        <v/>
      </c>
      <c r="AA1671" s="39" t="str">
        <f>IF(AND(B1671&lt;=NKC!$N$8,B1671&gt;=NKC!$M$8),"x","")</f>
        <v/>
      </c>
      <c r="AB1671" s="821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98"/>
        <v/>
      </c>
      <c r="C1672" s="37"/>
      <c r="D1672" s="37"/>
      <c r="E1672" s="37"/>
      <c r="F1672" s="40"/>
      <c r="G1672" s="40"/>
      <c r="H1672" s="7"/>
      <c r="I1672" s="256"/>
      <c r="J1672" s="256"/>
      <c r="K1672" s="568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902" t="str">
        <f>IF(AND('341-CT'!$E$9=H1672,OR(LEFT(L1672,3)=$O$7,LEFT(M1672,3)=$O$7)),"x","")</f>
        <v/>
      </c>
      <c r="P1672" s="39" t="str">
        <f>IF(AND($B1672&gt;='111'!$N$11,$B1672&lt;='111'!$O$11,OR($L1672=$P$7,$M1672=$P$7)),"x","")</f>
        <v/>
      </c>
      <c r="Q1672" s="39" t="str">
        <f>IF(AND($L1672=$P$7,$B1672&lt;'111'!$N$11),"x","")</f>
        <v/>
      </c>
      <c r="R1672" s="39" t="str">
        <f>IF(AND($M1672=$P$7,$B1672&lt;'111'!$N$11),"x","")</f>
        <v/>
      </c>
      <c r="S1672" s="39" t="str">
        <f>IF(ISERROR(FIND('112'!$M$9,G1672,1)),"",IF((AND(FIND('112'!$M$9,G1672,1)&gt;=1,$B1672&gt;='112'!$N$8,$B1672&lt;='112'!$O$8,OR($L1672='112'!$I$6,$M1672='112'!$I$6))),"x",""))</f>
        <v/>
      </c>
      <c r="T1672" s="39" t="str">
        <f>IF(ISERROR(FIND('112'!$M$9,G1672,1)),"",IF((AND(LEFT(G1672,2)=LEFT('112'!$M$9,2),B1672&lt;'112'!$N$8,$L1672='112'!$I$6)),"x",""))</f>
        <v/>
      </c>
      <c r="U1672" s="39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39" t="str">
        <f>IF(OR(TH!L1672=TH!$W$7,M1672=TH!$W$7),"x","")</f>
        <v/>
      </c>
      <c r="X1672" s="39" t="str">
        <f>IF(AND(B1672&gt;='IN-NX'!$P$3,B1672&lt;='IN-NX'!$Q$3,'IN-NX'!$D$7=D1672,OR(LEFT(L1672,2)="15",AND(LEFT(M1672,2)&lt;&gt;"15",LEFT(M1672,2)&lt;&gt;"33"))),"x","")</f>
        <v/>
      </c>
      <c r="Y1672" s="39" t="str">
        <f>IF(AND(OR(LEFT(TH!L1672,2)="15",LEFT(TH!M1672,2)="15"),'152-CT'!$J$8=TH!F1672),"x","")</f>
        <v/>
      </c>
      <c r="Z1672" s="39" t="str">
        <f>IF(AND(OR(LEFT(TH!L1672,2)="15",LEFT(TH!M1672,2)="15"),TK!$E$7=TH!F1672),"x","")</f>
        <v/>
      </c>
      <c r="AA1672" s="39" t="str">
        <f>IF(AND(B1672&lt;=NKC!$N$8,B1672&gt;=NKC!$M$8),"x","")</f>
        <v/>
      </c>
      <c r="AB1672" s="821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98"/>
        <v/>
      </c>
      <c r="C1673" s="37"/>
      <c r="D1673" s="37"/>
      <c r="E1673" s="37"/>
      <c r="F1673" s="40"/>
      <c r="G1673" s="40"/>
      <c r="H1673" s="7"/>
      <c r="I1673" s="256"/>
      <c r="J1673" s="256"/>
      <c r="K1673" s="568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902" t="str">
        <f>IF(AND('341-CT'!$E$9=H1673,OR(LEFT(L1673,3)=$O$7,LEFT(M1673,3)=$O$7)),"x","")</f>
        <v/>
      </c>
      <c r="P1673" s="39" t="str">
        <f>IF(AND($B1673&gt;='111'!$N$11,$B1673&lt;='111'!$O$11,OR($L1673=$P$7,$M1673=$P$7)),"x","")</f>
        <v/>
      </c>
      <c r="Q1673" s="39" t="str">
        <f>IF(AND($L1673=$P$7,$B1673&lt;'111'!$N$11),"x","")</f>
        <v/>
      </c>
      <c r="R1673" s="39" t="str">
        <f>IF(AND($M1673=$P$7,$B1673&lt;'111'!$N$11),"x","")</f>
        <v/>
      </c>
      <c r="S1673" s="39" t="str">
        <f>IF(ISERROR(FIND('112'!$M$9,G1673,1)),"",IF((AND(FIND('112'!$M$9,G1673,1)&gt;=1,$B1673&gt;='112'!$N$8,$B1673&lt;='112'!$O$8,OR($L1673='112'!$I$6,$M1673='112'!$I$6))),"x",""))</f>
        <v/>
      </c>
      <c r="T1673" s="39" t="str">
        <f>IF(ISERROR(FIND('112'!$M$9,G1673,1)),"",IF((AND(LEFT(G1673,2)=LEFT('112'!$M$9,2),B1673&lt;'112'!$N$8,$L1673='112'!$I$6)),"x",""))</f>
        <v/>
      </c>
      <c r="U1673" s="39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39" t="str">
        <f>IF(OR(TH!L1673=TH!$W$7,M1673=TH!$W$7),"x","")</f>
        <v/>
      </c>
      <c r="X1673" s="39" t="str">
        <f>IF(AND(B1673&gt;='IN-NX'!$P$3,B1673&lt;='IN-NX'!$Q$3,'IN-NX'!$D$7=D1673,OR(LEFT(L1673,2)="15",AND(LEFT(M1673,2)&lt;&gt;"15",LEFT(M1673,2)&lt;&gt;"33"))),"x","")</f>
        <v/>
      </c>
      <c r="Y1673" s="39" t="str">
        <f>IF(AND(OR(LEFT(TH!L1673,2)="15",LEFT(TH!M1673,2)="15"),'152-CT'!$J$8=TH!F1673),"x","")</f>
        <v/>
      </c>
      <c r="Z1673" s="39" t="str">
        <f>IF(AND(OR(LEFT(TH!L1673,2)="15",LEFT(TH!M1673,2)="15"),TK!$E$7=TH!F1673),"x","")</f>
        <v/>
      </c>
      <c r="AA1673" s="39" t="str">
        <f>IF(AND(B1673&lt;=NKC!$N$8,B1673&gt;=NKC!$M$8),"x","")</f>
        <v/>
      </c>
      <c r="AB1673" s="821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98"/>
        <v/>
      </c>
      <c r="C1674" s="37"/>
      <c r="D1674" s="37"/>
      <c r="E1674" s="37"/>
      <c r="F1674" s="40"/>
      <c r="G1674" s="40"/>
      <c r="H1674" s="7"/>
      <c r="I1674" s="256"/>
      <c r="J1674" s="256"/>
      <c r="K1674" s="568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902" t="str">
        <f>IF(AND('341-CT'!$E$9=H1674,OR(LEFT(L1674,3)=$O$7,LEFT(M1674,3)=$O$7)),"x","")</f>
        <v/>
      </c>
      <c r="P1674" s="39" t="str">
        <f>IF(AND($B1674&gt;='111'!$N$11,$B1674&lt;='111'!$O$11,OR($L1674=$P$7,$M1674=$P$7)),"x","")</f>
        <v/>
      </c>
      <c r="Q1674" s="39" t="str">
        <f>IF(AND($L1674=$P$7,$B1674&lt;'111'!$N$11),"x","")</f>
        <v/>
      </c>
      <c r="R1674" s="39" t="str">
        <f>IF(AND($M1674=$P$7,$B1674&lt;'111'!$N$11),"x","")</f>
        <v/>
      </c>
      <c r="S1674" s="39" t="str">
        <f>IF(ISERROR(FIND('112'!$M$9,G1674,1)),"",IF((AND(FIND('112'!$M$9,G1674,1)&gt;=1,$B1674&gt;='112'!$N$8,$B1674&lt;='112'!$O$8,OR($L1674='112'!$I$6,$M1674='112'!$I$6))),"x",""))</f>
        <v/>
      </c>
      <c r="T1674" s="39" t="str">
        <f>IF(ISERROR(FIND('112'!$M$9,G1674,1)),"",IF((AND(LEFT(G1674,2)=LEFT('112'!$M$9,2),B1674&lt;'112'!$N$8,$L1674='112'!$I$6)),"x",""))</f>
        <v/>
      </c>
      <c r="U1674" s="39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39" t="str">
        <f>IF(OR(TH!L1674=TH!$W$7,M1674=TH!$W$7),"x","")</f>
        <v/>
      </c>
      <c r="X1674" s="39" t="str">
        <f>IF(AND(B1674&gt;='IN-NX'!$P$3,B1674&lt;='IN-NX'!$Q$3,'IN-NX'!$D$7=D1674,OR(LEFT(L1674,2)="15",AND(LEFT(M1674,2)&lt;&gt;"15",LEFT(M1674,2)&lt;&gt;"33"))),"x","")</f>
        <v/>
      </c>
      <c r="Y1674" s="39" t="str">
        <f>IF(AND(OR(LEFT(TH!L1674,2)="15",LEFT(TH!M1674,2)="15"),'152-CT'!$J$8=TH!F1674),"x","")</f>
        <v/>
      </c>
      <c r="Z1674" s="39" t="str">
        <f>IF(AND(OR(LEFT(TH!L1674,2)="15",LEFT(TH!M1674,2)="15"),TK!$E$7=TH!F1674),"x","")</f>
        <v/>
      </c>
      <c r="AA1674" s="39" t="str">
        <f>IF(AND(B1674&lt;=NKC!$N$8,B1674&gt;=NKC!$M$8),"x","")</f>
        <v/>
      </c>
      <c r="AB1674" s="821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98"/>
        <v/>
      </c>
      <c r="C1675" s="37"/>
      <c r="D1675" s="37"/>
      <c r="E1675" s="37"/>
      <c r="F1675" s="40"/>
      <c r="G1675" s="40"/>
      <c r="H1675" s="7"/>
      <c r="I1675" s="256"/>
      <c r="J1675" s="256"/>
      <c r="K1675" s="56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902" t="str">
        <f>IF(AND('341-CT'!$E$9=H1675,OR(LEFT(L1675,3)=$O$7,LEFT(M1675,3)=$O$7)),"x","")</f>
        <v/>
      </c>
      <c r="P1675" s="39" t="str">
        <f>IF(AND($B1675&gt;='111'!$N$11,$B1675&lt;='111'!$O$11,OR($L1675=$P$7,$M1675=$P$7)),"x","")</f>
        <v/>
      </c>
      <c r="Q1675" s="39" t="str">
        <f>IF(AND($L1675=$P$7,$B1675&lt;'111'!$N$11),"x","")</f>
        <v/>
      </c>
      <c r="R1675" s="39" t="str">
        <f>IF(AND($M1675=$P$7,$B1675&lt;'111'!$N$11),"x","")</f>
        <v/>
      </c>
      <c r="S1675" s="39" t="str">
        <f>IF(ISERROR(FIND('112'!$M$9,G1675,1)),"",IF((AND(FIND('112'!$M$9,G1675,1)&gt;=1,$B1675&gt;='112'!$N$8,$B1675&lt;='112'!$O$8,OR($L1675='112'!$I$6,$M1675='112'!$I$6))),"x",""))</f>
        <v/>
      </c>
      <c r="T1675" s="39" t="str">
        <f>IF(ISERROR(FIND('112'!$M$9,G1675,1)),"",IF((AND(LEFT(G1675,2)=LEFT('112'!$M$9,2),B1675&lt;'112'!$N$8,$L1675='112'!$I$6)),"x",""))</f>
        <v/>
      </c>
      <c r="U1675" s="39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39" t="str">
        <f>IF(OR(TH!L1675=TH!$W$7,M1675=TH!$W$7),"x","")</f>
        <v/>
      </c>
      <c r="X1675" s="39" t="str">
        <f>IF(AND(B1675&gt;='IN-NX'!$P$3,B1675&lt;='IN-NX'!$Q$3,'IN-NX'!$D$7=D1675,OR(LEFT(L1675,2)="15",AND(LEFT(M1675,2)&lt;&gt;"15",LEFT(M1675,2)&lt;&gt;"33"))),"x","")</f>
        <v/>
      </c>
      <c r="Y1675" s="39" t="str">
        <f>IF(AND(OR(LEFT(TH!L1675,2)="15",LEFT(TH!M1675,2)="15"),'152-CT'!$J$8=TH!F1675),"x","")</f>
        <v/>
      </c>
      <c r="Z1675" s="39" t="str">
        <f>IF(AND(OR(LEFT(TH!L1675,2)="15",LEFT(TH!M1675,2)="15"),TK!$E$7=TH!F1675),"x","")</f>
        <v/>
      </c>
      <c r="AA1675" s="39" t="str">
        <f>IF(AND(B1675&lt;=NKC!$N$8,B1675&gt;=NKC!$M$8),"x","")</f>
        <v/>
      </c>
      <c r="AB1675" s="821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98"/>
        <v/>
      </c>
      <c r="C1676" s="37"/>
      <c r="D1676" s="37"/>
      <c r="E1676" s="37"/>
      <c r="F1676" s="40"/>
      <c r="G1676" s="40"/>
      <c r="H1676" s="7"/>
      <c r="I1676" s="256"/>
      <c r="J1676" s="256"/>
      <c r="K1676" s="56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902" t="str">
        <f>IF(AND('341-CT'!$E$9=H1676,OR(LEFT(L1676,3)=$O$7,LEFT(M1676,3)=$O$7)),"x","")</f>
        <v/>
      </c>
      <c r="P1676" s="39" t="str">
        <f>IF(AND($B1676&gt;='111'!$N$11,$B1676&lt;='111'!$O$11,OR($L1676=$P$7,$M1676=$P$7)),"x","")</f>
        <v/>
      </c>
      <c r="Q1676" s="39" t="str">
        <f>IF(AND($L1676=$P$7,$B1676&lt;'111'!$N$11),"x","")</f>
        <v/>
      </c>
      <c r="R1676" s="39" t="str">
        <f>IF(AND($M1676=$P$7,$B1676&lt;'111'!$N$11),"x","")</f>
        <v/>
      </c>
      <c r="S1676" s="39" t="str">
        <f>IF(ISERROR(FIND('112'!$M$9,G1676,1)),"",IF((AND(FIND('112'!$M$9,G1676,1)&gt;=1,$B1676&gt;='112'!$N$8,$B1676&lt;='112'!$O$8,OR($L1676='112'!$I$6,$M1676='112'!$I$6))),"x",""))</f>
        <v/>
      </c>
      <c r="T1676" s="39" t="str">
        <f>IF(ISERROR(FIND('112'!$M$9,G1676,1)),"",IF((AND(LEFT(G1676,2)=LEFT('112'!$M$9,2),B1676&lt;'112'!$N$8,$L1676='112'!$I$6)),"x",""))</f>
        <v/>
      </c>
      <c r="U1676" s="39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39" t="str">
        <f>IF(OR(TH!L1676=TH!$W$7,M1676=TH!$W$7),"x","")</f>
        <v/>
      </c>
      <c r="X1676" s="39" t="str">
        <f>IF(AND(B1676&gt;='IN-NX'!$P$3,B1676&lt;='IN-NX'!$Q$3,'IN-NX'!$D$7=D1676,OR(LEFT(L1676,2)="15",AND(LEFT(M1676,2)&lt;&gt;"15",LEFT(M1676,2)&lt;&gt;"33"))),"x","")</f>
        <v/>
      </c>
      <c r="Y1676" s="39" t="str">
        <f>IF(AND(OR(LEFT(TH!L1676,2)="15",LEFT(TH!M1676,2)="15"),'152-CT'!$J$8=TH!F1676),"x","")</f>
        <v/>
      </c>
      <c r="Z1676" s="39" t="str">
        <f>IF(AND(OR(LEFT(TH!L1676,2)="15",LEFT(TH!M1676,2)="15"),TK!$E$7=TH!F1676),"x","")</f>
        <v/>
      </c>
      <c r="AA1676" s="39" t="str">
        <f>IF(AND(B1676&lt;=NKC!$N$8,B1676&gt;=NKC!$M$8),"x","")</f>
        <v/>
      </c>
      <c r="AB1676" s="821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98"/>
        <v/>
      </c>
      <c r="C1677" s="37"/>
      <c r="D1677" s="37"/>
      <c r="E1677" s="37"/>
      <c r="F1677" s="40"/>
      <c r="G1677" s="40"/>
      <c r="H1677" s="7"/>
      <c r="I1677" s="256"/>
      <c r="J1677" s="256"/>
      <c r="K1677" s="56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902" t="str">
        <f>IF(AND('341-CT'!$E$9=H1677,OR(LEFT(L1677,3)=$O$7,LEFT(M1677,3)=$O$7)),"x","")</f>
        <v/>
      </c>
      <c r="P1677" s="39" t="str">
        <f>IF(AND($B1677&gt;='111'!$N$11,$B1677&lt;='111'!$O$11,OR($L1677=$P$7,$M1677=$P$7)),"x","")</f>
        <v/>
      </c>
      <c r="Q1677" s="39" t="str">
        <f>IF(AND($L1677=$P$7,$B1677&lt;'111'!$N$11),"x","")</f>
        <v/>
      </c>
      <c r="R1677" s="39" t="str">
        <f>IF(AND($M1677=$P$7,$B1677&lt;'111'!$N$11),"x","")</f>
        <v/>
      </c>
      <c r="S1677" s="39" t="str">
        <f>IF(ISERROR(FIND('112'!$M$9,G1677,1)),"",IF((AND(FIND('112'!$M$9,G1677,1)&gt;=1,$B1677&gt;='112'!$N$8,$B1677&lt;='112'!$O$8,OR($L1677='112'!$I$6,$M1677='112'!$I$6))),"x",""))</f>
        <v/>
      </c>
      <c r="T1677" s="39" t="str">
        <f>IF(ISERROR(FIND('112'!$M$9,G1677,1)),"",IF((AND(LEFT(G1677,2)=LEFT('112'!$M$9,2),B1677&lt;'112'!$N$8,$L1677='112'!$I$6)),"x",""))</f>
        <v/>
      </c>
      <c r="U1677" s="39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39" t="str">
        <f>IF(OR(TH!L1677=TH!$W$7,M1677=TH!$W$7),"x","")</f>
        <v/>
      </c>
      <c r="X1677" s="39" t="str">
        <f>IF(AND(B1677&gt;='IN-NX'!$P$3,B1677&lt;='IN-NX'!$Q$3,'IN-NX'!$D$7=D1677,OR(LEFT(L1677,2)="15",AND(LEFT(M1677,2)&lt;&gt;"15",LEFT(M1677,2)&lt;&gt;"33"))),"x","")</f>
        <v/>
      </c>
      <c r="Y1677" s="39" t="str">
        <f>IF(AND(OR(LEFT(TH!L1677,2)="15",LEFT(TH!M1677,2)="15"),'152-CT'!$J$8=TH!F1677),"x","")</f>
        <v/>
      </c>
      <c r="Z1677" s="39" t="str">
        <f>IF(AND(OR(LEFT(TH!L1677,2)="15",LEFT(TH!M1677,2)="15"),TK!$E$7=TH!F1677),"x","")</f>
        <v/>
      </c>
      <c r="AA1677" s="39" t="str">
        <f>IF(AND(B1677&lt;=NKC!$N$8,B1677&gt;=NKC!$M$8),"x","")</f>
        <v/>
      </c>
      <c r="AB1677" s="821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98"/>
        <v/>
      </c>
      <c r="C1678" s="37"/>
      <c r="D1678" s="37"/>
      <c r="E1678" s="37"/>
      <c r="F1678" s="40"/>
      <c r="G1678" s="40"/>
      <c r="H1678" s="7"/>
      <c r="I1678" s="256"/>
      <c r="J1678" s="256"/>
      <c r="K1678" s="56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902" t="str">
        <f>IF(AND('341-CT'!$E$9=H1678,OR(LEFT(L1678,3)=$O$7,LEFT(M1678,3)=$O$7)),"x","")</f>
        <v/>
      </c>
      <c r="P1678" s="39" t="str">
        <f>IF(AND($B1678&gt;='111'!$N$11,$B1678&lt;='111'!$O$11,OR($L1678=$P$7,$M1678=$P$7)),"x","")</f>
        <v/>
      </c>
      <c r="Q1678" s="39" t="str">
        <f>IF(AND($L1678=$P$7,$B1678&lt;'111'!$N$11),"x","")</f>
        <v/>
      </c>
      <c r="R1678" s="39" t="str">
        <f>IF(AND($M1678=$P$7,$B1678&lt;'111'!$N$11),"x","")</f>
        <v/>
      </c>
      <c r="S1678" s="39" t="str">
        <f>IF(ISERROR(FIND('112'!$M$9,G1678,1)),"",IF((AND(FIND('112'!$M$9,G1678,1)&gt;=1,$B1678&gt;='112'!$N$8,$B1678&lt;='112'!$O$8,OR($L1678='112'!$I$6,$M1678='112'!$I$6))),"x",""))</f>
        <v/>
      </c>
      <c r="T1678" s="39" t="str">
        <f>IF(ISERROR(FIND('112'!$M$9,G1678,1)),"",IF((AND(LEFT(G1678,2)=LEFT('112'!$M$9,2),B1678&lt;'112'!$N$8,$L1678='112'!$I$6)),"x",""))</f>
        <v/>
      </c>
      <c r="U1678" s="39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39" t="str">
        <f>IF(OR(TH!L1678=TH!$W$7,M1678=TH!$W$7),"x","")</f>
        <v/>
      </c>
      <c r="X1678" s="39" t="str">
        <f>IF(AND(B1678&gt;='IN-NX'!$P$3,B1678&lt;='IN-NX'!$Q$3,'IN-NX'!$D$7=D1678,OR(LEFT(L1678,2)="15",AND(LEFT(M1678,2)&lt;&gt;"15",LEFT(M1678,2)&lt;&gt;"33"))),"x","")</f>
        <v/>
      </c>
      <c r="Y1678" s="39" t="str">
        <f>IF(AND(OR(LEFT(TH!L1678,2)="15",LEFT(TH!M1678,2)="15"),'152-CT'!$J$8=TH!F1678),"x","")</f>
        <v/>
      </c>
      <c r="Z1678" s="39" t="str">
        <f>IF(AND(OR(LEFT(TH!L1678,2)="15",LEFT(TH!M1678,2)="15"),TK!$E$7=TH!F1678),"x","")</f>
        <v/>
      </c>
      <c r="AA1678" s="39" t="str">
        <f>IF(AND(B1678&lt;=NKC!$N$8,B1678&gt;=NKC!$M$8),"x","")</f>
        <v/>
      </c>
      <c r="AB1678" s="821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98"/>
        <v/>
      </c>
      <c r="C1679" s="37"/>
      <c r="D1679" s="37"/>
      <c r="E1679" s="37"/>
      <c r="F1679" s="40"/>
      <c r="G1679" s="40"/>
      <c r="H1679" s="7"/>
      <c r="I1679" s="256"/>
      <c r="J1679" s="256"/>
      <c r="K1679" s="56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902" t="str">
        <f>IF(AND('341-CT'!$E$9=H1679,OR(LEFT(L1679,3)=$O$7,LEFT(M1679,3)=$O$7)),"x","")</f>
        <v/>
      </c>
      <c r="P1679" s="39" t="str">
        <f>IF(AND($B1679&gt;='111'!$N$11,$B1679&lt;='111'!$O$11,OR($L1679=$P$7,$M1679=$P$7)),"x","")</f>
        <v/>
      </c>
      <c r="Q1679" s="39" t="str">
        <f>IF(AND($L1679=$P$7,$B1679&lt;'111'!$N$11),"x","")</f>
        <v/>
      </c>
      <c r="R1679" s="39" t="str">
        <f>IF(AND($M1679=$P$7,$B1679&lt;'111'!$N$11),"x","")</f>
        <v/>
      </c>
      <c r="S1679" s="39" t="str">
        <f>IF(ISERROR(FIND('112'!$M$9,G1679,1)),"",IF((AND(FIND('112'!$M$9,G1679,1)&gt;=1,$B1679&gt;='112'!$N$8,$B1679&lt;='112'!$O$8,OR($L1679='112'!$I$6,$M1679='112'!$I$6))),"x",""))</f>
        <v/>
      </c>
      <c r="T1679" s="39" t="str">
        <f>IF(ISERROR(FIND('112'!$M$9,G1679,1)),"",IF((AND(LEFT(G1679,2)=LEFT('112'!$M$9,2),B1679&lt;'112'!$N$8,$L1679='112'!$I$6)),"x",""))</f>
        <v/>
      </c>
      <c r="U1679" s="39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39" t="str">
        <f>IF(OR(TH!L1679=TH!$W$7,M1679=TH!$W$7),"x","")</f>
        <v/>
      </c>
      <c r="X1679" s="39" t="str">
        <f>IF(AND(B1679&gt;='IN-NX'!$P$3,B1679&lt;='IN-NX'!$Q$3,'IN-NX'!$D$7=D1679,OR(LEFT(L1679,2)="15",AND(LEFT(M1679,2)&lt;&gt;"15",LEFT(M1679,2)&lt;&gt;"33"))),"x","")</f>
        <v/>
      </c>
      <c r="Y1679" s="39" t="str">
        <f>IF(AND(OR(LEFT(TH!L1679,2)="15",LEFT(TH!M1679,2)="15"),'152-CT'!$J$8=TH!F1679),"x","")</f>
        <v/>
      </c>
      <c r="Z1679" s="39" t="str">
        <f>IF(AND(OR(LEFT(TH!L1679,2)="15",LEFT(TH!M1679,2)="15"),TK!$E$7=TH!F1679),"x","")</f>
        <v/>
      </c>
      <c r="AA1679" s="39" t="str">
        <f>IF(AND(B1679&lt;=NKC!$N$8,B1679&gt;=NKC!$M$8),"x","")</f>
        <v/>
      </c>
      <c r="AB1679" s="821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98"/>
        <v/>
      </c>
      <c r="C1680" s="37"/>
      <c r="D1680" s="37"/>
      <c r="E1680" s="37"/>
      <c r="F1680" s="40"/>
      <c r="G1680" s="40"/>
      <c r="H1680" s="7"/>
      <c r="I1680" s="256"/>
      <c r="J1680" s="256"/>
      <c r="K1680" s="56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902" t="str">
        <f>IF(AND('341-CT'!$E$9=H1680,OR(LEFT(L1680,3)=$O$7,LEFT(M1680,3)=$O$7)),"x","")</f>
        <v/>
      </c>
      <c r="P1680" s="39" t="str">
        <f>IF(AND($B1680&gt;='111'!$N$11,$B1680&lt;='111'!$O$11,OR($L1680=$P$7,$M1680=$P$7)),"x","")</f>
        <v/>
      </c>
      <c r="Q1680" s="39" t="str">
        <f>IF(AND($L1680=$P$7,$B1680&lt;'111'!$N$11),"x","")</f>
        <v/>
      </c>
      <c r="R1680" s="39" t="str">
        <f>IF(AND($M1680=$P$7,$B1680&lt;'111'!$N$11),"x","")</f>
        <v/>
      </c>
      <c r="S1680" s="39" t="str">
        <f>IF(ISERROR(FIND('112'!$M$9,G1680,1)),"",IF((AND(FIND('112'!$M$9,G1680,1)&gt;=1,$B1680&gt;='112'!$N$8,$B1680&lt;='112'!$O$8,OR($L1680='112'!$I$6,$M1680='112'!$I$6))),"x",""))</f>
        <v/>
      </c>
      <c r="T1680" s="39" t="str">
        <f>IF(ISERROR(FIND('112'!$M$9,G1680,1)),"",IF((AND(LEFT(G1680,2)=LEFT('112'!$M$9,2),B1680&lt;'112'!$N$8,$L1680='112'!$I$6)),"x",""))</f>
        <v/>
      </c>
      <c r="U1680" s="39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39" t="str">
        <f>IF(OR(TH!L1680=TH!$W$7,M1680=TH!$W$7),"x","")</f>
        <v/>
      </c>
      <c r="X1680" s="39" t="str">
        <f>IF(AND(B1680&gt;='IN-NX'!$P$3,B1680&lt;='IN-NX'!$Q$3,'IN-NX'!$D$7=D1680,OR(LEFT(L1680,2)="15",AND(LEFT(M1680,2)&lt;&gt;"15",LEFT(M1680,2)&lt;&gt;"33"))),"x","")</f>
        <v/>
      </c>
      <c r="Y1680" s="39" t="str">
        <f>IF(AND(OR(LEFT(TH!L1680,2)="15",LEFT(TH!M1680,2)="15"),'152-CT'!$J$8=TH!F1680),"x","")</f>
        <v/>
      </c>
      <c r="Z1680" s="39" t="str">
        <f>IF(AND(OR(LEFT(TH!L1680,2)="15",LEFT(TH!M1680,2)="15"),TK!$E$7=TH!F1680),"x","")</f>
        <v/>
      </c>
      <c r="AA1680" s="39" t="str">
        <f>IF(AND(B1680&lt;=NKC!$N$8,B1680&gt;=NKC!$M$8),"x","")</f>
        <v/>
      </c>
      <c r="AB1680" s="821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98"/>
        <v/>
      </c>
      <c r="C1681" s="37"/>
      <c r="D1681" s="37"/>
      <c r="E1681" s="37"/>
      <c r="F1681" s="40"/>
      <c r="G1681" s="40"/>
      <c r="H1681" s="7"/>
      <c r="I1681" s="256"/>
      <c r="J1681" s="256"/>
      <c r="K1681" s="56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902" t="str">
        <f>IF(AND('341-CT'!$E$9=H1681,OR(LEFT(L1681,3)=$O$7,LEFT(M1681,3)=$O$7)),"x","")</f>
        <v/>
      </c>
      <c r="P1681" s="39" t="str">
        <f>IF(AND($B1681&gt;='111'!$N$11,$B1681&lt;='111'!$O$11,OR($L1681=$P$7,$M1681=$P$7)),"x","")</f>
        <v/>
      </c>
      <c r="Q1681" s="39" t="str">
        <f>IF(AND($L1681=$P$7,$B1681&lt;'111'!$N$11),"x","")</f>
        <v/>
      </c>
      <c r="R1681" s="39" t="str">
        <f>IF(AND($M1681=$P$7,$B1681&lt;'111'!$N$11),"x","")</f>
        <v/>
      </c>
      <c r="S1681" s="39" t="str">
        <f>IF(ISERROR(FIND('112'!$M$9,G1681,1)),"",IF((AND(FIND('112'!$M$9,G1681,1)&gt;=1,$B1681&gt;='112'!$N$8,$B1681&lt;='112'!$O$8,OR($L1681='112'!$I$6,$M1681='112'!$I$6))),"x",""))</f>
        <v/>
      </c>
      <c r="T1681" s="39" t="str">
        <f>IF(ISERROR(FIND('112'!$M$9,G1681,1)),"",IF((AND(LEFT(G1681,2)=LEFT('112'!$M$9,2),B1681&lt;'112'!$N$8,$L1681='112'!$I$6)),"x",""))</f>
        <v/>
      </c>
      <c r="U1681" s="39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39" t="str">
        <f>IF(OR(TH!L1681=TH!$W$7,M1681=TH!$W$7),"x","")</f>
        <v/>
      </c>
      <c r="X1681" s="39" t="str">
        <f>IF(AND(B1681&gt;='IN-NX'!$P$3,B1681&lt;='IN-NX'!$Q$3,'IN-NX'!$D$7=D1681,OR(LEFT(L1681,2)="15",AND(LEFT(M1681,2)&lt;&gt;"15",LEFT(M1681,2)&lt;&gt;"33"))),"x","")</f>
        <v/>
      </c>
      <c r="Y1681" s="39" t="str">
        <f>IF(AND(OR(LEFT(TH!L1681,2)="15",LEFT(TH!M1681,2)="15"),'152-CT'!$J$8=TH!F1681),"x","")</f>
        <v/>
      </c>
      <c r="Z1681" s="39" t="str">
        <f>IF(AND(OR(LEFT(TH!L1681,2)="15",LEFT(TH!M1681,2)="15"),TK!$E$7=TH!F1681),"x","")</f>
        <v/>
      </c>
      <c r="AA1681" s="39" t="str">
        <f>IF(AND(B1681&lt;=NKC!$N$8,B1681&gt;=NKC!$M$8),"x","")</f>
        <v/>
      </c>
      <c r="AB1681" s="821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98"/>
        <v/>
      </c>
      <c r="C1682" s="37"/>
      <c r="D1682" s="37"/>
      <c r="E1682" s="37"/>
      <c r="F1682" s="40"/>
      <c r="G1682" s="40"/>
      <c r="H1682" s="7"/>
      <c r="I1682" s="256"/>
      <c r="J1682" s="256"/>
      <c r="K1682" s="56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902" t="str">
        <f>IF(AND('341-CT'!$E$9=H1682,OR(LEFT(L1682,3)=$O$7,LEFT(M1682,3)=$O$7)),"x","")</f>
        <v/>
      </c>
      <c r="P1682" s="39" t="str">
        <f>IF(AND($B1682&gt;='111'!$N$11,$B1682&lt;='111'!$O$11,OR($L1682=$P$7,$M1682=$P$7)),"x","")</f>
        <v/>
      </c>
      <c r="Q1682" s="39" t="str">
        <f>IF(AND($L1682=$P$7,$B1682&lt;'111'!$N$11),"x","")</f>
        <v/>
      </c>
      <c r="R1682" s="39" t="str">
        <f>IF(AND($M1682=$P$7,$B1682&lt;'111'!$N$11),"x","")</f>
        <v/>
      </c>
      <c r="S1682" s="39" t="str">
        <f>IF(ISERROR(FIND('112'!$M$9,G1682,1)),"",IF((AND(FIND('112'!$M$9,G1682,1)&gt;=1,$B1682&gt;='112'!$N$8,$B1682&lt;='112'!$O$8,OR($L1682='112'!$I$6,$M1682='112'!$I$6))),"x",""))</f>
        <v/>
      </c>
      <c r="T1682" s="39" t="str">
        <f>IF(ISERROR(FIND('112'!$M$9,G1682,1)),"",IF((AND(LEFT(G1682,2)=LEFT('112'!$M$9,2),B1682&lt;'112'!$N$8,$L1682='112'!$I$6)),"x",""))</f>
        <v/>
      </c>
      <c r="U1682" s="39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39" t="str">
        <f>IF(OR(TH!L1682=TH!$W$7,M1682=TH!$W$7),"x","")</f>
        <v/>
      </c>
      <c r="X1682" s="39" t="str">
        <f>IF(AND(B1682&gt;='IN-NX'!$P$3,B1682&lt;='IN-NX'!$Q$3,'IN-NX'!$D$7=D1682,OR(LEFT(L1682,2)="15",AND(LEFT(M1682,2)&lt;&gt;"15",LEFT(M1682,2)&lt;&gt;"33"))),"x","")</f>
        <v/>
      </c>
      <c r="Y1682" s="39" t="str">
        <f>IF(AND(OR(LEFT(TH!L1682,2)="15",LEFT(TH!M1682,2)="15"),'152-CT'!$J$8=TH!F1682),"x","")</f>
        <v/>
      </c>
      <c r="Z1682" s="39" t="str">
        <f>IF(AND(OR(LEFT(TH!L1682,2)="15",LEFT(TH!M1682,2)="15"),TK!$E$7=TH!F1682),"x","")</f>
        <v/>
      </c>
      <c r="AA1682" s="39" t="str">
        <f>IF(AND(B1682&lt;=NKC!$N$8,B1682&gt;=NKC!$M$8),"x","")</f>
        <v/>
      </c>
      <c r="AB1682" s="821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98"/>
        <v/>
      </c>
      <c r="C1683" s="37"/>
      <c r="D1683" s="37"/>
      <c r="E1683" s="37"/>
      <c r="F1683" s="40"/>
      <c r="G1683" s="40"/>
      <c r="H1683" s="7"/>
      <c r="I1683" s="256"/>
      <c r="J1683" s="256"/>
      <c r="K1683" s="56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902" t="str">
        <f>IF(AND('341-CT'!$E$9=H1683,OR(LEFT(L1683,3)=$O$7,LEFT(M1683,3)=$O$7)),"x","")</f>
        <v/>
      </c>
      <c r="P1683" s="39" t="str">
        <f>IF(AND($B1683&gt;='111'!$N$11,$B1683&lt;='111'!$O$11,OR($L1683=$P$7,$M1683=$P$7)),"x","")</f>
        <v/>
      </c>
      <c r="Q1683" s="39" t="str">
        <f>IF(AND($L1683=$P$7,$B1683&lt;'111'!$N$11),"x","")</f>
        <v/>
      </c>
      <c r="R1683" s="39" t="str">
        <f>IF(AND($M1683=$P$7,$B1683&lt;'111'!$N$11),"x","")</f>
        <v/>
      </c>
      <c r="S1683" s="39" t="str">
        <f>IF(ISERROR(FIND('112'!$M$9,G1683,1)),"",IF((AND(FIND('112'!$M$9,G1683,1)&gt;=1,$B1683&gt;='112'!$N$8,$B1683&lt;='112'!$O$8,OR($L1683='112'!$I$6,$M1683='112'!$I$6))),"x",""))</f>
        <v/>
      </c>
      <c r="T1683" s="39" t="str">
        <f>IF(ISERROR(FIND('112'!$M$9,G1683,1)),"",IF((AND(LEFT(G1683,2)=LEFT('112'!$M$9,2),B1683&lt;'112'!$N$8,$L1683='112'!$I$6)),"x",""))</f>
        <v/>
      </c>
      <c r="U1683" s="39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39" t="str">
        <f>IF(OR(TH!L1683=TH!$W$7,M1683=TH!$W$7),"x","")</f>
        <v/>
      </c>
      <c r="X1683" s="39" t="str">
        <f>IF(AND(B1683&gt;='IN-NX'!$P$3,B1683&lt;='IN-NX'!$Q$3,'IN-NX'!$D$7=D1683,OR(LEFT(L1683,2)="15",AND(LEFT(M1683,2)&lt;&gt;"15",LEFT(M1683,2)&lt;&gt;"33"))),"x","")</f>
        <v/>
      </c>
      <c r="Y1683" s="39" t="str">
        <f>IF(AND(OR(LEFT(TH!L1683,2)="15",LEFT(TH!M1683,2)="15"),'152-CT'!$J$8=TH!F1683),"x","")</f>
        <v/>
      </c>
      <c r="Z1683" s="39" t="str">
        <f>IF(AND(OR(LEFT(TH!L1683,2)="15",LEFT(TH!M1683,2)="15"),TK!$E$7=TH!F1683),"x","")</f>
        <v/>
      </c>
      <c r="AA1683" s="39" t="str">
        <f>IF(AND(B1683&lt;=NKC!$N$8,B1683&gt;=NKC!$M$8),"x","")</f>
        <v/>
      </c>
      <c r="AB1683" s="821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98"/>
        <v/>
      </c>
      <c r="C1684" s="37"/>
      <c r="D1684" s="37"/>
      <c r="E1684" s="37"/>
      <c r="F1684" s="40"/>
      <c r="G1684" s="40"/>
      <c r="H1684" s="7"/>
      <c r="I1684" s="256"/>
      <c r="J1684" s="256"/>
      <c r="K1684" s="56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902" t="str">
        <f>IF(AND('341-CT'!$E$9=H1684,OR(LEFT(L1684,3)=$O$7,LEFT(M1684,3)=$O$7)),"x","")</f>
        <v/>
      </c>
      <c r="P1684" s="39" t="str">
        <f>IF(AND($B1684&gt;='111'!$N$11,$B1684&lt;='111'!$O$11,OR($L1684=$P$7,$M1684=$P$7)),"x","")</f>
        <v/>
      </c>
      <c r="Q1684" s="39" t="str">
        <f>IF(AND($L1684=$P$7,$B1684&lt;'111'!$N$11),"x","")</f>
        <v/>
      </c>
      <c r="R1684" s="39" t="str">
        <f>IF(AND($M1684=$P$7,$B1684&lt;'111'!$N$11),"x","")</f>
        <v/>
      </c>
      <c r="S1684" s="39" t="str">
        <f>IF(ISERROR(FIND('112'!$M$9,G1684,1)),"",IF((AND(FIND('112'!$M$9,G1684,1)&gt;=1,$B1684&gt;='112'!$N$8,$B1684&lt;='112'!$O$8,OR($L1684='112'!$I$6,$M1684='112'!$I$6))),"x",""))</f>
        <v/>
      </c>
      <c r="T1684" s="39" t="str">
        <f>IF(ISERROR(FIND('112'!$M$9,G1684,1)),"",IF((AND(LEFT(G1684,2)=LEFT('112'!$M$9,2),B1684&lt;'112'!$N$8,$L1684='112'!$I$6)),"x",""))</f>
        <v/>
      </c>
      <c r="U1684" s="39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39" t="str">
        <f>IF(OR(TH!L1684=TH!$W$7,M1684=TH!$W$7),"x","")</f>
        <v/>
      </c>
      <c r="X1684" s="39" t="str">
        <f>IF(AND(B1684&gt;='IN-NX'!$P$3,B1684&lt;='IN-NX'!$Q$3,'IN-NX'!$D$7=D1684,OR(LEFT(L1684,2)="15",AND(LEFT(M1684,2)&lt;&gt;"15",LEFT(M1684,2)&lt;&gt;"33"))),"x","")</f>
        <v/>
      </c>
      <c r="Y1684" s="39" t="str">
        <f>IF(AND(OR(LEFT(TH!L1684,2)="15",LEFT(TH!M1684,2)="15"),'152-CT'!$J$8=TH!F1684),"x","")</f>
        <v/>
      </c>
      <c r="Z1684" s="39" t="str">
        <f>IF(AND(OR(LEFT(TH!L1684,2)="15",LEFT(TH!M1684,2)="15"),TK!$E$7=TH!F1684),"x","")</f>
        <v/>
      </c>
      <c r="AA1684" s="39" t="str">
        <f>IF(AND(B1684&lt;=NKC!$N$8,B1684&gt;=NKC!$M$8),"x","")</f>
        <v/>
      </c>
      <c r="AB1684" s="821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98"/>
        <v/>
      </c>
      <c r="C1685" s="37"/>
      <c r="D1685" s="37"/>
      <c r="E1685" s="37"/>
      <c r="F1685" s="40"/>
      <c r="G1685" s="40"/>
      <c r="H1685" s="7"/>
      <c r="I1685" s="256"/>
      <c r="J1685" s="256"/>
      <c r="K1685" s="56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902" t="str">
        <f>IF(AND('341-CT'!$E$9=H1685,OR(LEFT(L1685,3)=$O$7,LEFT(M1685,3)=$O$7)),"x","")</f>
        <v/>
      </c>
      <c r="P1685" s="39" t="str">
        <f>IF(AND($B1685&gt;='111'!$N$11,$B1685&lt;='111'!$O$11,OR($L1685=$P$7,$M1685=$P$7)),"x","")</f>
        <v/>
      </c>
      <c r="Q1685" s="39" t="str">
        <f>IF(AND($L1685=$P$7,$B1685&lt;'111'!$N$11),"x","")</f>
        <v/>
      </c>
      <c r="R1685" s="39" t="str">
        <f>IF(AND($M1685=$P$7,$B1685&lt;'111'!$N$11),"x","")</f>
        <v/>
      </c>
      <c r="S1685" s="39" t="str">
        <f>IF(ISERROR(FIND('112'!$M$9,G1685,1)),"",IF((AND(FIND('112'!$M$9,G1685,1)&gt;=1,$B1685&gt;='112'!$N$8,$B1685&lt;='112'!$O$8,OR($L1685='112'!$I$6,$M1685='112'!$I$6))),"x",""))</f>
        <v/>
      </c>
      <c r="T1685" s="39" t="str">
        <f>IF(ISERROR(FIND('112'!$M$9,G1685,1)),"",IF((AND(LEFT(G1685,2)=LEFT('112'!$M$9,2),B1685&lt;'112'!$N$8,$L1685='112'!$I$6)),"x",""))</f>
        <v/>
      </c>
      <c r="U1685" s="39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39" t="str">
        <f>IF(OR(TH!L1685=TH!$W$7,M1685=TH!$W$7),"x","")</f>
        <v/>
      </c>
      <c r="X1685" s="39" t="str">
        <f>IF(AND(B1685&gt;='IN-NX'!$P$3,B1685&lt;='IN-NX'!$Q$3,'IN-NX'!$D$7=D1685,OR(LEFT(L1685,2)="15",AND(LEFT(M1685,2)&lt;&gt;"15",LEFT(M1685,2)&lt;&gt;"33"))),"x","")</f>
        <v/>
      </c>
      <c r="Y1685" s="39" t="str">
        <f>IF(AND(OR(LEFT(TH!L1685,2)="15",LEFT(TH!M1685,2)="15"),'152-CT'!$J$8=TH!F1685),"x","")</f>
        <v/>
      </c>
      <c r="Z1685" s="39" t="str">
        <f>IF(AND(OR(LEFT(TH!L1685,2)="15",LEFT(TH!M1685,2)="15"),TK!$E$7=TH!F1685),"x","")</f>
        <v/>
      </c>
      <c r="AA1685" s="39" t="str">
        <f>IF(AND(B1685&lt;=NKC!$N$8,B1685&gt;=NKC!$M$8),"x","")</f>
        <v/>
      </c>
      <c r="AB1685" s="821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98"/>
        <v/>
      </c>
      <c r="C1686" s="37"/>
      <c r="D1686" s="37"/>
      <c r="E1686" s="37"/>
      <c r="F1686" s="40"/>
      <c r="G1686" s="40"/>
      <c r="H1686" s="7"/>
      <c r="I1686" s="256"/>
      <c r="J1686" s="256"/>
      <c r="K1686" s="56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902" t="str">
        <f>IF(AND('341-CT'!$E$9=H1686,OR(LEFT(L1686,3)=$O$7,LEFT(M1686,3)=$O$7)),"x","")</f>
        <v/>
      </c>
      <c r="P1686" s="39" t="str">
        <f>IF(AND($B1686&gt;='111'!$N$11,$B1686&lt;='111'!$O$11,OR($L1686=$P$7,$M1686=$P$7)),"x","")</f>
        <v/>
      </c>
      <c r="Q1686" s="39" t="str">
        <f>IF(AND($L1686=$P$7,$B1686&lt;'111'!$N$11),"x","")</f>
        <v/>
      </c>
      <c r="R1686" s="39" t="str">
        <f>IF(AND($M1686=$P$7,$B1686&lt;'111'!$N$11),"x","")</f>
        <v/>
      </c>
      <c r="S1686" s="39" t="str">
        <f>IF(ISERROR(FIND('112'!$M$9,G1686,1)),"",IF((AND(FIND('112'!$M$9,G1686,1)&gt;=1,$B1686&gt;='112'!$N$8,$B1686&lt;='112'!$O$8,OR($L1686='112'!$I$6,$M1686='112'!$I$6))),"x",""))</f>
        <v/>
      </c>
      <c r="T1686" s="39" t="str">
        <f>IF(ISERROR(FIND('112'!$M$9,G1686,1)),"",IF((AND(LEFT(G1686,2)=LEFT('112'!$M$9,2),B1686&lt;'112'!$N$8,$L1686='112'!$I$6)),"x",""))</f>
        <v/>
      </c>
      <c r="U1686" s="39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39" t="str">
        <f>IF(OR(TH!L1686=TH!$W$7,M1686=TH!$W$7),"x","")</f>
        <v/>
      </c>
      <c r="X1686" s="39" t="str">
        <f>IF(AND(B1686&gt;='IN-NX'!$P$3,B1686&lt;='IN-NX'!$Q$3,'IN-NX'!$D$7=D1686,OR(LEFT(L1686,2)="15",AND(LEFT(M1686,2)&lt;&gt;"15",LEFT(M1686,2)&lt;&gt;"33"))),"x","")</f>
        <v/>
      </c>
      <c r="Y1686" s="39" t="str">
        <f>IF(AND(OR(LEFT(TH!L1686,2)="15",LEFT(TH!M1686,2)="15"),'152-CT'!$J$8=TH!F1686),"x","")</f>
        <v/>
      </c>
      <c r="Z1686" s="39" t="str">
        <f>IF(AND(OR(LEFT(TH!L1686,2)="15",LEFT(TH!M1686,2)="15"),TK!$E$7=TH!F1686),"x","")</f>
        <v/>
      </c>
      <c r="AA1686" s="39" t="str">
        <f>IF(AND(B1686&lt;=NKC!$N$8,B1686&gt;=NKC!$M$8),"x","")</f>
        <v/>
      </c>
      <c r="AB1686" s="821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98"/>
        <v/>
      </c>
      <c r="C1687" s="37"/>
      <c r="D1687" s="37"/>
      <c r="E1687" s="37"/>
      <c r="F1687" s="40"/>
      <c r="G1687" s="40"/>
      <c r="H1687" s="7"/>
      <c r="I1687" s="256"/>
      <c r="J1687" s="256"/>
      <c r="K1687" s="56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902" t="str">
        <f>IF(AND('341-CT'!$E$9=H1687,OR(LEFT(L1687,3)=$O$7,LEFT(M1687,3)=$O$7)),"x","")</f>
        <v/>
      </c>
      <c r="P1687" s="39" t="str">
        <f>IF(AND($B1687&gt;='111'!$N$11,$B1687&lt;='111'!$O$11,OR($L1687=$P$7,$M1687=$P$7)),"x","")</f>
        <v/>
      </c>
      <c r="Q1687" s="39" t="str">
        <f>IF(AND($L1687=$P$7,$B1687&lt;'111'!$N$11),"x","")</f>
        <v/>
      </c>
      <c r="R1687" s="39" t="str">
        <f>IF(AND($M1687=$P$7,$B1687&lt;'111'!$N$11),"x","")</f>
        <v/>
      </c>
      <c r="S1687" s="39" t="str">
        <f>IF(ISERROR(FIND('112'!$M$9,G1687,1)),"",IF((AND(FIND('112'!$M$9,G1687,1)&gt;=1,$B1687&gt;='112'!$N$8,$B1687&lt;='112'!$O$8,OR($L1687='112'!$I$6,$M1687='112'!$I$6))),"x",""))</f>
        <v/>
      </c>
      <c r="T1687" s="39" t="str">
        <f>IF(ISERROR(FIND('112'!$M$9,G1687,1)),"",IF((AND(LEFT(G1687,2)=LEFT('112'!$M$9,2),B1687&lt;'112'!$N$8,$L1687='112'!$I$6)),"x",""))</f>
        <v/>
      </c>
      <c r="U1687" s="39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39" t="str">
        <f>IF(OR(TH!L1687=TH!$W$7,M1687=TH!$W$7),"x","")</f>
        <v/>
      </c>
      <c r="X1687" s="39" t="str">
        <f>IF(AND(B1687&gt;='IN-NX'!$P$3,B1687&lt;='IN-NX'!$Q$3,'IN-NX'!$D$7=D1687,OR(LEFT(L1687,2)="15",AND(LEFT(M1687,2)&lt;&gt;"15",LEFT(M1687,2)&lt;&gt;"33"))),"x","")</f>
        <v/>
      </c>
      <c r="Y1687" s="39" t="str">
        <f>IF(AND(OR(LEFT(TH!L1687,2)="15",LEFT(TH!M1687,2)="15"),'152-CT'!$J$8=TH!F1687),"x","")</f>
        <v/>
      </c>
      <c r="Z1687" s="39" t="str">
        <f>IF(AND(OR(LEFT(TH!L1687,2)="15",LEFT(TH!M1687,2)="15"),TK!$E$7=TH!F1687),"x","")</f>
        <v/>
      </c>
      <c r="AA1687" s="39" t="str">
        <f>IF(AND(B1687&lt;=NKC!$N$8,B1687&gt;=NKC!$M$8),"x","")</f>
        <v/>
      </c>
      <c r="AB1687" s="821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98"/>
        <v/>
      </c>
      <c r="C1688" s="37"/>
      <c r="D1688" s="37"/>
      <c r="E1688" s="37"/>
      <c r="F1688" s="40"/>
      <c r="G1688" s="40"/>
      <c r="H1688" s="7"/>
      <c r="I1688" s="256"/>
      <c r="J1688" s="256"/>
      <c r="K1688" s="568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902" t="str">
        <f>IF(AND('341-CT'!$E$9=H1688,OR(LEFT(L1688,3)=$O$7,LEFT(M1688,3)=$O$7)),"x","")</f>
        <v/>
      </c>
      <c r="P1688" s="39" t="str">
        <f>IF(AND($B1688&gt;='111'!$N$11,$B1688&lt;='111'!$O$11,OR($L1688=$P$7,$M1688=$P$7)),"x","")</f>
        <v/>
      </c>
      <c r="Q1688" s="39" t="str">
        <f>IF(AND($L1688=$P$7,$B1688&lt;'111'!$N$11),"x","")</f>
        <v/>
      </c>
      <c r="R1688" s="39" t="str">
        <f>IF(AND($M1688=$P$7,$B1688&lt;'111'!$N$11),"x","")</f>
        <v/>
      </c>
      <c r="S1688" s="39" t="str">
        <f>IF(ISERROR(FIND('112'!$M$9,G1688,1)),"",IF((AND(FIND('112'!$M$9,G1688,1)&gt;=1,$B1688&gt;='112'!$N$8,$B1688&lt;='112'!$O$8,OR($L1688='112'!$I$6,$M1688='112'!$I$6))),"x",""))</f>
        <v/>
      </c>
      <c r="T1688" s="39" t="str">
        <f>IF(ISERROR(FIND('112'!$M$9,G1688,1)),"",IF((AND(LEFT(G1688,2)=LEFT('112'!$M$9,2),B1688&lt;'112'!$N$8,$L1688='112'!$I$6)),"x",""))</f>
        <v/>
      </c>
      <c r="U1688" s="39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39" t="str">
        <f>IF(OR(TH!L1688=TH!$W$7,M1688=TH!$W$7),"x","")</f>
        <v/>
      </c>
      <c r="X1688" s="39" t="str">
        <f>IF(AND(B1688&gt;='IN-NX'!$P$3,B1688&lt;='IN-NX'!$Q$3,'IN-NX'!$D$7=D1688,OR(LEFT(L1688,2)="15",AND(LEFT(M1688,2)&lt;&gt;"15",LEFT(M1688,2)&lt;&gt;"33"))),"x","")</f>
        <v/>
      </c>
      <c r="Y1688" s="39" t="str">
        <f>IF(AND(OR(LEFT(TH!L1688,2)="15",LEFT(TH!M1688,2)="15"),'152-CT'!$J$8=TH!F1688),"x","")</f>
        <v/>
      </c>
      <c r="Z1688" s="39" t="str">
        <f>IF(AND(OR(LEFT(TH!L1688,2)="15",LEFT(TH!M1688,2)="15"),TK!$E$7=TH!F1688),"x","")</f>
        <v/>
      </c>
      <c r="AA1688" s="39" t="str">
        <f>IF(AND(B1688&lt;=NKC!$N$8,B1688&gt;=NKC!$M$8),"x","")</f>
        <v/>
      </c>
      <c r="AB1688" s="821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si="98"/>
        <v/>
      </c>
      <c r="C1689" s="37"/>
      <c r="D1689" s="37"/>
      <c r="E1689" s="37"/>
      <c r="F1689" s="40"/>
      <c r="G1689" s="40"/>
      <c r="H1689" s="7"/>
      <c r="I1689" s="256"/>
      <c r="J1689" s="256"/>
      <c r="K1689" s="568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902" t="str">
        <f>IF(AND('341-CT'!$E$9=H1689,OR(LEFT(L1689,3)=$O$7,LEFT(M1689,3)=$O$7)),"x","")</f>
        <v/>
      </c>
      <c r="P1689" s="39" t="str">
        <f>IF(AND($B1689&gt;='111'!$N$11,$B1689&lt;='111'!$O$11,OR($L1689=$P$7,$M1689=$P$7)),"x","")</f>
        <v/>
      </c>
      <c r="Q1689" s="39" t="str">
        <f>IF(AND($L1689=$P$7,$B1689&lt;'111'!$N$11),"x","")</f>
        <v/>
      </c>
      <c r="R1689" s="39" t="str">
        <f>IF(AND($M1689=$P$7,$B1689&lt;'111'!$N$11),"x","")</f>
        <v/>
      </c>
      <c r="S1689" s="39" t="str">
        <f>IF(ISERROR(FIND('112'!$M$9,G1689,1)),"",IF((AND(FIND('112'!$M$9,G1689,1)&gt;=1,$B1689&gt;='112'!$N$8,$B1689&lt;='112'!$O$8,OR($L1689='112'!$I$6,$M1689='112'!$I$6))),"x",""))</f>
        <v/>
      </c>
      <c r="T1689" s="39" t="str">
        <f>IF(ISERROR(FIND('112'!$M$9,G1689,1)),"",IF((AND(LEFT(G1689,2)=LEFT('112'!$M$9,2),B1689&lt;'112'!$N$8,$L1689='112'!$I$6)),"x",""))</f>
        <v/>
      </c>
      <c r="U1689" s="39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39" t="str">
        <f>IF(OR(TH!L1689=TH!$W$7,M1689=TH!$W$7),"x","")</f>
        <v/>
      </c>
      <c r="X1689" s="39" t="str">
        <f>IF(AND(B1689&gt;='IN-NX'!$P$3,B1689&lt;='IN-NX'!$Q$3,'IN-NX'!$D$7=D1689,OR(LEFT(L1689,2)="15",AND(LEFT(M1689,2)&lt;&gt;"15",LEFT(M1689,2)&lt;&gt;"33"))),"x","")</f>
        <v/>
      </c>
      <c r="Y1689" s="39" t="str">
        <f>IF(AND(OR(LEFT(TH!L1689,2)="15",LEFT(TH!M1689,2)="15"),'152-CT'!$J$8=TH!F1689),"x","")</f>
        <v/>
      </c>
      <c r="Z1689" s="39" t="str">
        <f>IF(AND(OR(LEFT(TH!L1689,2)="15",LEFT(TH!M1689,2)="15"),TK!$E$7=TH!F1689),"x","")</f>
        <v/>
      </c>
      <c r="AA1689" s="39" t="str">
        <f>IF(AND(B1689&lt;=NKC!$N$8,B1689&gt;=NKC!$M$8),"x","")</f>
        <v/>
      </c>
      <c r="AB1689" s="821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98"/>
        <v/>
      </c>
      <c r="C1690" s="184"/>
      <c r="D1690" s="184"/>
      <c r="E1690" s="191"/>
      <c r="F1690" s="189"/>
      <c r="G1690" s="570"/>
      <c r="H1690" s="7"/>
      <c r="I1690" s="256"/>
      <c r="J1690" s="256"/>
      <c r="K1690" s="568"/>
      <c r="L1690" s="569"/>
      <c r="M1690" s="569"/>
      <c r="N1690" s="39" t="str">
        <f>IF(AND('331-CT'!$E$7=TH!H1690,OR(L1690="331",M1690="331")),"331",IF(AND(OR(L1690="131",M1690="131"),H1690='131-CT'!$E$7),"131",""))</f>
        <v/>
      </c>
      <c r="O1690" s="902" t="str">
        <f>IF(AND('341-CT'!$E$9=H1690,OR(LEFT(L1690,3)=$O$7,LEFT(M1690,3)=$O$7)),"x","")</f>
        <v/>
      </c>
      <c r="P1690" s="39" t="str">
        <f>IF(AND($B1690&gt;='111'!$N$11,$B1690&lt;='111'!$O$11,OR($L1690=$P$7,$M1690=$P$7)),"x","")</f>
        <v/>
      </c>
      <c r="Q1690" s="39" t="str">
        <f>IF(AND($L1690=$P$7,$B1690&lt;'111'!$N$11),"x","")</f>
        <v/>
      </c>
      <c r="R1690" s="39" t="str">
        <f>IF(AND($M1690=$P$7,$B1690&lt;'111'!$N$11),"x","")</f>
        <v/>
      </c>
      <c r="S1690" s="39" t="str">
        <f>IF(ISERROR(FIND('112'!$M$9,G1690,1)),"",IF((AND(FIND('112'!$M$9,G1690,1)&gt;=1,$B1690&gt;='112'!$N$8,$B1690&lt;='112'!$O$8,OR($L1690='112'!$I$6,$M1690='112'!$I$6))),"x",""))</f>
        <v/>
      </c>
      <c r="T1690" s="39" t="str">
        <f>IF(ISERROR(FIND('112'!$M$9,G1690,1)),"",IF((AND(LEFT(G1690,2)=LEFT('112'!$M$9,2),B1690&lt;'112'!$N$8,$L1690='112'!$I$6)),"x",""))</f>
        <v/>
      </c>
      <c r="U1690" s="39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39" t="str">
        <f>IF(OR(TH!L1690=TH!$W$7,M1690=TH!$W$7),"x","")</f>
        <v/>
      </c>
      <c r="X1690" s="39" t="str">
        <f>IF(AND(B1690&gt;='IN-NX'!$P$3,B1690&lt;='IN-NX'!$Q$3,'IN-NX'!$D$7=D1690,OR(LEFT(L1690,2)="15",AND(LEFT(M1690,2)&lt;&gt;"15",LEFT(M1690,2)&lt;&gt;"33"))),"x","")</f>
        <v/>
      </c>
      <c r="Y1690" s="39" t="str">
        <f>IF(AND(OR(LEFT(TH!L1690,2)="15",LEFT(TH!M1690,2)="15"),'152-CT'!$J$8=TH!F1690),"x","")</f>
        <v/>
      </c>
      <c r="Z1690" s="39" t="str">
        <f>IF(AND(OR(LEFT(TH!L1690,2)="15",LEFT(TH!M1690,2)="15"),TK!$E$7=TH!F1690),"x","")</f>
        <v/>
      </c>
      <c r="AA1690" s="39" t="str">
        <f>IF(AND(B1690&lt;=NKC!$N$8,B1690&gt;=NKC!$M$8),"x","")</f>
        <v/>
      </c>
      <c r="AB1690" s="821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98"/>
        <v/>
      </c>
      <c r="C1691" s="184"/>
      <c r="D1691" s="184"/>
      <c r="E1691" s="184"/>
      <c r="F1691" s="189"/>
      <c r="G1691" s="570"/>
      <c r="H1691" s="193"/>
      <c r="I1691" s="256"/>
      <c r="J1691" s="256"/>
      <c r="K1691" s="568"/>
      <c r="L1691" s="569"/>
      <c r="M1691" s="569"/>
      <c r="N1691" s="39" t="str">
        <f>IF(AND('331-CT'!$E$7=TH!H1691,OR(L1691="331",M1691="331")),"331",IF(AND(OR(L1691="131",M1691="131"),H1691='131-CT'!$E$7),"131",""))</f>
        <v/>
      </c>
      <c r="O1691" s="902" t="str">
        <f>IF(AND('341-CT'!$E$9=H1691,OR(LEFT(L1691,3)=$O$7,LEFT(M1691,3)=$O$7)),"x","")</f>
        <v/>
      </c>
      <c r="P1691" s="39" t="str">
        <f>IF(AND($B1691&gt;='111'!$N$11,$B1691&lt;='111'!$O$11,OR($L1691=$P$7,$M1691=$P$7)),"x","")</f>
        <v/>
      </c>
      <c r="Q1691" s="39" t="str">
        <f>IF(AND($L1691=$P$7,$B1691&lt;'111'!$N$11),"x","")</f>
        <v/>
      </c>
      <c r="R1691" s="39" t="str">
        <f>IF(AND($M1691=$P$7,$B1691&lt;'111'!$N$11),"x","")</f>
        <v/>
      </c>
      <c r="S1691" s="39" t="str">
        <f>IF(ISERROR(FIND('112'!$M$9,G1691,1)),"",IF((AND(FIND('112'!$M$9,G1691,1)&gt;=1,$B1691&gt;='112'!$N$8,$B1691&lt;='112'!$O$8,OR($L1691='112'!$I$6,$M1691='112'!$I$6))),"x",""))</f>
        <v/>
      </c>
      <c r="T1691" s="39" t="str">
        <f>IF(ISERROR(FIND('112'!$M$9,G1691,1)),"",IF((AND(LEFT(G1691,2)=LEFT('112'!$M$9,2),B1691&lt;'112'!$N$8,$L1691='112'!$I$6)),"x",""))</f>
        <v/>
      </c>
      <c r="U1691" s="39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39" t="str">
        <f>IF(OR(TH!L1691=TH!$W$7,M1691=TH!$W$7),"x","")</f>
        <v/>
      </c>
      <c r="X1691" s="39" t="str">
        <f>IF(AND(B1691&gt;='IN-NX'!$P$3,B1691&lt;='IN-NX'!$Q$3,'IN-NX'!$D$7=D1691,OR(LEFT(L1691,2)="15",AND(LEFT(M1691,2)&lt;&gt;"15",LEFT(M1691,2)&lt;&gt;"33"))),"x","")</f>
        <v/>
      </c>
      <c r="Y1691" s="39" t="str">
        <f>IF(AND(OR(LEFT(TH!L1691,2)="15",LEFT(TH!M1691,2)="15"),'152-CT'!$J$8=TH!F1691),"x","")</f>
        <v/>
      </c>
      <c r="Z1691" s="39" t="str">
        <f>IF(AND(OR(LEFT(TH!L1691,2)="15",LEFT(TH!M1691,2)="15"),TK!$E$7=TH!F1691),"x","")</f>
        <v/>
      </c>
      <c r="AA1691" s="39" t="str">
        <f>IF(AND(B1691&lt;=NKC!$N$8,B1691&gt;=NKC!$M$8),"x","")</f>
        <v/>
      </c>
      <c r="AB1691" s="821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98"/>
        <v/>
      </c>
      <c r="C1692" s="191"/>
      <c r="D1692" s="184"/>
      <c r="E1692" s="191"/>
      <c r="F1692" s="296"/>
      <c r="G1692" s="468"/>
      <c r="H1692" s="7"/>
      <c r="I1692" s="256"/>
      <c r="J1692" s="256"/>
      <c r="K1692" s="568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902" t="str">
        <f>IF(AND('341-CT'!$E$9=H1692,OR(LEFT(L1692,3)=$O$7,LEFT(M1692,3)=$O$7)),"x","")</f>
        <v/>
      </c>
      <c r="P1692" s="39" t="str">
        <f>IF(AND($B1692&gt;='111'!$N$11,$B1692&lt;='111'!$O$11,OR($L1692=$P$7,$M1692=$P$7)),"x","")</f>
        <v/>
      </c>
      <c r="Q1692" s="39" t="str">
        <f>IF(AND($L1692=$P$7,$B1692&lt;'111'!$N$11),"x","")</f>
        <v/>
      </c>
      <c r="R1692" s="39" t="str">
        <f>IF(AND($M1692=$P$7,$B1692&lt;'111'!$N$11),"x","")</f>
        <v/>
      </c>
      <c r="S1692" s="39" t="str">
        <f>IF(ISERROR(FIND('112'!$M$9,G1692,1)),"",IF((AND(FIND('112'!$M$9,G1692,1)&gt;=1,$B1692&gt;='112'!$N$8,$B1692&lt;='112'!$O$8,OR($L1692='112'!$I$6,$M1692='112'!$I$6))),"x",""))</f>
        <v/>
      </c>
      <c r="T1692" s="39" t="str">
        <f>IF(ISERROR(FIND('112'!$M$9,G1692,1)),"",IF((AND(LEFT(G1692,2)=LEFT('112'!$M$9,2),B1692&lt;'112'!$N$8,$L1692='112'!$I$6)),"x",""))</f>
        <v/>
      </c>
      <c r="U1692" s="39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39" t="str">
        <f>IF(OR(TH!L1692=TH!$W$7,M1692=TH!$W$7),"x","")</f>
        <v/>
      </c>
      <c r="X1692" s="39" t="str">
        <f>IF(AND(B1692&gt;='IN-NX'!$P$3,B1692&lt;='IN-NX'!$Q$3,'IN-NX'!$D$7=D1692,OR(LEFT(L1692,2)="15",AND(LEFT(M1692,2)&lt;&gt;"15",LEFT(M1692,2)&lt;&gt;"33"))),"x","")</f>
        <v/>
      </c>
      <c r="Y1692" s="39" t="str">
        <f>IF(AND(OR(LEFT(TH!L1692,2)="15",LEFT(TH!M1692,2)="15"),'152-CT'!$J$8=TH!F1692),"x","")</f>
        <v/>
      </c>
      <c r="Z1692" s="39" t="str">
        <f>IF(AND(OR(LEFT(TH!L1692,2)="15",LEFT(TH!M1692,2)="15"),TK!$E$7=TH!F1692),"x","")</f>
        <v/>
      </c>
      <c r="AA1692" s="39" t="str">
        <f>IF(AND(B1692&lt;=NKC!$N$8,B1692&gt;=NKC!$M$8),"x","")</f>
        <v/>
      </c>
      <c r="AB1692" s="821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98"/>
        <v/>
      </c>
      <c r="C1693" s="191"/>
      <c r="D1693" s="184"/>
      <c r="E1693" s="191"/>
      <c r="F1693" s="296"/>
      <c r="G1693" s="468"/>
      <c r="H1693" s="7"/>
      <c r="I1693" s="257"/>
      <c r="J1693" s="257"/>
      <c r="K1693" s="38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902" t="str">
        <f>IF(AND('341-CT'!$E$9=H1693,OR(LEFT(L1693,3)=$O$7,LEFT(M1693,3)=$O$7)),"x","")</f>
        <v/>
      </c>
      <c r="P1693" s="39" t="str">
        <f>IF(AND($B1693&gt;='111'!$N$11,$B1693&lt;='111'!$O$11,OR($L1693=$P$7,$M1693=$P$7)),"x","")</f>
        <v/>
      </c>
      <c r="Q1693" s="39" t="str">
        <f>IF(AND($L1693=$P$7,$B1693&lt;'111'!$N$11),"x","")</f>
        <v/>
      </c>
      <c r="R1693" s="39" t="str">
        <f>IF(AND($M1693=$P$7,$B1693&lt;'111'!$N$11),"x","")</f>
        <v/>
      </c>
      <c r="S1693" s="39" t="str">
        <f>IF(ISERROR(FIND('112'!$M$9,G1693,1)),"",IF((AND(FIND('112'!$M$9,G1693,1)&gt;=1,$B1693&gt;='112'!$N$8,$B1693&lt;='112'!$O$8,OR($L1693='112'!$I$6,$M1693='112'!$I$6))),"x",""))</f>
        <v/>
      </c>
      <c r="T1693" s="39" t="str">
        <f>IF(ISERROR(FIND('112'!$M$9,G1693,1)),"",IF((AND(LEFT(G1693,2)=LEFT('112'!$M$9,2),B1693&lt;'112'!$N$8,$L1693='112'!$I$6)),"x",""))</f>
        <v/>
      </c>
      <c r="U1693" s="39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39" t="str">
        <f>IF(OR(TH!L1693=TH!$W$7,M1693=TH!$W$7),"x","")</f>
        <v/>
      </c>
      <c r="X1693" s="39" t="str">
        <f>IF(AND(B1693&gt;='IN-NX'!$P$3,B1693&lt;='IN-NX'!$Q$3,'IN-NX'!$D$7=D1693,OR(LEFT(L1693,2)="15",AND(LEFT(M1693,2)&lt;&gt;"15",LEFT(M1693,2)&lt;&gt;"33"))),"x","")</f>
        <v/>
      </c>
      <c r="Y1693" s="39" t="str">
        <f>IF(AND(OR(LEFT(TH!L1693,2)="15",LEFT(TH!M1693,2)="15"),'152-CT'!$J$8=TH!F1693),"x","")</f>
        <v/>
      </c>
      <c r="Z1693" s="39" t="str">
        <f>IF(AND(OR(LEFT(TH!L1693,2)="15",LEFT(TH!M1693,2)="15"),TK!$E$7=TH!F1693),"x","")</f>
        <v/>
      </c>
      <c r="AA1693" s="39" t="str">
        <f>IF(AND(B1693&lt;=NKC!$N$8,B1693&gt;=NKC!$M$8),"x","")</f>
        <v/>
      </c>
      <c r="AB1693" s="821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98"/>
        <v/>
      </c>
      <c r="C1694" s="184"/>
      <c r="D1694" s="184"/>
      <c r="E1694" s="191"/>
      <c r="F1694" s="189"/>
      <c r="G1694" s="570"/>
      <c r="H1694" s="7"/>
      <c r="I1694" s="256"/>
      <c r="J1694" s="256"/>
      <c r="K1694" s="568"/>
      <c r="L1694" s="569"/>
      <c r="M1694" s="569"/>
      <c r="N1694" s="39" t="str">
        <f>IF(AND('331-CT'!$E$7=TH!H1694,OR(L1694="331",M1694="331")),"331",IF(AND(OR(L1694="131",M1694="131"),H1694='131-CT'!$E$7),"131",""))</f>
        <v/>
      </c>
      <c r="O1694" s="902" t="str">
        <f>IF(AND('341-CT'!$E$9=H1694,OR(LEFT(L1694,3)=$O$7,LEFT(M1694,3)=$O$7)),"x","")</f>
        <v/>
      </c>
      <c r="P1694" s="39" t="str">
        <f>IF(AND($B1694&gt;='111'!$N$11,$B1694&lt;='111'!$O$11,OR($L1694=$P$7,$M1694=$P$7)),"x","")</f>
        <v/>
      </c>
      <c r="Q1694" s="39" t="str">
        <f>IF(AND($L1694=$P$7,$B1694&lt;'111'!$N$11),"x","")</f>
        <v/>
      </c>
      <c r="R1694" s="39" t="str">
        <f>IF(AND($M1694=$P$7,$B1694&lt;'111'!$N$11),"x","")</f>
        <v/>
      </c>
      <c r="S1694" s="39" t="str">
        <f>IF(ISERROR(FIND('112'!$M$9,G1694,1)),"",IF((AND(FIND('112'!$M$9,G1694,1)&gt;=1,$B1694&gt;='112'!$N$8,$B1694&lt;='112'!$O$8,OR($L1694='112'!$I$6,$M1694='112'!$I$6))),"x",""))</f>
        <v/>
      </c>
      <c r="T1694" s="39" t="str">
        <f>IF(ISERROR(FIND('112'!$M$9,G1694,1)),"",IF((AND(LEFT(G1694,2)=LEFT('112'!$M$9,2),B1694&lt;'112'!$N$8,$L1694='112'!$I$6)),"x",""))</f>
        <v/>
      </c>
      <c r="U1694" s="39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39" t="str">
        <f>IF(OR(TH!L1694=TH!$W$7,M1694=TH!$W$7),"x","")</f>
        <v/>
      </c>
      <c r="X1694" s="39" t="str">
        <f>IF(AND(B1694&gt;='IN-NX'!$P$3,B1694&lt;='IN-NX'!$Q$3,'IN-NX'!$D$7=D1694,OR(LEFT(L1694,2)="15",AND(LEFT(M1694,2)&lt;&gt;"15",LEFT(M1694,2)&lt;&gt;"33"))),"x","")</f>
        <v/>
      </c>
      <c r="Y1694" s="39" t="str">
        <f>IF(AND(OR(LEFT(TH!L1694,2)="15",LEFT(TH!M1694,2)="15"),'152-CT'!$J$8=TH!F1694),"x","")</f>
        <v/>
      </c>
      <c r="Z1694" s="39" t="str">
        <f>IF(AND(OR(LEFT(TH!L1694,2)="15",LEFT(TH!M1694,2)="15"),TK!$E$7=TH!F1694),"x","")</f>
        <v/>
      </c>
      <c r="AA1694" s="39" t="str">
        <f>IF(AND(B1694&lt;=NKC!$N$8,B1694&gt;=NKC!$M$8),"x","")</f>
        <v/>
      </c>
      <c r="AB1694" s="821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si="98"/>
        <v/>
      </c>
      <c r="C1695" s="184"/>
      <c r="D1695" s="184"/>
      <c r="E1695" s="191"/>
      <c r="F1695" s="189"/>
      <c r="G1695" s="570"/>
      <c r="H1695" s="7"/>
      <c r="I1695" s="256"/>
      <c r="J1695" s="256"/>
      <c r="K1695" s="568"/>
      <c r="L1695" s="569"/>
      <c r="M1695" s="569"/>
      <c r="N1695" s="39" t="str">
        <f>IF(AND('331-CT'!$E$7=TH!H1695,OR(L1695="331",M1695="331")),"331",IF(AND(OR(L1695="131",M1695="131"),H1695='131-CT'!$E$7),"131",""))</f>
        <v/>
      </c>
      <c r="O1695" s="902" t="str">
        <f>IF(AND('341-CT'!$E$9=H1695,OR(LEFT(L1695,3)=$O$7,LEFT(M1695,3)=$O$7)),"x","")</f>
        <v/>
      </c>
      <c r="P1695" s="39" t="str">
        <f>IF(AND($B1695&gt;='111'!$N$11,$B1695&lt;='111'!$O$11,OR($L1695=$P$7,$M1695=$P$7)),"x","")</f>
        <v/>
      </c>
      <c r="Q1695" s="39" t="str">
        <f>IF(AND($L1695=$P$7,$B1695&lt;'111'!$N$11),"x","")</f>
        <v/>
      </c>
      <c r="R1695" s="39" t="str">
        <f>IF(AND($M1695=$P$7,$B1695&lt;'111'!$N$11),"x","")</f>
        <v/>
      </c>
      <c r="S1695" s="39" t="str">
        <f>IF(ISERROR(FIND('112'!$M$9,G1695,1)),"",IF((AND(FIND('112'!$M$9,G1695,1)&gt;=1,$B1695&gt;='112'!$N$8,$B1695&lt;='112'!$O$8,OR($L1695='112'!$I$6,$M1695='112'!$I$6))),"x",""))</f>
        <v/>
      </c>
      <c r="T1695" s="39" t="str">
        <f>IF(ISERROR(FIND('112'!$M$9,G1695,1)),"",IF((AND(LEFT(G1695,2)=LEFT('112'!$M$9,2),B1695&lt;'112'!$N$8,$L1695='112'!$I$6)),"x",""))</f>
        <v/>
      </c>
      <c r="U1695" s="39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39" t="str">
        <f>IF(OR(TH!L1695=TH!$W$7,M1695=TH!$W$7),"x","")</f>
        <v/>
      </c>
      <c r="X1695" s="39" t="str">
        <f>IF(AND(B1695&gt;='IN-NX'!$P$3,B1695&lt;='IN-NX'!$Q$3,'IN-NX'!$D$7=D1695,OR(LEFT(L1695,2)="15",AND(LEFT(M1695,2)&lt;&gt;"15",LEFT(M1695,2)&lt;&gt;"33"))),"x","")</f>
        <v/>
      </c>
      <c r="Y1695" s="39" t="str">
        <f>IF(AND(OR(LEFT(TH!L1695,2)="15",LEFT(TH!M1695,2)="15"),'152-CT'!$J$8=TH!F1695),"x","")</f>
        <v/>
      </c>
      <c r="Z1695" s="39" t="str">
        <f>IF(AND(OR(LEFT(TH!L1695,2)="15",LEFT(TH!M1695,2)="15"),TK!$E$7=TH!F1695),"x","")</f>
        <v/>
      </c>
      <c r="AA1695" s="39" t="str">
        <f>IF(AND(B1695&lt;=NKC!$N$8,B1695&gt;=NKC!$M$8),"x","")</f>
        <v/>
      </c>
      <c r="AB1695" s="821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98"/>
        <v/>
      </c>
      <c r="C1696" s="184"/>
      <c r="D1696" s="184"/>
      <c r="E1696" s="184"/>
      <c r="F1696" s="189"/>
      <c r="G1696" s="570"/>
      <c r="H1696" s="7"/>
      <c r="I1696" s="256"/>
      <c r="J1696" s="256"/>
      <c r="K1696" s="568"/>
      <c r="L1696" s="569"/>
      <c r="M1696" s="569"/>
      <c r="N1696" s="39" t="str">
        <f>IF(AND('331-CT'!$E$7=TH!H1696,OR(L1696="331",M1696="331")),"331",IF(AND(OR(L1696="131",M1696="131"),H1696='131-CT'!$E$7),"131",""))</f>
        <v/>
      </c>
      <c r="O1696" s="902" t="str">
        <f>IF(AND('341-CT'!$E$9=H1696,OR(LEFT(L1696,3)=$O$7,LEFT(M1696,3)=$O$7)),"x","")</f>
        <v/>
      </c>
      <c r="P1696" s="39" t="str">
        <f>IF(AND($B1696&gt;='111'!$N$11,$B1696&lt;='111'!$O$11,OR($L1696=$P$7,$M1696=$P$7)),"x","")</f>
        <v/>
      </c>
      <c r="Q1696" s="39" t="str">
        <f>IF(AND($L1696=$P$7,$B1696&lt;'111'!$N$11),"x","")</f>
        <v/>
      </c>
      <c r="R1696" s="39" t="str">
        <f>IF(AND($M1696=$P$7,$B1696&lt;'111'!$N$11),"x","")</f>
        <v/>
      </c>
      <c r="S1696" s="39" t="str">
        <f>IF(ISERROR(FIND('112'!$M$9,G1696,1)),"",IF((AND(FIND('112'!$M$9,G1696,1)&gt;=1,$B1696&gt;='112'!$N$8,$B1696&lt;='112'!$O$8,OR($L1696='112'!$I$6,$M1696='112'!$I$6))),"x",""))</f>
        <v/>
      </c>
      <c r="T1696" s="39" t="str">
        <f>IF(ISERROR(FIND('112'!$M$9,G1696,1)),"",IF((AND(LEFT(G1696,2)=LEFT('112'!$M$9,2),B1696&lt;'112'!$N$8,$L1696='112'!$I$6)),"x",""))</f>
        <v/>
      </c>
      <c r="U1696" s="39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39" t="str">
        <f>IF(OR(TH!L1696=TH!$W$7,M1696=TH!$W$7),"x","")</f>
        <v/>
      </c>
      <c r="X1696" s="39" t="str">
        <f>IF(AND(B1696&gt;='IN-NX'!$P$3,B1696&lt;='IN-NX'!$Q$3,'IN-NX'!$D$7=D1696,OR(LEFT(L1696,2)="15",AND(LEFT(M1696,2)&lt;&gt;"15",LEFT(M1696,2)&lt;&gt;"33"))),"x","")</f>
        <v/>
      </c>
      <c r="Y1696" s="39" t="str">
        <f>IF(AND(OR(LEFT(TH!L1696,2)="15",LEFT(TH!M1696,2)="15"),'152-CT'!$J$8=TH!F1696),"x","")</f>
        <v/>
      </c>
      <c r="Z1696" s="39" t="str">
        <f>IF(AND(OR(LEFT(TH!L1696,2)="15",LEFT(TH!M1696,2)="15"),TK!$E$7=TH!F1696),"x","")</f>
        <v/>
      </c>
      <c r="AA1696" s="39" t="str">
        <f>IF(AND(B1696&lt;=NKC!$N$8,B1696&gt;=NKC!$M$8),"x","")</f>
        <v/>
      </c>
      <c r="AB1696" s="821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98"/>
        <v/>
      </c>
      <c r="C1697" s="184"/>
      <c r="D1697" s="184"/>
      <c r="E1697" s="184"/>
      <c r="F1697" s="189"/>
      <c r="G1697" s="570"/>
      <c r="H1697" s="7"/>
      <c r="I1697" s="256"/>
      <c r="J1697" s="256"/>
      <c r="K1697" s="568"/>
      <c r="L1697" s="569"/>
      <c r="M1697" s="569"/>
      <c r="N1697" s="39" t="str">
        <f>IF(AND('331-CT'!$E$7=TH!H1697,OR(L1697="331",M1697="331")),"331",IF(AND(OR(L1697="131",M1697="131"),H1697='131-CT'!$E$7),"131",""))</f>
        <v/>
      </c>
      <c r="O1697" s="902" t="str">
        <f>IF(AND('341-CT'!$E$9=H1697,OR(LEFT(L1697,3)=$O$7,LEFT(M1697,3)=$O$7)),"x","")</f>
        <v/>
      </c>
      <c r="P1697" s="39" t="str">
        <f>IF(AND($B1697&gt;='111'!$N$11,$B1697&lt;='111'!$O$11,OR($L1697=$P$7,$M1697=$P$7)),"x","")</f>
        <v/>
      </c>
      <c r="Q1697" s="39" t="str">
        <f>IF(AND($L1697=$P$7,$B1697&lt;'111'!$N$11),"x","")</f>
        <v/>
      </c>
      <c r="R1697" s="39" t="str">
        <f>IF(AND($M1697=$P$7,$B1697&lt;'111'!$N$11),"x","")</f>
        <v/>
      </c>
      <c r="S1697" s="39" t="str">
        <f>IF(ISERROR(FIND('112'!$M$9,G1697,1)),"",IF((AND(FIND('112'!$M$9,G1697,1)&gt;=1,$B1697&gt;='112'!$N$8,$B1697&lt;='112'!$O$8,OR($L1697='112'!$I$6,$M1697='112'!$I$6))),"x",""))</f>
        <v/>
      </c>
      <c r="T1697" s="39" t="str">
        <f>IF(ISERROR(FIND('112'!$M$9,G1697,1)),"",IF((AND(LEFT(G1697,2)=LEFT('112'!$M$9,2),B1697&lt;'112'!$N$8,$L1697='112'!$I$6)),"x",""))</f>
        <v/>
      </c>
      <c r="U1697" s="39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39" t="str">
        <f>IF(OR(TH!L1697=TH!$W$7,M1697=TH!$W$7),"x","")</f>
        <v/>
      </c>
      <c r="X1697" s="39" t="str">
        <f>IF(AND(B1697&gt;='IN-NX'!$P$3,B1697&lt;='IN-NX'!$Q$3,'IN-NX'!$D$7=D1697,OR(LEFT(L1697,2)="15",AND(LEFT(M1697,2)&lt;&gt;"15",LEFT(M1697,2)&lt;&gt;"33"))),"x","")</f>
        <v/>
      </c>
      <c r="Y1697" s="39" t="str">
        <f>IF(AND(OR(LEFT(TH!L1697,2)="15",LEFT(TH!M1697,2)="15"),'152-CT'!$J$8=TH!F1697),"x","")</f>
        <v/>
      </c>
      <c r="Z1697" s="39" t="str">
        <f>IF(AND(OR(LEFT(TH!L1697,2)="15",LEFT(TH!M1697,2)="15"),TK!$E$7=TH!F1697),"x","")</f>
        <v/>
      </c>
      <c r="AA1697" s="39" t="str">
        <f>IF(AND(B1697&lt;=NKC!$N$8,B1697&gt;=NKC!$M$8),"x","")</f>
        <v/>
      </c>
      <c r="AB1697" s="821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98"/>
        <v/>
      </c>
      <c r="C1698" s="184"/>
      <c r="D1698" s="184"/>
      <c r="E1698" s="184"/>
      <c r="F1698" s="189"/>
      <c r="G1698" s="570"/>
      <c r="H1698" s="7"/>
      <c r="I1698" s="256"/>
      <c r="J1698" s="256"/>
      <c r="K1698" s="568"/>
      <c r="L1698" s="569"/>
      <c r="M1698" s="569"/>
      <c r="N1698" s="39" t="str">
        <f>IF(AND('331-CT'!$E$7=TH!H1698,OR(L1698="331",M1698="331")),"331",IF(AND(OR(L1698="131",M1698="131"),H1698='131-CT'!$E$7),"131",""))</f>
        <v/>
      </c>
      <c r="O1698" s="902" t="str">
        <f>IF(AND('341-CT'!$E$9=H1698,OR(LEFT(L1698,3)=$O$7,LEFT(M1698,3)=$O$7)),"x","")</f>
        <v/>
      </c>
      <c r="P1698" s="39" t="str">
        <f>IF(AND($B1698&gt;='111'!$N$11,$B1698&lt;='111'!$O$11,OR($L1698=$P$7,$M1698=$P$7)),"x","")</f>
        <v/>
      </c>
      <c r="Q1698" s="39" t="str">
        <f>IF(AND($L1698=$P$7,$B1698&lt;'111'!$N$11),"x","")</f>
        <v/>
      </c>
      <c r="R1698" s="39" t="str">
        <f>IF(AND($M1698=$P$7,$B1698&lt;'111'!$N$11),"x","")</f>
        <v/>
      </c>
      <c r="S1698" s="39" t="str">
        <f>IF(ISERROR(FIND('112'!$M$9,G1698,1)),"",IF((AND(FIND('112'!$M$9,G1698,1)&gt;=1,$B1698&gt;='112'!$N$8,$B1698&lt;='112'!$O$8,OR($L1698='112'!$I$6,$M1698='112'!$I$6))),"x",""))</f>
        <v/>
      </c>
      <c r="T1698" s="39" t="str">
        <f>IF(ISERROR(FIND('112'!$M$9,G1698,1)),"",IF((AND(LEFT(G1698,2)=LEFT('112'!$M$9,2),B1698&lt;'112'!$N$8,$L1698='112'!$I$6)),"x",""))</f>
        <v/>
      </c>
      <c r="U1698" s="39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39" t="str">
        <f>IF(OR(TH!L1698=TH!$W$7,M1698=TH!$W$7),"x","")</f>
        <v/>
      </c>
      <c r="X1698" s="39" t="str">
        <f>IF(AND(B1698&gt;='IN-NX'!$P$3,B1698&lt;='IN-NX'!$Q$3,'IN-NX'!$D$7=D1698,OR(LEFT(L1698,2)="15",AND(LEFT(M1698,2)&lt;&gt;"15",LEFT(M1698,2)&lt;&gt;"33"))),"x","")</f>
        <v/>
      </c>
      <c r="Y1698" s="39" t="str">
        <f>IF(AND(OR(LEFT(TH!L1698,2)="15",LEFT(TH!M1698,2)="15"),'152-CT'!$J$8=TH!F1698),"x","")</f>
        <v/>
      </c>
      <c r="Z1698" s="39" t="str">
        <f>IF(AND(OR(LEFT(TH!L1698,2)="15",LEFT(TH!M1698,2)="15"),TK!$E$7=TH!F1698),"x","")</f>
        <v/>
      </c>
      <c r="AA1698" s="39" t="str">
        <f>IF(AND(B1698&lt;=NKC!$N$8,B1698&gt;=NKC!$M$8),"x","")</f>
        <v/>
      </c>
      <c r="AB1698" s="821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98"/>
        <v/>
      </c>
      <c r="C1699" s="184"/>
      <c r="D1699" s="184"/>
      <c r="E1699" s="191"/>
      <c r="F1699" s="189"/>
      <c r="G1699" s="570"/>
      <c r="H1699" s="7"/>
      <c r="I1699" s="256"/>
      <c r="J1699" s="256"/>
      <c r="K1699" s="568"/>
      <c r="L1699" s="569"/>
      <c r="M1699" s="569"/>
      <c r="N1699" s="39" t="str">
        <f>IF(AND('331-CT'!$E$7=TH!H1699,OR(L1699="331",M1699="331")),"331",IF(AND(OR(L1699="131",M1699="131"),H1699='131-CT'!$E$7),"131",""))</f>
        <v/>
      </c>
      <c r="O1699" s="902" t="str">
        <f>IF(AND('341-CT'!$E$9=H1699,OR(LEFT(L1699,3)=$O$7,LEFT(M1699,3)=$O$7)),"x","")</f>
        <v/>
      </c>
      <c r="P1699" s="39" t="str">
        <f>IF(AND($B1699&gt;='111'!$N$11,$B1699&lt;='111'!$O$11,OR($L1699=$P$7,$M1699=$P$7)),"x","")</f>
        <v/>
      </c>
      <c r="Q1699" s="39" t="str">
        <f>IF(AND($L1699=$P$7,$B1699&lt;'111'!$N$11),"x","")</f>
        <v/>
      </c>
      <c r="R1699" s="39" t="str">
        <f>IF(AND($M1699=$P$7,$B1699&lt;'111'!$N$11),"x","")</f>
        <v/>
      </c>
      <c r="S1699" s="39" t="str">
        <f>IF(ISERROR(FIND('112'!$M$9,G1699,1)),"",IF((AND(FIND('112'!$M$9,G1699,1)&gt;=1,$B1699&gt;='112'!$N$8,$B1699&lt;='112'!$O$8,OR($L1699='112'!$I$6,$M1699='112'!$I$6))),"x",""))</f>
        <v/>
      </c>
      <c r="T1699" s="39" t="str">
        <f>IF(ISERROR(FIND('112'!$M$9,G1699,1)),"",IF((AND(LEFT(G1699,2)=LEFT('112'!$M$9,2),B1699&lt;'112'!$N$8,$L1699='112'!$I$6)),"x",""))</f>
        <v/>
      </c>
      <c r="U1699" s="39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39" t="str">
        <f>IF(OR(TH!L1699=TH!$W$7,M1699=TH!$W$7),"x","")</f>
        <v/>
      </c>
      <c r="X1699" s="39" t="str">
        <f>IF(AND(B1699&gt;='IN-NX'!$P$3,B1699&lt;='IN-NX'!$Q$3,'IN-NX'!$D$7=D1699,OR(LEFT(L1699,2)="15",AND(LEFT(M1699,2)&lt;&gt;"15",LEFT(M1699,2)&lt;&gt;"33"))),"x","")</f>
        <v/>
      </c>
      <c r="Y1699" s="39" t="str">
        <f>IF(AND(OR(LEFT(TH!L1699,2)="15",LEFT(TH!M1699,2)="15"),'152-CT'!$J$8=TH!F1699),"x","")</f>
        <v/>
      </c>
      <c r="Z1699" s="39" t="str">
        <f>IF(AND(OR(LEFT(TH!L1699,2)="15",LEFT(TH!M1699,2)="15"),TK!$E$7=TH!F1699),"x","")</f>
        <v/>
      </c>
      <c r="AA1699" s="39" t="str">
        <f>IF(AND(B1699&lt;=NKC!$N$8,B1699&gt;=NKC!$M$8),"x","")</f>
        <v/>
      </c>
      <c r="AB1699" s="821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98"/>
        <v/>
      </c>
      <c r="C1700" s="184"/>
      <c r="D1700" s="184"/>
      <c r="E1700" s="191"/>
      <c r="F1700" s="189"/>
      <c r="G1700" s="570"/>
      <c r="H1700" s="7"/>
      <c r="I1700" s="256"/>
      <c r="J1700" s="256"/>
      <c r="K1700" s="568"/>
      <c r="L1700" s="569"/>
      <c r="M1700" s="569"/>
      <c r="N1700" s="39" t="str">
        <f>IF(AND('331-CT'!$E$7=TH!H1700,OR(L1700="331",M1700="331")),"331",IF(AND(OR(L1700="131",M1700="131"),H1700='131-CT'!$E$7),"131",""))</f>
        <v/>
      </c>
      <c r="O1700" s="902" t="str">
        <f>IF(AND('341-CT'!$E$9=H1700,OR(LEFT(L1700,3)=$O$7,LEFT(M1700,3)=$O$7)),"x","")</f>
        <v/>
      </c>
      <c r="P1700" s="39" t="str">
        <f>IF(AND($B1700&gt;='111'!$N$11,$B1700&lt;='111'!$O$11,OR($L1700=$P$7,$M1700=$P$7)),"x","")</f>
        <v/>
      </c>
      <c r="Q1700" s="39" t="str">
        <f>IF(AND($L1700=$P$7,$B1700&lt;'111'!$N$11),"x","")</f>
        <v/>
      </c>
      <c r="R1700" s="39" t="str">
        <f>IF(AND($M1700=$P$7,$B1700&lt;'111'!$N$11),"x","")</f>
        <v/>
      </c>
      <c r="S1700" s="39" t="str">
        <f>IF(ISERROR(FIND('112'!$M$9,G1700,1)),"",IF((AND(FIND('112'!$M$9,G1700,1)&gt;=1,$B1700&gt;='112'!$N$8,$B1700&lt;='112'!$O$8,OR($L1700='112'!$I$6,$M1700='112'!$I$6))),"x",""))</f>
        <v/>
      </c>
      <c r="T1700" s="39" t="str">
        <f>IF(ISERROR(FIND('112'!$M$9,G1700,1)),"",IF((AND(LEFT(G1700,2)=LEFT('112'!$M$9,2),B1700&lt;'112'!$N$8,$L1700='112'!$I$6)),"x",""))</f>
        <v/>
      </c>
      <c r="U1700" s="39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39" t="str">
        <f>IF(OR(TH!L1700=TH!$W$7,M1700=TH!$W$7),"x","")</f>
        <v/>
      </c>
      <c r="X1700" s="39" t="str">
        <f>IF(AND(B1700&gt;='IN-NX'!$P$3,B1700&lt;='IN-NX'!$Q$3,'IN-NX'!$D$7=D1700,OR(LEFT(L1700,2)="15",AND(LEFT(M1700,2)&lt;&gt;"15",LEFT(M1700,2)&lt;&gt;"33"))),"x","")</f>
        <v/>
      </c>
      <c r="Y1700" s="39" t="str">
        <f>IF(AND(OR(LEFT(TH!L1700,2)="15",LEFT(TH!M1700,2)="15"),'152-CT'!$J$8=TH!F1700),"x","")</f>
        <v/>
      </c>
      <c r="Z1700" s="39" t="str">
        <f>IF(AND(OR(LEFT(TH!L1700,2)="15",LEFT(TH!M1700,2)="15"),TK!$E$7=TH!F1700),"x","")</f>
        <v/>
      </c>
      <c r="AA1700" s="39" t="str">
        <f>IF(AND(B1700&lt;=NKC!$N$8,B1700&gt;=NKC!$M$8),"x","")</f>
        <v/>
      </c>
      <c r="AB1700" s="821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98"/>
        <v/>
      </c>
      <c r="C1701" s="191"/>
      <c r="D1701" s="37"/>
      <c r="E1701" s="731"/>
      <c r="F1701" s="443"/>
      <c r="G1701" s="40"/>
      <c r="H1701" s="7"/>
      <c r="I1701" s="256"/>
      <c r="J1701" s="256"/>
      <c r="K1701" s="568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902" t="str">
        <f>IF(AND('341-CT'!$E$9=H1701,OR(LEFT(L1701,3)=$O$7,LEFT(M1701,3)=$O$7)),"x","")</f>
        <v/>
      </c>
      <c r="P1701" s="39" t="str">
        <f>IF(AND($B1701&gt;='111'!$N$11,$B1701&lt;='111'!$O$11,OR($L1701=$P$7,$M1701=$P$7)),"x","")</f>
        <v/>
      </c>
      <c r="Q1701" s="39" t="str">
        <f>IF(AND($L1701=$P$7,$B1701&lt;'111'!$N$11),"x","")</f>
        <v/>
      </c>
      <c r="R1701" s="39" t="str">
        <f>IF(AND($M1701=$P$7,$B1701&lt;'111'!$N$11),"x","")</f>
        <v/>
      </c>
      <c r="S1701" s="39" t="str">
        <f>IF(ISERROR(FIND('112'!$M$9,G1701,1)),"",IF((AND(FIND('112'!$M$9,G1701,1)&gt;=1,$B1701&gt;='112'!$N$8,$B1701&lt;='112'!$O$8,OR($L1701='112'!$I$6,$M1701='112'!$I$6))),"x",""))</f>
        <v/>
      </c>
      <c r="T1701" s="39" t="str">
        <f>IF(ISERROR(FIND('112'!$M$9,G1701,1)),"",IF((AND(LEFT(G1701,2)=LEFT('112'!$M$9,2),B1701&lt;'112'!$N$8,$L1701='112'!$I$6)),"x",""))</f>
        <v/>
      </c>
      <c r="U1701" s="39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39" t="str">
        <f>IF(OR(TH!L1701=TH!$W$7,M1701=TH!$W$7),"x","")</f>
        <v/>
      </c>
      <c r="X1701" s="39" t="str">
        <f>IF(AND(B1701&gt;='IN-NX'!$P$3,B1701&lt;='IN-NX'!$Q$3,'IN-NX'!$D$7=D1701,OR(LEFT(L1701,2)="15",AND(LEFT(M1701,2)&lt;&gt;"15",LEFT(M1701,2)&lt;&gt;"33"))),"x","")</f>
        <v/>
      </c>
      <c r="Y1701" s="39" t="str">
        <f>IF(AND(OR(LEFT(TH!L1701,2)="15",LEFT(TH!M1701,2)="15"),'152-CT'!$J$8=TH!F1701),"x","")</f>
        <v/>
      </c>
      <c r="Z1701" s="39" t="str">
        <f>IF(AND(OR(LEFT(TH!L1701,2)="15",LEFT(TH!M1701,2)="15"),TK!$E$7=TH!F1701),"x","")</f>
        <v/>
      </c>
      <c r="AA1701" s="39" t="str">
        <f>IF(AND(B1701&lt;=NKC!$N$8,B1701&gt;=NKC!$M$8),"x","")</f>
        <v/>
      </c>
      <c r="AB1701" s="821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98"/>
        <v/>
      </c>
      <c r="C1702" s="191"/>
      <c r="D1702" s="37"/>
      <c r="E1702" s="731"/>
      <c r="F1702" s="443"/>
      <c r="G1702" s="40"/>
      <c r="H1702" s="7"/>
      <c r="I1702" s="256"/>
      <c r="J1702" s="256"/>
      <c r="K1702" s="568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902" t="str">
        <f>IF(AND('341-CT'!$E$9=H1702,OR(LEFT(L1702,3)=$O$7,LEFT(M1702,3)=$O$7)),"x","")</f>
        <v/>
      </c>
      <c r="P1702" s="39" t="str">
        <f>IF(AND($B1702&gt;='111'!$N$11,$B1702&lt;='111'!$O$11,OR($L1702=$P$7,$M1702=$P$7)),"x","")</f>
        <v/>
      </c>
      <c r="Q1702" s="39" t="str">
        <f>IF(AND($L1702=$P$7,$B1702&lt;'111'!$N$11),"x","")</f>
        <v/>
      </c>
      <c r="R1702" s="39" t="str">
        <f>IF(AND($M1702=$P$7,$B1702&lt;'111'!$N$11),"x","")</f>
        <v/>
      </c>
      <c r="S1702" s="39" t="str">
        <f>IF(ISERROR(FIND('112'!$M$9,G1702,1)),"",IF((AND(FIND('112'!$M$9,G1702,1)&gt;=1,$B1702&gt;='112'!$N$8,$B1702&lt;='112'!$O$8,OR($L1702='112'!$I$6,$M1702='112'!$I$6))),"x",""))</f>
        <v/>
      </c>
      <c r="T1702" s="39" t="str">
        <f>IF(ISERROR(FIND('112'!$M$9,G1702,1)),"",IF((AND(LEFT(G1702,2)=LEFT('112'!$M$9,2),B1702&lt;'112'!$N$8,$L1702='112'!$I$6)),"x",""))</f>
        <v/>
      </c>
      <c r="U1702" s="39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39" t="str">
        <f>IF(OR(TH!L1702=TH!$W$7,M1702=TH!$W$7),"x","")</f>
        <v/>
      </c>
      <c r="X1702" s="39" t="str">
        <f>IF(AND(B1702&gt;='IN-NX'!$P$3,B1702&lt;='IN-NX'!$Q$3,'IN-NX'!$D$7=D1702,OR(LEFT(L1702,2)="15",AND(LEFT(M1702,2)&lt;&gt;"15",LEFT(M1702,2)&lt;&gt;"33"))),"x","")</f>
        <v/>
      </c>
      <c r="Y1702" s="39" t="str">
        <f>IF(AND(OR(LEFT(TH!L1702,2)="15",LEFT(TH!M1702,2)="15"),'152-CT'!$J$8=TH!F1702),"x","")</f>
        <v/>
      </c>
      <c r="Z1702" s="39" t="str">
        <f>IF(AND(OR(LEFT(TH!L1702,2)="15",LEFT(TH!M1702,2)="15"),TK!$E$7=TH!F1702),"x","")</f>
        <v/>
      </c>
      <c r="AA1702" s="39" t="str">
        <f>IF(AND(B1702&lt;=NKC!$N$8,B1702&gt;=NKC!$M$8),"x","")</f>
        <v/>
      </c>
      <c r="AB1702" s="821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98"/>
        <v/>
      </c>
      <c r="C1703" s="191"/>
      <c r="D1703" s="191"/>
      <c r="E1703" s="191"/>
      <c r="F1703" s="40"/>
      <c r="G1703" s="468"/>
      <c r="H1703" s="7"/>
      <c r="I1703" s="256"/>
      <c r="J1703" s="256"/>
      <c r="K1703" s="568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902" t="str">
        <f>IF(AND('341-CT'!$E$9=H1703,OR(LEFT(L1703,3)=$O$7,LEFT(M1703,3)=$O$7)),"x","")</f>
        <v/>
      </c>
      <c r="P1703" s="39" t="str">
        <f>IF(AND($B1703&gt;='111'!$N$11,$B1703&lt;='111'!$O$11,OR($L1703=$P$7,$M1703=$P$7)),"x","")</f>
        <v/>
      </c>
      <c r="Q1703" s="39" t="str">
        <f>IF(AND($L1703=$P$7,$B1703&lt;'111'!$N$11),"x","")</f>
        <v/>
      </c>
      <c r="R1703" s="39" t="str">
        <f>IF(AND($M1703=$P$7,$B1703&lt;'111'!$N$11),"x","")</f>
        <v/>
      </c>
      <c r="S1703" s="39" t="str">
        <f>IF(ISERROR(FIND('112'!$M$9,G1703,1)),"",IF((AND(FIND('112'!$M$9,G1703,1)&gt;=1,$B1703&gt;='112'!$N$8,$B1703&lt;='112'!$O$8,OR($L1703='112'!$I$6,$M1703='112'!$I$6))),"x",""))</f>
        <v/>
      </c>
      <c r="T1703" s="39" t="str">
        <f>IF(ISERROR(FIND('112'!$M$9,G1703,1)),"",IF((AND(LEFT(G1703,2)=LEFT('112'!$M$9,2),B1703&lt;'112'!$N$8,$L1703='112'!$I$6)),"x",""))</f>
        <v/>
      </c>
      <c r="U1703" s="39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39" t="str">
        <f>IF(OR(TH!L1703=TH!$W$7,M1703=TH!$W$7),"x","")</f>
        <v/>
      </c>
      <c r="X1703" s="39" t="str">
        <f>IF(AND(B1703&gt;='IN-NX'!$P$3,B1703&lt;='IN-NX'!$Q$3,'IN-NX'!$D$7=D1703,OR(LEFT(L1703,2)="15",AND(LEFT(M1703,2)&lt;&gt;"15",LEFT(M1703,2)&lt;&gt;"33"))),"x","")</f>
        <v/>
      </c>
      <c r="Y1703" s="39" t="str">
        <f>IF(AND(OR(LEFT(TH!L1703,2)="15",LEFT(TH!M1703,2)="15"),'152-CT'!$J$8=TH!F1703),"x","")</f>
        <v/>
      </c>
      <c r="Z1703" s="39" t="str">
        <f>IF(AND(OR(LEFT(TH!L1703,2)="15",LEFT(TH!M1703,2)="15"),TK!$E$7=TH!F1703),"x","")</f>
        <v/>
      </c>
      <c r="AA1703" s="39" t="str">
        <f>IF(AND(B1703&lt;=NKC!$N$8,B1703&gt;=NKC!$M$8),"x","")</f>
        <v/>
      </c>
      <c r="AB1703" s="821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98"/>
        <v/>
      </c>
      <c r="C1704" s="191"/>
      <c r="D1704" s="191"/>
      <c r="E1704" s="191"/>
      <c r="F1704" s="40"/>
      <c r="G1704" s="468"/>
      <c r="H1704" s="7"/>
      <c r="I1704" s="256"/>
      <c r="J1704" s="256"/>
      <c r="K1704" s="568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902" t="str">
        <f>IF(AND('341-CT'!$E$9=H1704,OR(LEFT(L1704,3)=$O$7,LEFT(M1704,3)=$O$7)),"x","")</f>
        <v/>
      </c>
      <c r="P1704" s="39" t="str">
        <f>IF(AND($B1704&gt;='111'!$N$11,$B1704&lt;='111'!$O$11,OR($L1704=$P$7,$M1704=$P$7)),"x","")</f>
        <v/>
      </c>
      <c r="Q1704" s="39" t="str">
        <f>IF(AND($L1704=$P$7,$B1704&lt;'111'!$N$11),"x","")</f>
        <v/>
      </c>
      <c r="R1704" s="39" t="str">
        <f>IF(AND($M1704=$P$7,$B1704&lt;'111'!$N$11),"x","")</f>
        <v/>
      </c>
      <c r="S1704" s="39" t="str">
        <f>IF(ISERROR(FIND('112'!$M$9,G1704,1)),"",IF((AND(FIND('112'!$M$9,G1704,1)&gt;=1,$B1704&gt;='112'!$N$8,$B1704&lt;='112'!$O$8,OR($L1704='112'!$I$6,$M1704='112'!$I$6))),"x",""))</f>
        <v/>
      </c>
      <c r="T1704" s="39" t="str">
        <f>IF(ISERROR(FIND('112'!$M$9,G1704,1)),"",IF((AND(LEFT(G1704,2)=LEFT('112'!$M$9,2),B1704&lt;'112'!$N$8,$L1704='112'!$I$6)),"x",""))</f>
        <v/>
      </c>
      <c r="U1704" s="39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39" t="str">
        <f>IF(OR(TH!L1704=TH!$W$7,M1704=TH!$W$7),"x","")</f>
        <v/>
      </c>
      <c r="X1704" s="39" t="str">
        <f>IF(AND(B1704&gt;='IN-NX'!$P$3,B1704&lt;='IN-NX'!$Q$3,'IN-NX'!$D$7=D1704,OR(LEFT(L1704,2)="15",AND(LEFT(M1704,2)&lt;&gt;"15",LEFT(M1704,2)&lt;&gt;"33"))),"x","")</f>
        <v/>
      </c>
      <c r="Y1704" s="39" t="str">
        <f>IF(AND(OR(LEFT(TH!L1704,2)="15",LEFT(TH!M1704,2)="15"),'152-CT'!$J$8=TH!F1704),"x","")</f>
        <v/>
      </c>
      <c r="Z1704" s="39" t="str">
        <f>IF(AND(OR(LEFT(TH!L1704,2)="15",LEFT(TH!M1704,2)="15"),TK!$E$7=TH!F1704),"x","")</f>
        <v/>
      </c>
      <c r="AA1704" s="39" t="str">
        <f>IF(AND(B1704&lt;=NKC!$N$8,B1704&gt;=NKC!$M$8),"x","")</f>
        <v/>
      </c>
      <c r="AB1704" s="821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98"/>
        <v/>
      </c>
      <c r="C1705" s="191"/>
      <c r="D1705" s="191"/>
      <c r="E1705" s="191"/>
      <c r="F1705" s="296"/>
      <c r="G1705" s="468"/>
      <c r="H1705" s="7"/>
      <c r="I1705" s="257"/>
      <c r="J1705" s="257"/>
      <c r="K1705" s="568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902" t="str">
        <f>IF(AND('341-CT'!$E$9=H1705,OR(LEFT(L1705,3)=$O$7,LEFT(M1705,3)=$O$7)),"x","")</f>
        <v/>
      </c>
      <c r="P1705" s="39" t="str">
        <f>IF(AND($B1705&gt;='111'!$N$11,$B1705&lt;='111'!$O$11,OR($L1705=$P$7,$M1705=$P$7)),"x","")</f>
        <v/>
      </c>
      <c r="Q1705" s="39" t="str">
        <f>IF(AND($L1705=$P$7,$B1705&lt;'111'!$N$11),"x","")</f>
        <v/>
      </c>
      <c r="R1705" s="39" t="str">
        <f>IF(AND($M1705=$P$7,$B1705&lt;'111'!$N$11),"x","")</f>
        <v/>
      </c>
      <c r="S1705" s="39" t="str">
        <f>IF(ISERROR(FIND('112'!$M$9,G1705,1)),"",IF((AND(FIND('112'!$M$9,G1705,1)&gt;=1,$B1705&gt;='112'!$N$8,$B1705&lt;='112'!$O$8,OR($L1705='112'!$I$6,$M1705='112'!$I$6))),"x",""))</f>
        <v/>
      </c>
      <c r="T1705" s="39" t="str">
        <f>IF(ISERROR(FIND('112'!$M$9,G1705,1)),"",IF((AND(LEFT(G1705,2)=LEFT('112'!$M$9,2),B1705&lt;'112'!$N$8,$L1705='112'!$I$6)),"x",""))</f>
        <v/>
      </c>
      <c r="U1705" s="39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39" t="str">
        <f>IF(OR(TH!L1705=TH!$W$7,M1705=TH!$W$7),"x","")</f>
        <v/>
      </c>
      <c r="X1705" s="39" t="str">
        <f>IF(AND(B1705&gt;='IN-NX'!$P$3,B1705&lt;='IN-NX'!$Q$3,'IN-NX'!$D$7=D1705,OR(LEFT(L1705,2)="15",AND(LEFT(M1705,2)&lt;&gt;"15",LEFT(M1705,2)&lt;&gt;"33"))),"x","")</f>
        <v/>
      </c>
      <c r="Y1705" s="39" t="str">
        <f>IF(AND(OR(LEFT(TH!L1705,2)="15",LEFT(TH!M1705,2)="15"),'152-CT'!$J$8=TH!F1705),"x","")</f>
        <v/>
      </c>
      <c r="Z1705" s="39" t="str">
        <f>IF(AND(OR(LEFT(TH!L1705,2)="15",LEFT(TH!M1705,2)="15"),TK!$E$7=TH!F1705),"x","")</f>
        <v/>
      </c>
      <c r="AA1705" s="39" t="str">
        <f>IF(AND(B1705&lt;=NKC!$N$8,B1705&gt;=NKC!$M$8),"x","")</f>
        <v/>
      </c>
      <c r="AB1705" s="821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98"/>
        <v/>
      </c>
      <c r="C1706" s="191"/>
      <c r="D1706" s="191"/>
      <c r="E1706" s="191"/>
      <c r="F1706" s="192"/>
      <c r="G1706" s="468"/>
      <c r="H1706" s="7"/>
      <c r="I1706" s="256"/>
      <c r="J1706" s="256"/>
      <c r="K1706" s="38"/>
      <c r="L1706" s="194"/>
      <c r="M1706" s="194"/>
      <c r="N1706" s="39" t="str">
        <f>IF(AND('331-CT'!$E$7=TH!H1706,OR(L1706="331",M1706="331")),"331",IF(AND(OR(L1706="131",M1706="131"),H1706='131-CT'!$E$7),"131",""))</f>
        <v/>
      </c>
      <c r="O1706" s="902" t="str">
        <f>IF(AND('341-CT'!$E$9=H1706,OR(LEFT(L1706,3)=$O$7,LEFT(M1706,3)=$O$7)),"x","")</f>
        <v/>
      </c>
      <c r="P1706" s="39" t="str">
        <f>IF(AND($B1706&gt;='111'!$N$11,$B1706&lt;='111'!$O$11,OR($L1706=$P$7,$M1706=$P$7)),"x","")</f>
        <v/>
      </c>
      <c r="Q1706" s="39" t="str">
        <f>IF(AND($L1706=$P$7,$B1706&lt;'111'!$N$11),"x","")</f>
        <v/>
      </c>
      <c r="R1706" s="39" t="str">
        <f>IF(AND($M1706=$P$7,$B1706&lt;'111'!$N$11),"x","")</f>
        <v/>
      </c>
      <c r="S1706" s="39" t="str">
        <f>IF(ISERROR(FIND('112'!$M$9,G1706,1)),"",IF((AND(FIND('112'!$M$9,G1706,1)&gt;=1,$B1706&gt;='112'!$N$8,$B1706&lt;='112'!$O$8,OR($L1706='112'!$I$6,$M1706='112'!$I$6))),"x",""))</f>
        <v/>
      </c>
      <c r="T1706" s="39" t="str">
        <f>IF(ISERROR(FIND('112'!$M$9,G1706,1)),"",IF((AND(LEFT(G1706,2)=LEFT('112'!$M$9,2),B1706&lt;'112'!$N$8,$L1706='112'!$I$6)),"x",""))</f>
        <v/>
      </c>
      <c r="U1706" s="39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39" t="str">
        <f>IF(OR(TH!L1706=TH!$W$7,M1706=TH!$W$7),"x","")</f>
        <v/>
      </c>
      <c r="X1706" s="39" t="str">
        <f>IF(AND(B1706&gt;='IN-NX'!$P$3,B1706&lt;='IN-NX'!$Q$3,'IN-NX'!$D$7=D1706,OR(LEFT(L1706,2)="15",AND(LEFT(M1706,2)&lt;&gt;"15",LEFT(M1706,2)&lt;&gt;"33"))),"x","")</f>
        <v/>
      </c>
      <c r="Y1706" s="39" t="str">
        <f>IF(AND(OR(LEFT(TH!L1706,2)="15",LEFT(TH!M1706,2)="15"),'152-CT'!$J$8=TH!F1706),"x","")</f>
        <v/>
      </c>
      <c r="Z1706" s="39" t="str">
        <f>IF(AND(OR(LEFT(TH!L1706,2)="15",LEFT(TH!M1706,2)="15"),TK!$E$7=TH!F1706),"x","")</f>
        <v/>
      </c>
      <c r="AA1706" s="39" t="str">
        <f>IF(AND(B1706&lt;=NKC!$N$8,B1706&gt;=NKC!$M$8),"x","")</f>
        <v/>
      </c>
      <c r="AB1706" s="821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98"/>
        <v/>
      </c>
      <c r="C1707" s="191"/>
      <c r="D1707" s="191"/>
      <c r="E1707" s="191"/>
      <c r="F1707" s="192"/>
      <c r="G1707" s="468"/>
      <c r="H1707" s="193"/>
      <c r="I1707" s="256"/>
      <c r="J1707" s="256"/>
      <c r="K1707" s="38"/>
      <c r="L1707" s="194"/>
      <c r="M1707" s="569"/>
      <c r="N1707" s="39" t="str">
        <f>IF(AND('331-CT'!$E$7=TH!H1707,OR(L1707="331",M1707="331")),"331",IF(AND(OR(L1707="131",M1707="131"),H1707='131-CT'!$E$7),"131",""))</f>
        <v/>
      </c>
      <c r="O1707" s="902" t="str">
        <f>IF(AND('341-CT'!$E$9=H1707,OR(LEFT(L1707,3)=$O$7,LEFT(M1707,3)=$O$7)),"x","")</f>
        <v/>
      </c>
      <c r="P1707" s="39" t="str">
        <f>IF(AND($B1707&gt;='111'!$N$11,$B1707&lt;='111'!$O$11,OR($L1707=$P$7,$M1707=$P$7)),"x","")</f>
        <v/>
      </c>
      <c r="Q1707" s="39" t="str">
        <f>IF(AND($L1707=$P$7,$B1707&lt;'111'!$N$11),"x","")</f>
        <v/>
      </c>
      <c r="R1707" s="39" t="str">
        <f>IF(AND($M1707=$P$7,$B1707&lt;'111'!$N$11),"x","")</f>
        <v/>
      </c>
      <c r="S1707" s="39" t="str">
        <f>IF(ISERROR(FIND('112'!$M$9,G1707,1)),"",IF((AND(FIND('112'!$M$9,G1707,1)&gt;=1,$B1707&gt;='112'!$N$8,$B1707&lt;='112'!$O$8,OR($L1707='112'!$I$6,$M1707='112'!$I$6))),"x",""))</f>
        <v/>
      </c>
      <c r="T1707" s="39" t="str">
        <f>IF(ISERROR(FIND('112'!$M$9,G1707,1)),"",IF((AND(LEFT(G1707,2)=LEFT('112'!$M$9,2),B1707&lt;'112'!$N$8,$L1707='112'!$I$6)),"x",""))</f>
        <v/>
      </c>
      <c r="U1707" s="39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39" t="str">
        <f>IF(OR(TH!L1707=TH!$W$7,M1707=TH!$W$7),"x","")</f>
        <v/>
      </c>
      <c r="X1707" s="39" t="str">
        <f>IF(AND(B1707&gt;='IN-NX'!$P$3,B1707&lt;='IN-NX'!$Q$3,'IN-NX'!$D$7=D1707,OR(LEFT(L1707,2)="15",AND(LEFT(M1707,2)&lt;&gt;"15",LEFT(M1707,2)&lt;&gt;"33"))),"x","")</f>
        <v/>
      </c>
      <c r="Y1707" s="39" t="str">
        <f>IF(AND(OR(LEFT(TH!L1707,2)="15",LEFT(TH!M1707,2)="15"),'152-CT'!$J$8=TH!F1707),"x","")</f>
        <v/>
      </c>
      <c r="Z1707" s="39" t="str">
        <f>IF(AND(OR(LEFT(TH!L1707,2)="15",LEFT(TH!M1707,2)="15"),TK!$E$7=TH!F1707),"x","")</f>
        <v/>
      </c>
      <c r="AA1707" s="39" t="str">
        <f>IF(AND(B1707&lt;=NKC!$N$8,B1707&gt;=NKC!$M$8),"x","")</f>
        <v/>
      </c>
      <c r="AB1707" s="821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98"/>
        <v/>
      </c>
      <c r="C1708" s="191"/>
      <c r="D1708" s="191"/>
      <c r="E1708" s="191"/>
      <c r="F1708" s="192"/>
      <c r="G1708" s="468"/>
      <c r="H1708" s="193"/>
      <c r="I1708" s="256"/>
      <c r="J1708" s="256"/>
      <c r="K1708" s="568"/>
      <c r="L1708" s="194"/>
      <c r="M1708" s="194"/>
      <c r="N1708" s="39" t="str">
        <f>IF(AND('331-CT'!$E$7=TH!H1708,OR(L1708="331",M1708="331")),"331",IF(AND(OR(L1708="131",M1708="131"),H1708='131-CT'!$E$7),"131",""))</f>
        <v/>
      </c>
      <c r="O1708" s="902" t="str">
        <f>IF(AND('341-CT'!$E$9=H1708,OR(LEFT(L1708,3)=$O$7,LEFT(M1708,3)=$O$7)),"x","")</f>
        <v/>
      </c>
      <c r="P1708" s="39" t="str">
        <f>IF(AND($B1708&gt;='111'!$N$11,$B1708&lt;='111'!$O$11,OR($L1708=$P$7,$M1708=$P$7)),"x","")</f>
        <v/>
      </c>
      <c r="Q1708" s="39" t="str">
        <f>IF(AND($L1708=$P$7,$B1708&lt;'111'!$N$11),"x","")</f>
        <v/>
      </c>
      <c r="R1708" s="39" t="str">
        <f>IF(AND($M1708=$P$7,$B1708&lt;'111'!$N$11),"x","")</f>
        <v/>
      </c>
      <c r="S1708" s="39" t="str">
        <f>IF(ISERROR(FIND('112'!$M$9,G1708,1)),"",IF((AND(FIND('112'!$M$9,G1708,1)&gt;=1,$B1708&gt;='112'!$N$8,$B1708&lt;='112'!$O$8,OR($L1708='112'!$I$6,$M1708='112'!$I$6))),"x",""))</f>
        <v/>
      </c>
      <c r="T1708" s="39" t="str">
        <f>IF(ISERROR(FIND('112'!$M$9,G1708,1)),"",IF((AND(LEFT(G1708,2)=LEFT('112'!$M$9,2),B1708&lt;'112'!$N$8,$L1708='112'!$I$6)),"x",""))</f>
        <v/>
      </c>
      <c r="U1708" s="39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39" t="str">
        <f>IF(OR(TH!L1708=TH!$W$7,M1708=TH!$W$7),"x","")</f>
        <v/>
      </c>
      <c r="X1708" s="39" t="str">
        <f>IF(AND(B1708&gt;='IN-NX'!$P$3,B1708&lt;='IN-NX'!$Q$3,'IN-NX'!$D$7=D1708,OR(LEFT(L1708,2)="15",AND(LEFT(M1708,2)&lt;&gt;"15",LEFT(M1708,2)&lt;&gt;"33"))),"x","")</f>
        <v/>
      </c>
      <c r="Y1708" s="39" t="str">
        <f>IF(AND(OR(LEFT(TH!L1708,2)="15",LEFT(TH!M1708,2)="15"),'152-CT'!$J$8=TH!F1708),"x","")</f>
        <v/>
      </c>
      <c r="Z1708" s="39" t="str">
        <f>IF(AND(OR(LEFT(TH!L1708,2)="15",LEFT(TH!M1708,2)="15"),TK!$E$7=TH!F1708),"x","")</f>
        <v/>
      </c>
      <c r="AA1708" s="39" t="str">
        <f>IF(AND(B1708&lt;=NKC!$N$8,B1708&gt;=NKC!$M$8),"x","")</f>
        <v/>
      </c>
      <c r="AB1708" s="821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98"/>
        <v/>
      </c>
      <c r="C1709" s="191"/>
      <c r="D1709" s="191"/>
      <c r="E1709" s="191"/>
      <c r="F1709" s="192"/>
      <c r="G1709" s="468"/>
      <c r="H1709" s="193"/>
      <c r="I1709" s="256"/>
      <c r="J1709" s="256"/>
      <c r="K1709" s="568"/>
      <c r="L1709" s="194"/>
      <c r="M1709" s="194"/>
      <c r="N1709" s="39" t="str">
        <f>IF(AND('331-CT'!$E$7=TH!H1709,OR(L1709="331",M1709="331")),"331",IF(AND(OR(L1709="131",M1709="131"),H1709='131-CT'!$E$7),"131",""))</f>
        <v/>
      </c>
      <c r="O1709" s="902" t="str">
        <f>IF(AND('341-CT'!$E$9=H1709,OR(LEFT(L1709,3)=$O$7,LEFT(M1709,3)=$O$7)),"x","")</f>
        <v/>
      </c>
      <c r="P1709" s="39" t="str">
        <f>IF(AND($B1709&gt;='111'!$N$11,$B1709&lt;='111'!$O$11,OR($L1709=$P$7,$M1709=$P$7)),"x","")</f>
        <v/>
      </c>
      <c r="Q1709" s="39" t="str">
        <f>IF(AND($L1709=$P$7,$B1709&lt;'111'!$N$11),"x","")</f>
        <v/>
      </c>
      <c r="R1709" s="39" t="str">
        <f>IF(AND($M1709=$P$7,$B1709&lt;'111'!$N$11),"x","")</f>
        <v/>
      </c>
      <c r="S1709" s="39" t="str">
        <f>IF(ISERROR(FIND('112'!$M$9,G1709,1)),"",IF((AND(FIND('112'!$M$9,G1709,1)&gt;=1,$B1709&gt;='112'!$N$8,$B1709&lt;='112'!$O$8,OR($L1709='112'!$I$6,$M1709='112'!$I$6))),"x",""))</f>
        <v/>
      </c>
      <c r="T1709" s="39" t="str">
        <f>IF(ISERROR(FIND('112'!$M$9,G1709,1)),"",IF((AND(LEFT(G1709,2)=LEFT('112'!$M$9,2),B1709&lt;'112'!$N$8,$L1709='112'!$I$6)),"x",""))</f>
        <v/>
      </c>
      <c r="U1709" s="39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39" t="str">
        <f>IF(OR(TH!L1709=TH!$W$7,M1709=TH!$W$7),"x","")</f>
        <v/>
      </c>
      <c r="X1709" s="39" t="str">
        <f>IF(AND(B1709&gt;='IN-NX'!$P$3,B1709&lt;='IN-NX'!$Q$3,'IN-NX'!$D$7=D1709,OR(LEFT(L1709,2)="15",AND(LEFT(M1709,2)&lt;&gt;"15",LEFT(M1709,2)&lt;&gt;"33"))),"x","")</f>
        <v/>
      </c>
      <c r="Y1709" s="39" t="str">
        <f>IF(AND(OR(LEFT(TH!L1709,2)="15",LEFT(TH!M1709,2)="15"),'152-CT'!$J$8=TH!F1709),"x","")</f>
        <v/>
      </c>
      <c r="Z1709" s="39" t="str">
        <f>IF(AND(OR(LEFT(TH!L1709,2)="15",LEFT(TH!M1709,2)="15"),TK!$E$7=TH!F1709),"x","")</f>
        <v/>
      </c>
      <c r="AA1709" s="39" t="str">
        <f>IF(AND(B1709&lt;=NKC!$N$8,B1709&gt;=NKC!$M$8),"x","")</f>
        <v/>
      </c>
      <c r="AB1709" s="821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98"/>
        <v/>
      </c>
      <c r="C1710" s="191"/>
      <c r="D1710" s="37"/>
      <c r="E1710" s="191"/>
      <c r="F1710" s="296"/>
      <c r="G1710" s="40"/>
      <c r="H1710" s="7"/>
      <c r="I1710" s="256"/>
      <c r="J1710" s="256"/>
      <c r="K1710" s="568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902" t="str">
        <f>IF(AND('341-CT'!$E$9=H1710,OR(LEFT(L1710,3)=$O$7,LEFT(M1710,3)=$O$7)),"x","")</f>
        <v/>
      </c>
      <c r="P1710" s="39" t="str">
        <f>IF(AND($B1710&gt;='111'!$N$11,$B1710&lt;='111'!$O$11,OR($L1710=$P$7,$M1710=$P$7)),"x","")</f>
        <v/>
      </c>
      <c r="Q1710" s="39" t="str">
        <f>IF(AND($L1710=$P$7,$B1710&lt;'111'!$N$11),"x","")</f>
        <v/>
      </c>
      <c r="R1710" s="39" t="str">
        <f>IF(AND($M1710=$P$7,$B1710&lt;'111'!$N$11),"x","")</f>
        <v/>
      </c>
      <c r="S1710" s="39" t="str">
        <f>IF(ISERROR(FIND('112'!$M$9,G1710,1)),"",IF((AND(FIND('112'!$M$9,G1710,1)&gt;=1,$B1710&gt;='112'!$N$8,$B1710&lt;='112'!$O$8,OR($L1710='112'!$I$6,$M1710='112'!$I$6))),"x",""))</f>
        <v/>
      </c>
      <c r="T1710" s="39" t="str">
        <f>IF(ISERROR(FIND('112'!$M$9,G1710,1)),"",IF((AND(LEFT(G1710,2)=LEFT('112'!$M$9,2),B1710&lt;'112'!$N$8,$L1710='112'!$I$6)),"x",""))</f>
        <v/>
      </c>
      <c r="U1710" s="39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39" t="str">
        <f>IF(OR(TH!L1710=TH!$W$7,M1710=TH!$W$7),"x","")</f>
        <v/>
      </c>
      <c r="X1710" s="39" t="str">
        <f>IF(AND(B1710&gt;='IN-NX'!$P$3,B1710&lt;='IN-NX'!$Q$3,'IN-NX'!$D$7=D1710,OR(LEFT(L1710,2)="15",AND(LEFT(M1710,2)&lt;&gt;"15",LEFT(M1710,2)&lt;&gt;"33"))),"x","")</f>
        <v/>
      </c>
      <c r="Y1710" s="39" t="str">
        <f>IF(AND(OR(LEFT(TH!L1710,2)="15",LEFT(TH!M1710,2)="15"),'152-CT'!$J$8=TH!F1710),"x","")</f>
        <v/>
      </c>
      <c r="Z1710" s="39" t="str">
        <f>IF(AND(OR(LEFT(TH!L1710,2)="15",LEFT(TH!M1710,2)="15"),TK!$E$7=TH!F1710),"x","")</f>
        <v/>
      </c>
      <c r="AA1710" s="39" t="str">
        <f>IF(AND(B1710&lt;=NKC!$N$8,B1710&gt;=NKC!$M$8),"x","")</f>
        <v/>
      </c>
      <c r="AB1710" s="821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98"/>
        <v/>
      </c>
      <c r="C1711" s="191"/>
      <c r="D1711" s="37"/>
      <c r="E1711" s="191"/>
      <c r="F1711" s="192"/>
      <c r="G1711" s="468"/>
      <c r="H1711" s="193"/>
      <c r="I1711" s="256"/>
      <c r="J1711" s="256"/>
      <c r="K1711" s="568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902" t="str">
        <f>IF(AND('341-CT'!$E$9=H1711,OR(LEFT(L1711,3)=$O$7,LEFT(M1711,3)=$O$7)),"x","")</f>
        <v/>
      </c>
      <c r="P1711" s="39" t="str">
        <f>IF(AND($B1711&gt;='111'!$N$11,$B1711&lt;='111'!$O$11,OR($L1711=$P$7,$M1711=$P$7)),"x","")</f>
        <v/>
      </c>
      <c r="Q1711" s="39" t="str">
        <f>IF(AND($L1711=$P$7,$B1711&lt;'111'!$N$11),"x","")</f>
        <v/>
      </c>
      <c r="R1711" s="39" t="str">
        <f>IF(AND($M1711=$P$7,$B1711&lt;'111'!$N$11),"x","")</f>
        <v/>
      </c>
      <c r="S1711" s="39" t="str">
        <f>IF(ISERROR(FIND('112'!$M$9,G1711,1)),"",IF((AND(FIND('112'!$M$9,G1711,1)&gt;=1,$B1711&gt;='112'!$N$8,$B1711&lt;='112'!$O$8,OR($L1711='112'!$I$6,$M1711='112'!$I$6))),"x",""))</f>
        <v/>
      </c>
      <c r="T1711" s="39" t="str">
        <f>IF(ISERROR(FIND('112'!$M$9,G1711,1)),"",IF((AND(LEFT(G1711,2)=LEFT('112'!$M$9,2),B1711&lt;'112'!$N$8,$L1711='112'!$I$6)),"x",""))</f>
        <v/>
      </c>
      <c r="U1711" s="39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39" t="str">
        <f>IF(OR(TH!L1711=TH!$W$7,M1711=TH!$W$7),"x","")</f>
        <v/>
      </c>
      <c r="X1711" s="39" t="str">
        <f>IF(AND(B1711&gt;='IN-NX'!$P$3,B1711&lt;='IN-NX'!$Q$3,'IN-NX'!$D$7=D1711,OR(LEFT(L1711,2)="15",AND(LEFT(M1711,2)&lt;&gt;"15",LEFT(M1711,2)&lt;&gt;"33"))),"x","")</f>
        <v/>
      </c>
      <c r="Y1711" s="39" t="str">
        <f>IF(AND(OR(LEFT(TH!L1711,2)="15",LEFT(TH!M1711,2)="15"),'152-CT'!$J$8=TH!F1711),"x","")</f>
        <v/>
      </c>
      <c r="Z1711" s="39" t="str">
        <f>IF(AND(OR(LEFT(TH!L1711,2)="15",LEFT(TH!M1711,2)="15"),TK!$E$7=TH!F1711),"x","")</f>
        <v/>
      </c>
      <c r="AA1711" s="39" t="str">
        <f>IF(AND(B1711&lt;=NKC!$N$8,B1711&gt;=NKC!$M$8),"x","")</f>
        <v/>
      </c>
      <c r="AB1711" s="821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98"/>
        <v/>
      </c>
      <c r="C1712" s="184"/>
      <c r="D1712" s="184"/>
      <c r="E1712" s="184"/>
      <c r="F1712" s="189"/>
      <c r="G1712" s="570"/>
      <c r="H1712" s="193"/>
      <c r="I1712" s="256"/>
      <c r="J1712" s="256"/>
      <c r="K1712" s="568"/>
      <c r="L1712" s="569"/>
      <c r="M1712" s="569"/>
      <c r="N1712" s="39" t="str">
        <f>IF(AND('331-CT'!$E$7=TH!H1712,OR(L1712="331",M1712="331")),"331",IF(AND(OR(L1712="131",M1712="131"),H1712='131-CT'!$E$7),"131",""))</f>
        <v/>
      </c>
      <c r="O1712" s="902" t="str">
        <f>IF(AND('341-CT'!$E$9=H1712,OR(LEFT(L1712,3)=$O$7,LEFT(M1712,3)=$O$7)),"x","")</f>
        <v/>
      </c>
      <c r="P1712" s="39" t="str">
        <f>IF(AND($B1712&gt;='111'!$N$11,$B1712&lt;='111'!$O$11,OR($L1712=$P$7,$M1712=$P$7)),"x","")</f>
        <v/>
      </c>
      <c r="Q1712" s="39" t="str">
        <f>IF(AND($L1712=$P$7,$B1712&lt;'111'!$N$11),"x","")</f>
        <v/>
      </c>
      <c r="R1712" s="39" t="str">
        <f>IF(AND($M1712=$P$7,$B1712&lt;'111'!$N$11),"x","")</f>
        <v/>
      </c>
      <c r="S1712" s="39" t="str">
        <f>IF(ISERROR(FIND('112'!$M$9,G1712,1)),"",IF((AND(FIND('112'!$M$9,G1712,1)&gt;=1,$B1712&gt;='112'!$N$8,$B1712&lt;='112'!$O$8,OR($L1712='112'!$I$6,$M1712='112'!$I$6))),"x",""))</f>
        <v/>
      </c>
      <c r="T1712" s="39" t="str">
        <f>IF(ISERROR(FIND('112'!$M$9,G1712,1)),"",IF((AND(LEFT(G1712,2)=LEFT('112'!$M$9,2),B1712&lt;'112'!$N$8,$L1712='112'!$I$6)),"x",""))</f>
        <v/>
      </c>
      <c r="U1712" s="39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39" t="str">
        <f>IF(OR(TH!L1712=TH!$W$7,M1712=TH!$W$7),"x","")</f>
        <v/>
      </c>
      <c r="X1712" s="39" t="str">
        <f>IF(AND(B1712&gt;='IN-NX'!$P$3,B1712&lt;='IN-NX'!$Q$3,'IN-NX'!$D$7=D1712,OR(LEFT(L1712,2)="15",AND(LEFT(M1712,2)&lt;&gt;"15",LEFT(M1712,2)&lt;&gt;"33"))),"x","")</f>
        <v/>
      </c>
      <c r="Y1712" s="39" t="str">
        <f>IF(AND(OR(LEFT(TH!L1712,2)="15",LEFT(TH!M1712,2)="15"),'152-CT'!$J$8=TH!F1712),"x","")</f>
        <v/>
      </c>
      <c r="Z1712" s="39" t="str">
        <f>IF(AND(OR(LEFT(TH!L1712,2)="15",LEFT(TH!M1712,2)="15"),TK!$E$7=TH!F1712),"x","")</f>
        <v/>
      </c>
      <c r="AA1712" s="39" t="str">
        <f>IF(AND(B1712&lt;=NKC!$N$8,B1712&gt;=NKC!$M$8),"x","")</f>
        <v/>
      </c>
      <c r="AB1712" s="821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98"/>
        <v/>
      </c>
      <c r="C1713" s="191"/>
      <c r="D1713" s="184"/>
      <c r="E1713" s="191"/>
      <c r="F1713" s="787"/>
      <c r="G1713" s="628"/>
      <c r="H1713" s="7"/>
      <c r="I1713" s="256"/>
      <c r="J1713" s="256"/>
      <c r="K1713" s="568"/>
      <c r="L1713" s="569"/>
      <c r="M1713" s="569"/>
      <c r="N1713" s="39" t="str">
        <f>IF(AND('331-CT'!$E$7=TH!H1713,OR(L1713="331",M1713="331")),"331",IF(AND(OR(L1713="131",M1713="131"),H1713='131-CT'!$E$7),"131",""))</f>
        <v/>
      </c>
      <c r="O1713" s="902" t="str">
        <f>IF(AND('341-CT'!$E$9=H1713,OR(LEFT(L1713,3)=$O$7,LEFT(M1713,3)=$O$7)),"x","")</f>
        <v/>
      </c>
      <c r="P1713" s="39" t="str">
        <f>IF(AND($B1713&gt;='111'!$N$11,$B1713&lt;='111'!$O$11,OR($L1713=$P$7,$M1713=$P$7)),"x","")</f>
        <v/>
      </c>
      <c r="Q1713" s="39" t="str">
        <f>IF(AND($L1713=$P$7,$B1713&lt;'111'!$N$11),"x","")</f>
        <v/>
      </c>
      <c r="R1713" s="39" t="str">
        <f>IF(AND($M1713=$P$7,$B1713&lt;'111'!$N$11),"x","")</f>
        <v/>
      </c>
      <c r="S1713" s="39" t="str">
        <f>IF(ISERROR(FIND('112'!$M$9,G1713,1)),"",IF((AND(FIND('112'!$M$9,G1713,1)&gt;=1,$B1713&gt;='112'!$N$8,$B1713&lt;='112'!$O$8,OR($L1713='112'!$I$6,$M1713='112'!$I$6))),"x",""))</f>
        <v/>
      </c>
      <c r="T1713" s="39" t="str">
        <f>IF(ISERROR(FIND('112'!$M$9,G1713,1)),"",IF((AND(LEFT(G1713,2)=LEFT('112'!$M$9,2),B1713&lt;'112'!$N$8,$L1713='112'!$I$6)),"x",""))</f>
        <v/>
      </c>
      <c r="U1713" s="39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39" t="str">
        <f>IF(OR(TH!L1713=TH!$W$7,M1713=TH!$W$7),"x","")</f>
        <v/>
      </c>
      <c r="X1713" s="39" t="str">
        <f>IF(AND(B1713&gt;='IN-NX'!$P$3,B1713&lt;='IN-NX'!$Q$3,'IN-NX'!$D$7=D1713,OR(LEFT(L1713,2)="15",AND(LEFT(M1713,2)&lt;&gt;"15",LEFT(M1713,2)&lt;&gt;"33"))),"x","")</f>
        <v/>
      </c>
      <c r="Y1713" s="39" t="str">
        <f>IF(AND(OR(LEFT(TH!L1713,2)="15",LEFT(TH!M1713,2)="15"),'152-CT'!$J$8=TH!F1713),"x","")</f>
        <v/>
      </c>
      <c r="Z1713" s="39" t="str">
        <f>IF(AND(OR(LEFT(TH!L1713,2)="15",LEFT(TH!M1713,2)="15"),TK!$E$7=TH!F1713),"x","")</f>
        <v/>
      </c>
      <c r="AA1713" s="39" t="str">
        <f>IF(AND(B1713&lt;=NKC!$N$8,B1713&gt;=NKC!$M$8),"x","")</f>
        <v/>
      </c>
      <c r="AB1713" s="821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98"/>
        <v/>
      </c>
      <c r="C1714" s="191"/>
      <c r="D1714" s="184"/>
      <c r="E1714" s="191"/>
      <c r="F1714" s="787"/>
      <c r="G1714" s="628"/>
      <c r="H1714" s="7"/>
      <c r="I1714" s="256"/>
      <c r="J1714" s="256"/>
      <c r="K1714" s="568"/>
      <c r="L1714" s="569"/>
      <c r="M1714" s="569"/>
      <c r="N1714" s="39" t="str">
        <f>IF(AND('331-CT'!$E$7=TH!H1714,OR(L1714="331",M1714="331")),"331",IF(AND(OR(L1714="131",M1714="131"),H1714='131-CT'!$E$7),"131",""))</f>
        <v/>
      </c>
      <c r="O1714" s="902" t="str">
        <f>IF(AND('341-CT'!$E$9=H1714,OR(LEFT(L1714,3)=$O$7,LEFT(M1714,3)=$O$7)),"x","")</f>
        <v/>
      </c>
      <c r="P1714" s="39" t="str">
        <f>IF(AND($B1714&gt;='111'!$N$11,$B1714&lt;='111'!$O$11,OR($L1714=$P$7,$M1714=$P$7)),"x","")</f>
        <v/>
      </c>
      <c r="Q1714" s="39" t="str">
        <f>IF(AND($L1714=$P$7,$B1714&lt;'111'!$N$11),"x","")</f>
        <v/>
      </c>
      <c r="R1714" s="39" t="str">
        <f>IF(AND($M1714=$P$7,$B1714&lt;'111'!$N$11),"x","")</f>
        <v/>
      </c>
      <c r="S1714" s="39" t="str">
        <f>IF(ISERROR(FIND('112'!$M$9,G1714,1)),"",IF((AND(FIND('112'!$M$9,G1714,1)&gt;=1,$B1714&gt;='112'!$N$8,$B1714&lt;='112'!$O$8,OR($L1714='112'!$I$6,$M1714='112'!$I$6))),"x",""))</f>
        <v/>
      </c>
      <c r="T1714" s="39" t="str">
        <f>IF(ISERROR(FIND('112'!$M$9,G1714,1)),"",IF((AND(LEFT(G1714,2)=LEFT('112'!$M$9,2),B1714&lt;'112'!$N$8,$L1714='112'!$I$6)),"x",""))</f>
        <v/>
      </c>
      <c r="U1714" s="39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39" t="str">
        <f>IF(OR(TH!L1714=TH!$W$7,M1714=TH!$W$7),"x","")</f>
        <v/>
      </c>
      <c r="X1714" s="39" t="str">
        <f>IF(AND(B1714&gt;='IN-NX'!$P$3,B1714&lt;='IN-NX'!$Q$3,'IN-NX'!$D$7=D1714,OR(LEFT(L1714,2)="15",AND(LEFT(M1714,2)&lt;&gt;"15",LEFT(M1714,2)&lt;&gt;"33"))),"x","")</f>
        <v/>
      </c>
      <c r="Y1714" s="39" t="str">
        <f>IF(AND(OR(LEFT(TH!L1714,2)="15",LEFT(TH!M1714,2)="15"),'152-CT'!$J$8=TH!F1714),"x","")</f>
        <v/>
      </c>
      <c r="Z1714" s="39" t="str">
        <f>IF(AND(OR(LEFT(TH!L1714,2)="15",LEFT(TH!M1714,2)="15"),TK!$E$7=TH!F1714),"x","")</f>
        <v/>
      </c>
      <c r="AA1714" s="39" t="str">
        <f>IF(AND(B1714&lt;=NKC!$N$8,B1714&gt;=NKC!$M$8),"x","")</f>
        <v/>
      </c>
      <c r="AB1714" s="821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98"/>
        <v/>
      </c>
      <c r="C1715" s="191"/>
      <c r="D1715" s="191"/>
      <c r="E1715" s="191"/>
      <c r="F1715" s="192"/>
      <c r="G1715" s="628"/>
      <c r="H1715" s="7"/>
      <c r="I1715" s="256"/>
      <c r="J1715" s="256"/>
      <c r="K1715" s="38"/>
      <c r="L1715" s="194"/>
      <c r="M1715" s="194"/>
      <c r="N1715" s="39" t="str">
        <f>IF(AND('331-CT'!$E$7=TH!H1715,OR(L1715="331",M1715="331")),"331",IF(AND(OR(L1715="131",M1715="131"),H1715='131-CT'!$E$7),"131",""))</f>
        <v/>
      </c>
      <c r="O1715" s="902" t="str">
        <f>IF(AND('341-CT'!$E$9=H1715,OR(LEFT(L1715,3)=$O$7,LEFT(M1715,3)=$O$7)),"x","")</f>
        <v/>
      </c>
      <c r="P1715" s="39" t="str">
        <f>IF(AND($B1715&gt;='111'!$N$11,$B1715&lt;='111'!$O$11,OR($L1715=$P$7,$M1715=$P$7)),"x","")</f>
        <v/>
      </c>
      <c r="Q1715" s="39" t="str">
        <f>IF(AND($L1715=$P$7,$B1715&lt;'111'!$N$11),"x","")</f>
        <v/>
      </c>
      <c r="R1715" s="39" t="str">
        <f>IF(AND($M1715=$P$7,$B1715&lt;'111'!$N$11),"x","")</f>
        <v/>
      </c>
      <c r="S1715" s="39" t="str">
        <f>IF(ISERROR(FIND('112'!$M$9,G1715,1)),"",IF((AND(FIND('112'!$M$9,G1715,1)&gt;=1,$B1715&gt;='112'!$N$8,$B1715&lt;='112'!$O$8,OR($L1715='112'!$I$6,$M1715='112'!$I$6))),"x",""))</f>
        <v/>
      </c>
      <c r="T1715" s="39" t="str">
        <f>IF(ISERROR(FIND('112'!$M$9,G1715,1)),"",IF((AND(LEFT(G1715,2)=LEFT('112'!$M$9,2),B1715&lt;'112'!$N$8,$L1715='112'!$I$6)),"x",""))</f>
        <v/>
      </c>
      <c r="U1715" s="39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39" t="str">
        <f>IF(OR(TH!L1715=TH!$W$7,M1715=TH!$W$7),"x","")</f>
        <v/>
      </c>
      <c r="X1715" s="39" t="str">
        <f>IF(AND(B1715&gt;='IN-NX'!$P$3,B1715&lt;='IN-NX'!$Q$3,'IN-NX'!$D$7=D1715,OR(LEFT(L1715,2)="15",AND(LEFT(M1715,2)&lt;&gt;"15",LEFT(M1715,2)&lt;&gt;"33"))),"x","")</f>
        <v/>
      </c>
      <c r="Y1715" s="39" t="str">
        <f>IF(AND(OR(LEFT(TH!L1715,2)="15",LEFT(TH!M1715,2)="15"),'152-CT'!$J$8=TH!F1715),"x","")</f>
        <v/>
      </c>
      <c r="Z1715" s="39" t="str">
        <f>IF(AND(OR(LEFT(TH!L1715,2)="15",LEFT(TH!M1715,2)="15"),TK!$E$7=TH!F1715),"x","")</f>
        <v/>
      </c>
      <c r="AA1715" s="39" t="str">
        <f>IF(AND(B1715&lt;=NKC!$N$8,B1715&gt;=NKC!$M$8),"x","")</f>
        <v/>
      </c>
      <c r="AB1715" s="821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si="98"/>
        <v/>
      </c>
      <c r="C1716" s="191"/>
      <c r="D1716" s="191"/>
      <c r="E1716" s="751"/>
      <c r="F1716" s="192"/>
      <c r="G1716" s="468"/>
      <c r="H1716" s="193"/>
      <c r="I1716" s="259"/>
      <c r="J1716" s="259"/>
      <c r="K1716" s="784"/>
      <c r="L1716" s="194"/>
      <c r="M1716" s="569"/>
      <c r="N1716" s="39" t="str">
        <f>IF(AND('331-CT'!$E$7=TH!H1716,OR(L1716="331",M1716="331")),"331",IF(AND(OR(L1716="131",M1716="131"),H1716='131-CT'!$E$7),"131",""))</f>
        <v/>
      </c>
      <c r="O1716" s="902" t="str">
        <f>IF(AND('341-CT'!$E$9=H1716,OR(LEFT(L1716,3)=$O$7,LEFT(M1716,3)=$O$7)),"x","")</f>
        <v/>
      </c>
      <c r="P1716" s="39" t="str">
        <f>IF(AND($B1716&gt;='111'!$N$11,$B1716&lt;='111'!$O$11,OR($L1716=$P$7,$M1716=$P$7)),"x","")</f>
        <v/>
      </c>
      <c r="Q1716" s="39" t="str">
        <f>IF(AND($L1716=$P$7,$B1716&lt;'111'!$N$11),"x","")</f>
        <v/>
      </c>
      <c r="R1716" s="39" t="str">
        <f>IF(AND($M1716=$P$7,$B1716&lt;'111'!$N$11),"x","")</f>
        <v/>
      </c>
      <c r="S1716" s="39" t="str">
        <f>IF(ISERROR(FIND('112'!$M$9,G1716,1)),"",IF((AND(FIND('112'!$M$9,G1716,1)&gt;=1,$B1716&gt;='112'!$N$8,$B1716&lt;='112'!$O$8,OR($L1716='112'!$I$6,$M1716='112'!$I$6))),"x",""))</f>
        <v/>
      </c>
      <c r="T1716" s="39" t="str">
        <f>IF(ISERROR(FIND('112'!$M$9,G1716,1)),"",IF((AND(LEFT(G1716,2)=LEFT('112'!$M$9,2),B1716&lt;'112'!$N$8,$L1716='112'!$I$6)),"x",""))</f>
        <v/>
      </c>
      <c r="U1716" s="39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39" t="str">
        <f>IF(OR(TH!L1716=TH!$W$7,M1716=TH!$W$7),"x","")</f>
        <v/>
      </c>
      <c r="X1716" s="39" t="str">
        <f>IF(AND(B1716&gt;='IN-NX'!$P$3,B1716&lt;='IN-NX'!$Q$3,'IN-NX'!$D$7=D1716,OR(LEFT(L1716,2)="15",AND(LEFT(M1716,2)&lt;&gt;"15",LEFT(M1716,2)&lt;&gt;"33"))),"x","")</f>
        <v/>
      </c>
      <c r="Y1716" s="39" t="str">
        <f>IF(AND(OR(LEFT(TH!L1716,2)="15",LEFT(TH!M1716,2)="15"),'152-CT'!$J$8=TH!F1716),"x","")</f>
        <v/>
      </c>
      <c r="Z1716" s="39" t="str">
        <f>IF(AND(OR(LEFT(TH!L1716,2)="15",LEFT(TH!M1716,2)="15"),TK!$E$7=TH!F1716),"x","")</f>
        <v/>
      </c>
      <c r="AA1716" s="39" t="str">
        <f>IF(AND(B1716&lt;=NKC!$N$8,B1716&gt;=NKC!$M$8),"x","")</f>
        <v/>
      </c>
      <c r="AB1716" s="821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98"/>
        <v/>
      </c>
      <c r="C1717" s="191"/>
      <c r="D1717" s="37"/>
      <c r="E1717" s="731"/>
      <c r="F1717" s="442"/>
      <c r="G1717" s="40"/>
      <c r="H1717" s="7"/>
      <c r="I1717" s="256"/>
      <c r="J1717" s="256"/>
      <c r="K1717" s="56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902" t="str">
        <f>IF(AND('341-CT'!$E$9=H1717,OR(LEFT(L1717,3)=$O$7,LEFT(M1717,3)=$O$7)),"x","")</f>
        <v/>
      </c>
      <c r="P1717" s="39" t="str">
        <f>IF(AND($B1717&gt;='111'!$N$11,$B1717&lt;='111'!$O$11,OR($L1717=$P$7,$M1717=$P$7)),"x","")</f>
        <v/>
      </c>
      <c r="Q1717" s="39" t="str">
        <f>IF(AND($L1717=$P$7,$B1717&lt;'111'!$N$11),"x","")</f>
        <v/>
      </c>
      <c r="R1717" s="39" t="str">
        <f>IF(AND($M1717=$P$7,$B1717&lt;'111'!$N$11),"x","")</f>
        <v/>
      </c>
      <c r="S1717" s="39" t="str">
        <f>IF(ISERROR(FIND('112'!$M$9,G1717,1)),"",IF((AND(FIND('112'!$M$9,G1717,1)&gt;=1,$B1717&gt;='112'!$N$8,$B1717&lt;='112'!$O$8,OR($L1717='112'!$I$6,$M1717='112'!$I$6))),"x",""))</f>
        <v/>
      </c>
      <c r="T1717" s="39" t="str">
        <f>IF(ISERROR(FIND('112'!$M$9,G1717,1)),"",IF((AND(LEFT(G1717,2)=LEFT('112'!$M$9,2),B1717&lt;'112'!$N$8,$L1717='112'!$I$6)),"x",""))</f>
        <v/>
      </c>
      <c r="U1717" s="39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39" t="str">
        <f>IF(OR(TH!L1717=TH!$W$7,M1717=TH!$W$7),"x","")</f>
        <v/>
      </c>
      <c r="X1717" s="39" t="str">
        <f>IF(AND(B1717&gt;='IN-NX'!$P$3,B1717&lt;='IN-NX'!$Q$3,'IN-NX'!$D$7=D1717,OR(LEFT(L1717,2)="15",AND(LEFT(M1717,2)&lt;&gt;"15",LEFT(M1717,2)&lt;&gt;"33"))),"x","")</f>
        <v/>
      </c>
      <c r="Y1717" s="39" t="str">
        <f>IF(AND(OR(LEFT(TH!L1717,2)="15",LEFT(TH!M1717,2)="15"),'152-CT'!$J$8=TH!F1717),"x","")</f>
        <v/>
      </c>
      <c r="Z1717" s="39" t="str">
        <f>IF(AND(OR(LEFT(TH!L1717,2)="15",LEFT(TH!M1717,2)="15"),TK!$E$7=TH!F1717),"x","")</f>
        <v/>
      </c>
      <c r="AA1717" s="39" t="str">
        <f>IF(AND(B1717&lt;=NKC!$N$8,B1717&gt;=NKC!$M$8),"x","")</f>
        <v/>
      </c>
      <c r="AB1717" s="821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98"/>
        <v/>
      </c>
      <c r="C1718" s="191"/>
      <c r="D1718" s="191"/>
      <c r="E1718" s="191"/>
      <c r="F1718" s="787"/>
      <c r="G1718" s="468"/>
      <c r="H1718" s="7"/>
      <c r="I1718" s="256"/>
      <c r="J1718" s="256"/>
      <c r="K1718" s="56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902" t="str">
        <f>IF(AND('341-CT'!$E$9=H1718,OR(LEFT(L1718,3)=$O$7,LEFT(M1718,3)=$O$7)),"x","")</f>
        <v/>
      </c>
      <c r="P1718" s="39" t="str">
        <f>IF(AND($B1718&gt;='111'!$N$11,$B1718&lt;='111'!$O$11,OR($L1718=$P$7,$M1718=$P$7)),"x","")</f>
        <v/>
      </c>
      <c r="Q1718" s="39" t="str">
        <f>IF(AND($L1718=$P$7,$B1718&lt;'111'!$N$11),"x","")</f>
        <v/>
      </c>
      <c r="R1718" s="39" t="str">
        <f>IF(AND($M1718=$P$7,$B1718&lt;'111'!$N$11),"x","")</f>
        <v/>
      </c>
      <c r="S1718" s="39" t="str">
        <f>IF(ISERROR(FIND('112'!$M$9,G1718,1)),"",IF((AND(FIND('112'!$M$9,G1718,1)&gt;=1,$B1718&gt;='112'!$N$8,$B1718&lt;='112'!$O$8,OR($L1718='112'!$I$6,$M1718='112'!$I$6))),"x",""))</f>
        <v/>
      </c>
      <c r="T1718" s="39" t="str">
        <f>IF(ISERROR(FIND('112'!$M$9,G1718,1)),"",IF((AND(LEFT(G1718,2)=LEFT('112'!$M$9,2),B1718&lt;'112'!$N$8,$L1718='112'!$I$6)),"x",""))</f>
        <v/>
      </c>
      <c r="U1718" s="39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39" t="str">
        <f>IF(OR(TH!L1718=TH!$W$7,M1718=TH!$W$7),"x","")</f>
        <v/>
      </c>
      <c r="X1718" s="39" t="str">
        <f>IF(AND(B1718&gt;='IN-NX'!$P$3,B1718&lt;='IN-NX'!$Q$3,'IN-NX'!$D$7=D1718,OR(LEFT(L1718,2)="15",AND(LEFT(M1718,2)&lt;&gt;"15",LEFT(M1718,2)&lt;&gt;"33"))),"x","")</f>
        <v/>
      </c>
      <c r="Y1718" s="39" t="str">
        <f>IF(AND(OR(LEFT(TH!L1718,2)="15",LEFT(TH!M1718,2)="15"),'152-CT'!$J$8=TH!F1718),"x","")</f>
        <v/>
      </c>
      <c r="Z1718" s="39" t="str">
        <f>IF(AND(OR(LEFT(TH!L1718,2)="15",LEFT(TH!M1718,2)="15"),TK!$E$7=TH!F1718),"x","")</f>
        <v/>
      </c>
      <c r="AA1718" s="39" t="str">
        <f>IF(AND(B1718&lt;=NKC!$N$8,B1718&gt;=NKC!$M$8),"x","")</f>
        <v/>
      </c>
      <c r="AB1718" s="821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98"/>
        <v/>
      </c>
      <c r="C1719" s="191"/>
      <c r="D1719" s="191"/>
      <c r="E1719" s="191"/>
      <c r="F1719" s="189"/>
      <c r="G1719" s="468"/>
      <c r="H1719" s="7"/>
      <c r="I1719" s="256"/>
      <c r="J1719" s="256"/>
      <c r="K1719" s="56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902" t="str">
        <f>IF(AND('341-CT'!$E$9=H1719,OR(LEFT(L1719,3)=$O$7,LEFT(M1719,3)=$O$7)),"x","")</f>
        <v/>
      </c>
      <c r="P1719" s="39" t="str">
        <f>IF(AND($B1719&gt;='111'!$N$11,$B1719&lt;='111'!$O$11,OR($L1719=$P$7,$M1719=$P$7)),"x","")</f>
        <v/>
      </c>
      <c r="Q1719" s="39" t="str">
        <f>IF(AND($L1719=$P$7,$B1719&lt;'111'!$N$11),"x","")</f>
        <v/>
      </c>
      <c r="R1719" s="39" t="str">
        <f>IF(AND($M1719=$P$7,$B1719&lt;'111'!$N$11),"x","")</f>
        <v/>
      </c>
      <c r="S1719" s="39" t="str">
        <f>IF(ISERROR(FIND('112'!$M$9,G1719,1)),"",IF((AND(FIND('112'!$M$9,G1719,1)&gt;=1,$B1719&gt;='112'!$N$8,$B1719&lt;='112'!$O$8,OR($L1719='112'!$I$6,$M1719='112'!$I$6))),"x",""))</f>
        <v/>
      </c>
      <c r="T1719" s="39" t="str">
        <f>IF(ISERROR(FIND('112'!$M$9,G1719,1)),"",IF((AND(LEFT(G1719,2)=LEFT('112'!$M$9,2),B1719&lt;'112'!$N$8,$L1719='112'!$I$6)),"x",""))</f>
        <v/>
      </c>
      <c r="U1719" s="39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39" t="str">
        <f>IF(OR(TH!L1719=TH!$W$7,M1719=TH!$W$7),"x","")</f>
        <v/>
      </c>
      <c r="X1719" s="39" t="str">
        <f>IF(AND(B1719&gt;='IN-NX'!$P$3,B1719&lt;='IN-NX'!$Q$3,'IN-NX'!$D$7=D1719,OR(LEFT(L1719,2)="15",AND(LEFT(M1719,2)&lt;&gt;"15",LEFT(M1719,2)&lt;&gt;"33"))),"x","")</f>
        <v/>
      </c>
      <c r="Y1719" s="39" t="str">
        <f>IF(AND(OR(LEFT(TH!L1719,2)="15",LEFT(TH!M1719,2)="15"),'152-CT'!$J$8=TH!F1719),"x","")</f>
        <v/>
      </c>
      <c r="Z1719" s="39" t="str">
        <f>IF(AND(OR(LEFT(TH!L1719,2)="15",LEFT(TH!M1719,2)="15"),TK!$E$7=TH!F1719),"x","")</f>
        <v/>
      </c>
      <c r="AA1719" s="39" t="str">
        <f>IF(AND(B1719&lt;=NKC!$N$8,B1719&gt;=NKC!$M$8),"x","")</f>
        <v/>
      </c>
      <c r="AB1719" s="821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98"/>
        <v/>
      </c>
      <c r="C1720" s="191"/>
      <c r="D1720" s="191"/>
      <c r="E1720" s="191"/>
      <c r="F1720" s="296"/>
      <c r="G1720" s="468"/>
      <c r="H1720" s="7"/>
      <c r="I1720" s="256"/>
      <c r="J1720" s="256"/>
      <c r="K1720" s="56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902" t="str">
        <f>IF(AND('341-CT'!$E$9=H1720,OR(LEFT(L1720,3)=$O$7,LEFT(M1720,3)=$O$7)),"x","")</f>
        <v/>
      </c>
      <c r="P1720" s="39" t="str">
        <f>IF(AND($B1720&gt;='111'!$N$11,$B1720&lt;='111'!$O$11,OR($L1720=$P$7,$M1720=$P$7)),"x","")</f>
        <v/>
      </c>
      <c r="Q1720" s="39" t="str">
        <f>IF(AND($L1720=$P$7,$B1720&lt;'111'!$N$11),"x","")</f>
        <v/>
      </c>
      <c r="R1720" s="39" t="str">
        <f>IF(AND($M1720=$P$7,$B1720&lt;'111'!$N$11),"x","")</f>
        <v/>
      </c>
      <c r="S1720" s="39" t="str">
        <f>IF(ISERROR(FIND('112'!$M$9,G1720,1)),"",IF((AND(FIND('112'!$M$9,G1720,1)&gt;=1,$B1720&gt;='112'!$N$8,$B1720&lt;='112'!$O$8,OR($L1720='112'!$I$6,$M1720='112'!$I$6))),"x",""))</f>
        <v/>
      </c>
      <c r="T1720" s="39" t="str">
        <f>IF(ISERROR(FIND('112'!$M$9,G1720,1)),"",IF((AND(LEFT(G1720,2)=LEFT('112'!$M$9,2),B1720&lt;'112'!$N$8,$L1720='112'!$I$6)),"x",""))</f>
        <v/>
      </c>
      <c r="U1720" s="39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39" t="str">
        <f>IF(OR(TH!L1720=TH!$W$7,M1720=TH!$W$7),"x","")</f>
        <v/>
      </c>
      <c r="X1720" s="39" t="str">
        <f>IF(AND(B1720&gt;='IN-NX'!$P$3,B1720&lt;='IN-NX'!$Q$3,'IN-NX'!$D$7=D1720,OR(LEFT(L1720,2)="15",AND(LEFT(M1720,2)&lt;&gt;"15",LEFT(M1720,2)&lt;&gt;"33"))),"x","")</f>
        <v/>
      </c>
      <c r="Y1720" s="39" t="str">
        <f>IF(AND(OR(LEFT(TH!L1720,2)="15",LEFT(TH!M1720,2)="15"),'152-CT'!$J$8=TH!F1720),"x","")</f>
        <v/>
      </c>
      <c r="Z1720" s="39" t="str">
        <f>IF(AND(OR(LEFT(TH!L1720,2)="15",LEFT(TH!M1720,2)="15"),TK!$E$7=TH!F1720),"x","")</f>
        <v/>
      </c>
      <c r="AA1720" s="39" t="str">
        <f>IF(AND(B1720&lt;=NKC!$N$8,B1720&gt;=NKC!$M$8),"x","")</f>
        <v/>
      </c>
      <c r="AB1720" s="821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ref="B1721:B1784" si="99">IF(C1721&lt;&gt;"",MONTH(C1721),"")</f>
        <v/>
      </c>
      <c r="C1721" s="191"/>
      <c r="D1721" s="191"/>
      <c r="E1721" s="191"/>
      <c r="F1721" s="189"/>
      <c r="G1721" s="468"/>
      <c r="H1721" s="7"/>
      <c r="I1721" s="256"/>
      <c r="J1721" s="256"/>
      <c r="K1721" s="56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902" t="str">
        <f>IF(AND('341-CT'!$E$9=H1721,OR(LEFT(L1721,3)=$O$7,LEFT(M1721,3)=$O$7)),"x","")</f>
        <v/>
      </c>
      <c r="P1721" s="39" t="str">
        <f>IF(AND($B1721&gt;='111'!$N$11,$B1721&lt;='111'!$O$11,OR($L1721=$P$7,$M1721=$P$7)),"x","")</f>
        <v/>
      </c>
      <c r="Q1721" s="39" t="str">
        <f>IF(AND($L1721=$P$7,$B1721&lt;'111'!$N$11),"x","")</f>
        <v/>
      </c>
      <c r="R1721" s="39" t="str">
        <f>IF(AND($M1721=$P$7,$B1721&lt;'111'!$N$11),"x","")</f>
        <v/>
      </c>
      <c r="S1721" s="39" t="str">
        <f>IF(ISERROR(FIND('112'!$M$9,G1721,1)),"",IF((AND(FIND('112'!$M$9,G1721,1)&gt;=1,$B1721&gt;='112'!$N$8,$B1721&lt;='112'!$O$8,OR($L1721='112'!$I$6,$M1721='112'!$I$6))),"x",""))</f>
        <v/>
      </c>
      <c r="T1721" s="39" t="str">
        <f>IF(ISERROR(FIND('112'!$M$9,G1721,1)),"",IF((AND(LEFT(G1721,2)=LEFT('112'!$M$9,2),B1721&lt;'112'!$N$8,$L1721='112'!$I$6)),"x",""))</f>
        <v/>
      </c>
      <c r="U1721" s="39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39" t="str">
        <f>IF(OR(TH!L1721=TH!$W$7,M1721=TH!$W$7),"x","")</f>
        <v/>
      </c>
      <c r="X1721" s="39" t="str">
        <f>IF(AND(B1721&gt;='IN-NX'!$P$3,B1721&lt;='IN-NX'!$Q$3,'IN-NX'!$D$7=D1721,OR(LEFT(L1721,2)="15",AND(LEFT(M1721,2)&lt;&gt;"15",LEFT(M1721,2)&lt;&gt;"33"))),"x","")</f>
        <v/>
      </c>
      <c r="Y1721" s="39" t="str">
        <f>IF(AND(OR(LEFT(TH!L1721,2)="15",LEFT(TH!M1721,2)="15"),'152-CT'!$J$8=TH!F1721),"x","")</f>
        <v/>
      </c>
      <c r="Z1721" s="39" t="str">
        <f>IF(AND(OR(LEFT(TH!L1721,2)="15",LEFT(TH!M1721,2)="15"),TK!$E$7=TH!F1721),"x","")</f>
        <v/>
      </c>
      <c r="AA1721" s="39" t="str">
        <f>IF(AND(B1721&lt;=NKC!$N$8,B1721&gt;=NKC!$M$8),"x","")</f>
        <v/>
      </c>
      <c r="AB1721" s="821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99"/>
        <v/>
      </c>
      <c r="C1722" s="191"/>
      <c r="D1722" s="191"/>
      <c r="E1722" s="191"/>
      <c r="F1722" s="40"/>
      <c r="G1722" s="468"/>
      <c r="H1722" s="7"/>
      <c r="I1722" s="256"/>
      <c r="J1722" s="256"/>
      <c r="K1722" s="56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902" t="str">
        <f>IF(AND('341-CT'!$E$9=H1722,OR(LEFT(L1722,3)=$O$7,LEFT(M1722,3)=$O$7)),"x","")</f>
        <v/>
      </c>
      <c r="P1722" s="39" t="str">
        <f>IF(AND($B1722&gt;='111'!$N$11,$B1722&lt;='111'!$O$11,OR($L1722=$P$7,$M1722=$P$7)),"x","")</f>
        <v/>
      </c>
      <c r="Q1722" s="39" t="str">
        <f>IF(AND($L1722=$P$7,$B1722&lt;'111'!$N$11),"x","")</f>
        <v/>
      </c>
      <c r="R1722" s="39" t="str">
        <f>IF(AND($M1722=$P$7,$B1722&lt;'111'!$N$11),"x","")</f>
        <v/>
      </c>
      <c r="S1722" s="39" t="str">
        <f>IF(ISERROR(FIND('112'!$M$9,G1722,1)),"",IF((AND(FIND('112'!$M$9,G1722,1)&gt;=1,$B1722&gt;='112'!$N$8,$B1722&lt;='112'!$O$8,OR($L1722='112'!$I$6,$M1722='112'!$I$6))),"x",""))</f>
        <v/>
      </c>
      <c r="T1722" s="39" t="str">
        <f>IF(ISERROR(FIND('112'!$M$9,G1722,1)),"",IF((AND(LEFT(G1722,2)=LEFT('112'!$M$9,2),B1722&lt;'112'!$N$8,$L1722='112'!$I$6)),"x",""))</f>
        <v/>
      </c>
      <c r="U1722" s="39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39" t="str">
        <f>IF(OR(TH!L1722=TH!$W$7,M1722=TH!$W$7),"x","")</f>
        <v/>
      </c>
      <c r="X1722" s="39" t="str">
        <f>IF(AND(B1722&gt;='IN-NX'!$P$3,B1722&lt;='IN-NX'!$Q$3,'IN-NX'!$D$7=D1722,OR(LEFT(L1722,2)="15",AND(LEFT(M1722,2)&lt;&gt;"15",LEFT(M1722,2)&lt;&gt;"33"))),"x","")</f>
        <v/>
      </c>
      <c r="Y1722" s="39" t="str">
        <f>IF(AND(OR(LEFT(TH!L1722,2)="15",LEFT(TH!M1722,2)="15"),'152-CT'!$J$8=TH!F1722),"x","")</f>
        <v/>
      </c>
      <c r="Z1722" s="39" t="str">
        <f>IF(AND(OR(LEFT(TH!L1722,2)="15",LEFT(TH!M1722,2)="15"),TK!$E$7=TH!F1722),"x","")</f>
        <v/>
      </c>
      <c r="AA1722" s="39" t="str">
        <f>IF(AND(B1722&lt;=NKC!$N$8,B1722&gt;=NKC!$M$8),"x","")</f>
        <v/>
      </c>
      <c r="AB1722" s="821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99"/>
        <v/>
      </c>
      <c r="C1723" s="191"/>
      <c r="D1723" s="191"/>
      <c r="E1723" s="191"/>
      <c r="F1723" s="40"/>
      <c r="G1723" s="468"/>
      <c r="H1723" s="7"/>
      <c r="I1723" s="256"/>
      <c r="J1723" s="256"/>
      <c r="K1723" s="56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902" t="str">
        <f>IF(AND('341-CT'!$E$9=H1723,OR(LEFT(L1723,3)=$O$7,LEFT(M1723,3)=$O$7)),"x","")</f>
        <v/>
      </c>
      <c r="P1723" s="39" t="str">
        <f>IF(AND($B1723&gt;='111'!$N$11,$B1723&lt;='111'!$O$11,OR($L1723=$P$7,$M1723=$P$7)),"x","")</f>
        <v/>
      </c>
      <c r="Q1723" s="39" t="str">
        <f>IF(AND($L1723=$P$7,$B1723&lt;'111'!$N$11),"x","")</f>
        <v/>
      </c>
      <c r="R1723" s="39" t="str">
        <f>IF(AND($M1723=$P$7,$B1723&lt;'111'!$N$11),"x","")</f>
        <v/>
      </c>
      <c r="S1723" s="39" t="str">
        <f>IF(ISERROR(FIND('112'!$M$9,G1723,1)),"",IF((AND(FIND('112'!$M$9,G1723,1)&gt;=1,$B1723&gt;='112'!$N$8,$B1723&lt;='112'!$O$8,OR($L1723='112'!$I$6,$M1723='112'!$I$6))),"x",""))</f>
        <v/>
      </c>
      <c r="T1723" s="39" t="str">
        <f>IF(ISERROR(FIND('112'!$M$9,G1723,1)),"",IF((AND(LEFT(G1723,2)=LEFT('112'!$M$9,2),B1723&lt;'112'!$N$8,$L1723='112'!$I$6)),"x",""))</f>
        <v/>
      </c>
      <c r="U1723" s="39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39" t="str">
        <f>IF(OR(TH!L1723=TH!$W$7,M1723=TH!$W$7),"x","")</f>
        <v/>
      </c>
      <c r="X1723" s="39" t="str">
        <f>IF(AND(B1723&gt;='IN-NX'!$P$3,B1723&lt;='IN-NX'!$Q$3,'IN-NX'!$D$7=D1723,OR(LEFT(L1723,2)="15",AND(LEFT(M1723,2)&lt;&gt;"15",LEFT(M1723,2)&lt;&gt;"33"))),"x","")</f>
        <v/>
      </c>
      <c r="Y1723" s="39" t="str">
        <f>IF(AND(OR(LEFT(TH!L1723,2)="15",LEFT(TH!M1723,2)="15"),'152-CT'!$J$8=TH!F1723),"x","")</f>
        <v/>
      </c>
      <c r="Z1723" s="39" t="str">
        <f>IF(AND(OR(LEFT(TH!L1723,2)="15",LEFT(TH!M1723,2)="15"),TK!$E$7=TH!F1723),"x","")</f>
        <v/>
      </c>
      <c r="AA1723" s="39" t="str">
        <f>IF(AND(B1723&lt;=NKC!$N$8,B1723&gt;=NKC!$M$8),"x","")</f>
        <v/>
      </c>
      <c r="AB1723" s="821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99"/>
        <v/>
      </c>
      <c r="C1724" s="191"/>
      <c r="D1724" s="191"/>
      <c r="E1724" s="191"/>
      <c r="F1724" s="40"/>
      <c r="G1724" s="40"/>
      <c r="H1724" s="7"/>
      <c r="I1724" s="256"/>
      <c r="J1724" s="256"/>
      <c r="K1724" s="56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902" t="str">
        <f>IF(AND('341-CT'!$E$9=H1724,OR(LEFT(L1724,3)=$O$7,LEFT(M1724,3)=$O$7)),"x","")</f>
        <v/>
      </c>
      <c r="P1724" s="39" t="str">
        <f>IF(AND($B1724&gt;='111'!$N$11,$B1724&lt;='111'!$O$11,OR($L1724=$P$7,$M1724=$P$7)),"x","")</f>
        <v/>
      </c>
      <c r="Q1724" s="39" t="str">
        <f>IF(AND($L1724=$P$7,$B1724&lt;'111'!$N$11),"x","")</f>
        <v/>
      </c>
      <c r="R1724" s="39" t="str">
        <f>IF(AND($M1724=$P$7,$B1724&lt;'111'!$N$11),"x","")</f>
        <v/>
      </c>
      <c r="S1724" s="39" t="str">
        <f>IF(ISERROR(FIND('112'!$M$9,G1724,1)),"",IF((AND(FIND('112'!$M$9,G1724,1)&gt;=1,$B1724&gt;='112'!$N$8,$B1724&lt;='112'!$O$8,OR($L1724='112'!$I$6,$M1724='112'!$I$6))),"x",""))</f>
        <v/>
      </c>
      <c r="T1724" s="39" t="str">
        <f>IF(ISERROR(FIND('112'!$M$9,G1724,1)),"",IF((AND(LEFT(G1724,2)=LEFT('112'!$M$9,2),B1724&lt;'112'!$N$8,$L1724='112'!$I$6)),"x",""))</f>
        <v/>
      </c>
      <c r="U1724" s="39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39" t="str">
        <f>IF(OR(TH!L1724=TH!$W$7,M1724=TH!$W$7),"x","")</f>
        <v/>
      </c>
      <c r="X1724" s="39" t="str">
        <f>IF(AND(B1724&gt;='IN-NX'!$P$3,B1724&lt;='IN-NX'!$Q$3,'IN-NX'!$D$7=D1724,OR(LEFT(L1724,2)="15",AND(LEFT(M1724,2)&lt;&gt;"15",LEFT(M1724,2)&lt;&gt;"33"))),"x","")</f>
        <v/>
      </c>
      <c r="Y1724" s="39" t="str">
        <f>IF(AND(OR(LEFT(TH!L1724,2)="15",LEFT(TH!M1724,2)="15"),'152-CT'!$J$8=TH!F1724),"x","")</f>
        <v/>
      </c>
      <c r="Z1724" s="39" t="str">
        <f>IF(AND(OR(LEFT(TH!L1724,2)="15",LEFT(TH!M1724,2)="15"),TK!$E$7=TH!F1724),"x","")</f>
        <v/>
      </c>
      <c r="AA1724" s="39" t="str">
        <f>IF(AND(B1724&lt;=NKC!$N$8,B1724&gt;=NKC!$M$8),"x","")</f>
        <v/>
      </c>
      <c r="AB1724" s="821"/>
    </row>
    <row r="1725" spans="1:28" s="211" customFormat="1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99"/>
        <v/>
      </c>
      <c r="C1725" s="191"/>
      <c r="D1725" s="191"/>
      <c r="E1725" s="191"/>
      <c r="F1725" s="40"/>
      <c r="G1725" s="40"/>
      <c r="H1725" s="7"/>
      <c r="I1725" s="256"/>
      <c r="J1725" s="256"/>
      <c r="K1725" s="56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902" t="str">
        <f>IF(AND('341-CT'!$E$9=H1725,OR(LEFT(L1725,3)=$O$7,LEFT(M1725,3)=$O$7)),"x","")</f>
        <v/>
      </c>
      <c r="P1725" s="39" t="str">
        <f>IF(AND($B1725&gt;='111'!$N$11,$B1725&lt;='111'!$O$11,OR($L1725=$P$7,$M1725=$P$7)),"x","")</f>
        <v/>
      </c>
      <c r="Q1725" s="39" t="str">
        <f>IF(AND($L1725=$P$7,$B1725&lt;'111'!$N$11),"x","")</f>
        <v/>
      </c>
      <c r="R1725" s="39" t="str">
        <f>IF(AND($M1725=$P$7,$B1725&lt;'111'!$N$11),"x","")</f>
        <v/>
      </c>
      <c r="S1725" s="39" t="str">
        <f>IF(ISERROR(FIND('112'!$M$9,G1725,1)),"",IF((AND(FIND('112'!$M$9,G1725,1)&gt;=1,$B1725&gt;='112'!$N$8,$B1725&lt;='112'!$O$8,OR($L1725='112'!$I$6,$M1725='112'!$I$6))),"x",""))</f>
        <v/>
      </c>
      <c r="T1725" s="39" t="str">
        <f>IF(ISERROR(FIND('112'!$M$9,G1725,1)),"",IF((AND(LEFT(G1725,2)=LEFT('112'!$M$9,2),B1725&lt;'112'!$N$8,$L1725='112'!$I$6)),"x",""))</f>
        <v/>
      </c>
      <c r="U1725" s="39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39" t="str">
        <f>IF(OR(TH!L1725=TH!$W$7,M1725=TH!$W$7),"x","")</f>
        <v/>
      </c>
      <c r="X1725" s="39" t="str">
        <f>IF(AND(B1725&gt;='IN-NX'!$P$3,B1725&lt;='IN-NX'!$Q$3,'IN-NX'!$D$7=D1725,OR(LEFT(L1725,2)="15",AND(LEFT(M1725,2)&lt;&gt;"15",LEFT(M1725,2)&lt;&gt;"33"))),"x","")</f>
        <v/>
      </c>
      <c r="Y1725" s="39" t="str">
        <f>IF(AND(OR(LEFT(TH!L1725,2)="15",LEFT(TH!M1725,2)="15"),'152-CT'!$J$8=TH!F1725),"x","")</f>
        <v/>
      </c>
      <c r="Z1725" s="39" t="str">
        <f>IF(AND(OR(LEFT(TH!L1725,2)="15",LEFT(TH!M1725,2)="15"),TK!$E$7=TH!F1725),"x","")</f>
        <v/>
      </c>
      <c r="AA1725" s="39" t="str">
        <f>IF(AND(B1725&lt;=NKC!$N$8,B1725&gt;=NKC!$M$8),"x","")</f>
        <v/>
      </c>
      <c r="AB1725" s="821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99"/>
        <v/>
      </c>
      <c r="C1726" s="191"/>
      <c r="D1726" s="191"/>
      <c r="E1726" s="191"/>
      <c r="F1726" s="40"/>
      <c r="G1726" s="40"/>
      <c r="H1726" s="7"/>
      <c r="I1726" s="256"/>
      <c r="J1726" s="256"/>
      <c r="K1726" s="56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902" t="str">
        <f>IF(AND('341-CT'!$E$9=H1726,OR(LEFT(L1726,3)=$O$7,LEFT(M1726,3)=$O$7)),"x","")</f>
        <v/>
      </c>
      <c r="P1726" s="39" t="str">
        <f>IF(AND($B1726&gt;='111'!$N$11,$B1726&lt;='111'!$O$11,OR($L1726=$P$7,$M1726=$P$7)),"x","")</f>
        <v/>
      </c>
      <c r="Q1726" s="39" t="str">
        <f>IF(AND($L1726=$P$7,$B1726&lt;'111'!$N$11),"x","")</f>
        <v/>
      </c>
      <c r="R1726" s="39" t="str">
        <f>IF(AND($M1726=$P$7,$B1726&lt;'111'!$N$11),"x","")</f>
        <v/>
      </c>
      <c r="S1726" s="39" t="str">
        <f>IF(ISERROR(FIND('112'!$M$9,G1726,1)),"",IF((AND(FIND('112'!$M$9,G1726,1)&gt;=1,$B1726&gt;='112'!$N$8,$B1726&lt;='112'!$O$8,OR($L1726='112'!$I$6,$M1726='112'!$I$6))),"x",""))</f>
        <v/>
      </c>
      <c r="T1726" s="39" t="str">
        <f>IF(ISERROR(FIND('112'!$M$9,G1726,1)),"",IF((AND(LEFT(G1726,2)=LEFT('112'!$M$9,2),B1726&lt;'112'!$N$8,$L1726='112'!$I$6)),"x",""))</f>
        <v/>
      </c>
      <c r="U1726" s="39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39" t="str">
        <f>IF(OR(TH!L1726=TH!$W$7,M1726=TH!$W$7),"x","")</f>
        <v/>
      </c>
      <c r="X1726" s="39" t="str">
        <f>IF(AND(B1726&gt;='IN-NX'!$P$3,B1726&lt;='IN-NX'!$Q$3,'IN-NX'!$D$7=D1726,OR(LEFT(L1726,2)="15",AND(LEFT(M1726,2)&lt;&gt;"15",LEFT(M1726,2)&lt;&gt;"33"))),"x","")</f>
        <v/>
      </c>
      <c r="Y1726" s="39" t="str">
        <f>IF(AND(OR(LEFT(TH!L1726,2)="15",LEFT(TH!M1726,2)="15"),'152-CT'!$J$8=TH!F1726),"x","")</f>
        <v/>
      </c>
      <c r="Z1726" s="39" t="str">
        <f>IF(AND(OR(LEFT(TH!L1726,2)="15",LEFT(TH!M1726,2)="15"),TK!$E$7=TH!F1726),"x","")</f>
        <v/>
      </c>
      <c r="AA1726" s="39" t="str">
        <f>IF(AND(B1726&lt;=NKC!$N$8,B1726&gt;=NKC!$M$8),"x","")</f>
        <v/>
      </c>
      <c r="AB1726" s="821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99"/>
        <v/>
      </c>
      <c r="C1727" s="191"/>
      <c r="D1727" s="191"/>
      <c r="E1727" s="37"/>
      <c r="F1727" s="40"/>
      <c r="G1727" s="40"/>
      <c r="H1727" s="7"/>
      <c r="I1727" s="256"/>
      <c r="J1727" s="256"/>
      <c r="K1727" s="56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902" t="str">
        <f>IF(AND('341-CT'!$E$9=H1727,OR(LEFT(L1727,3)=$O$7,LEFT(M1727,3)=$O$7)),"x","")</f>
        <v/>
      </c>
      <c r="P1727" s="39" t="str">
        <f>IF(AND($B1727&gt;='111'!$N$11,$B1727&lt;='111'!$O$11,OR($L1727=$P$7,$M1727=$P$7)),"x","")</f>
        <v/>
      </c>
      <c r="Q1727" s="39" t="str">
        <f>IF(AND($L1727=$P$7,$B1727&lt;'111'!$N$11),"x","")</f>
        <v/>
      </c>
      <c r="R1727" s="39" t="str">
        <f>IF(AND($M1727=$P$7,$B1727&lt;'111'!$N$11),"x","")</f>
        <v/>
      </c>
      <c r="S1727" s="39" t="str">
        <f>IF(ISERROR(FIND('112'!$M$9,G1727,1)),"",IF((AND(FIND('112'!$M$9,G1727,1)&gt;=1,$B1727&gt;='112'!$N$8,$B1727&lt;='112'!$O$8,OR($L1727='112'!$I$6,$M1727='112'!$I$6))),"x",""))</f>
        <v/>
      </c>
      <c r="T1727" s="39" t="str">
        <f>IF(ISERROR(FIND('112'!$M$9,G1727,1)),"",IF((AND(LEFT(G1727,2)=LEFT('112'!$M$9,2),B1727&lt;'112'!$N$8,$L1727='112'!$I$6)),"x",""))</f>
        <v/>
      </c>
      <c r="U1727" s="39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39" t="str">
        <f>IF(OR(TH!L1727=TH!$W$7,M1727=TH!$W$7),"x","")</f>
        <v/>
      </c>
      <c r="X1727" s="39" t="str">
        <f>IF(AND(B1727&gt;='IN-NX'!$P$3,B1727&lt;='IN-NX'!$Q$3,'IN-NX'!$D$7=D1727,OR(LEFT(L1727,2)="15",AND(LEFT(M1727,2)&lt;&gt;"15",LEFT(M1727,2)&lt;&gt;"33"))),"x","")</f>
        <v/>
      </c>
      <c r="Y1727" s="39" t="str">
        <f>IF(AND(OR(LEFT(TH!L1727,2)="15",LEFT(TH!M1727,2)="15"),'152-CT'!$J$8=TH!F1727),"x","")</f>
        <v/>
      </c>
      <c r="Z1727" s="39" t="str">
        <f>IF(AND(OR(LEFT(TH!L1727,2)="15",LEFT(TH!M1727,2)="15"),TK!$E$7=TH!F1727),"x","")</f>
        <v/>
      </c>
      <c r="AA1727" s="39" t="str">
        <f>IF(AND(B1727&lt;=NKC!$N$8,B1727&gt;=NKC!$M$8),"x","")</f>
        <v/>
      </c>
      <c r="AB1727" s="821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99"/>
        <v/>
      </c>
      <c r="C1728" s="191"/>
      <c r="D1728" s="191"/>
      <c r="E1728" s="37"/>
      <c r="F1728" s="40"/>
      <c r="G1728" s="40"/>
      <c r="H1728" s="7"/>
      <c r="I1728" s="256"/>
      <c r="J1728" s="256"/>
      <c r="K1728" s="568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902" t="str">
        <f>IF(AND('341-CT'!$E$9=H1728,OR(LEFT(L1728,3)=$O$7,LEFT(M1728,3)=$O$7)),"x","")</f>
        <v/>
      </c>
      <c r="P1728" s="39" t="str">
        <f>IF(AND($B1728&gt;='111'!$N$11,$B1728&lt;='111'!$O$11,OR($L1728=$P$7,$M1728=$P$7)),"x","")</f>
        <v/>
      </c>
      <c r="Q1728" s="39" t="str">
        <f>IF(AND($L1728=$P$7,$B1728&lt;'111'!$N$11),"x","")</f>
        <v/>
      </c>
      <c r="R1728" s="39" t="str">
        <f>IF(AND($M1728=$P$7,$B1728&lt;'111'!$N$11),"x","")</f>
        <v/>
      </c>
      <c r="S1728" s="39" t="str">
        <f>IF(ISERROR(FIND('112'!$M$9,G1728,1)),"",IF((AND(FIND('112'!$M$9,G1728,1)&gt;=1,$B1728&gt;='112'!$N$8,$B1728&lt;='112'!$O$8,OR($L1728='112'!$I$6,$M1728='112'!$I$6))),"x",""))</f>
        <v/>
      </c>
      <c r="T1728" s="39" t="str">
        <f>IF(ISERROR(FIND('112'!$M$9,G1728,1)),"",IF((AND(LEFT(G1728,2)=LEFT('112'!$M$9,2),B1728&lt;'112'!$N$8,$L1728='112'!$I$6)),"x",""))</f>
        <v/>
      </c>
      <c r="U1728" s="39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39" t="str">
        <f>IF(OR(TH!L1728=TH!$W$7,M1728=TH!$W$7),"x","")</f>
        <v/>
      </c>
      <c r="X1728" s="39" t="str">
        <f>IF(AND(B1728&gt;='IN-NX'!$P$3,B1728&lt;='IN-NX'!$Q$3,'IN-NX'!$D$7=D1728,OR(LEFT(L1728,2)="15",AND(LEFT(M1728,2)&lt;&gt;"15",LEFT(M1728,2)&lt;&gt;"33"))),"x","")</f>
        <v/>
      </c>
      <c r="Y1728" s="39" t="str">
        <f>IF(AND(OR(LEFT(TH!L1728,2)="15",LEFT(TH!M1728,2)="15"),'152-CT'!$J$8=TH!F1728),"x","")</f>
        <v/>
      </c>
      <c r="Z1728" s="39" t="str">
        <f>IF(AND(OR(LEFT(TH!L1728,2)="15",LEFT(TH!M1728,2)="15"),TK!$E$7=TH!F1728),"x","")</f>
        <v/>
      </c>
      <c r="AA1728" s="39" t="str">
        <f>IF(AND(B1728&lt;=NKC!$N$8,B1728&gt;=NKC!$M$8),"x","")</f>
        <v/>
      </c>
      <c r="AB1728" s="821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99"/>
        <v/>
      </c>
      <c r="C1729" s="191"/>
      <c r="D1729" s="191"/>
      <c r="E1729" s="37"/>
      <c r="F1729" s="189"/>
      <c r="G1729" s="40"/>
      <c r="H1729" s="7"/>
      <c r="I1729" s="256"/>
      <c r="J1729" s="256"/>
      <c r="K1729" s="568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902" t="str">
        <f>IF(AND('341-CT'!$E$9=H1729,OR(LEFT(L1729,3)=$O$7,LEFT(M1729,3)=$O$7)),"x","")</f>
        <v/>
      </c>
      <c r="P1729" s="39" t="str">
        <f>IF(AND($B1729&gt;='111'!$N$11,$B1729&lt;='111'!$O$11,OR($L1729=$P$7,$M1729=$P$7)),"x","")</f>
        <v/>
      </c>
      <c r="Q1729" s="39" t="str">
        <f>IF(AND($L1729=$P$7,$B1729&lt;'111'!$N$11),"x","")</f>
        <v/>
      </c>
      <c r="R1729" s="39" t="str">
        <f>IF(AND($M1729=$P$7,$B1729&lt;'111'!$N$11),"x","")</f>
        <v/>
      </c>
      <c r="S1729" s="39" t="str">
        <f>IF(ISERROR(FIND('112'!$M$9,G1729,1)),"",IF((AND(FIND('112'!$M$9,G1729,1)&gt;=1,$B1729&gt;='112'!$N$8,$B1729&lt;='112'!$O$8,OR($L1729='112'!$I$6,$M1729='112'!$I$6))),"x",""))</f>
        <v/>
      </c>
      <c r="T1729" s="39" t="str">
        <f>IF(ISERROR(FIND('112'!$M$9,G1729,1)),"",IF((AND(LEFT(G1729,2)=LEFT('112'!$M$9,2),B1729&lt;'112'!$N$8,$L1729='112'!$I$6)),"x",""))</f>
        <v/>
      </c>
      <c r="U1729" s="39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39" t="str">
        <f>IF(OR(TH!L1729=TH!$W$7,M1729=TH!$W$7),"x","")</f>
        <v/>
      </c>
      <c r="X1729" s="39" t="str">
        <f>IF(AND(B1729&gt;='IN-NX'!$P$3,B1729&lt;='IN-NX'!$Q$3,'IN-NX'!$D$7=D1729,OR(LEFT(L1729,2)="15",AND(LEFT(M1729,2)&lt;&gt;"15",LEFT(M1729,2)&lt;&gt;"33"))),"x","")</f>
        <v/>
      </c>
      <c r="Y1729" s="39" t="str">
        <f>IF(AND(OR(LEFT(TH!L1729,2)="15",LEFT(TH!M1729,2)="15"),'152-CT'!$J$8=TH!F1729),"x","")</f>
        <v/>
      </c>
      <c r="Z1729" s="39" t="str">
        <f>IF(AND(OR(LEFT(TH!L1729,2)="15",LEFT(TH!M1729,2)="15"),TK!$E$7=TH!F1729),"x","")</f>
        <v/>
      </c>
      <c r="AA1729" s="39" t="str">
        <f>IF(AND(B1729&lt;=NKC!$N$8,B1729&gt;=NKC!$M$8),"x","")</f>
        <v/>
      </c>
      <c r="AB1729" s="821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99"/>
        <v/>
      </c>
      <c r="C1730" s="191"/>
      <c r="D1730" s="191"/>
      <c r="E1730" s="37"/>
      <c r="F1730" s="189"/>
      <c r="G1730" s="40"/>
      <c r="H1730" s="7"/>
      <c r="I1730" s="256"/>
      <c r="J1730" s="256"/>
      <c r="K1730" s="568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902" t="str">
        <f>IF(AND('341-CT'!$E$9=H1730,OR(LEFT(L1730,3)=$O$7,LEFT(M1730,3)=$O$7)),"x","")</f>
        <v/>
      </c>
      <c r="P1730" s="39" t="str">
        <f>IF(AND($B1730&gt;='111'!$N$11,$B1730&lt;='111'!$O$11,OR($L1730=$P$7,$M1730=$P$7)),"x","")</f>
        <v/>
      </c>
      <c r="Q1730" s="39" t="str">
        <f>IF(AND($L1730=$P$7,$B1730&lt;'111'!$N$11),"x","")</f>
        <v/>
      </c>
      <c r="R1730" s="39" t="str">
        <f>IF(AND($M1730=$P$7,$B1730&lt;'111'!$N$11),"x","")</f>
        <v/>
      </c>
      <c r="S1730" s="39" t="str">
        <f>IF(ISERROR(FIND('112'!$M$9,G1730,1)),"",IF((AND(FIND('112'!$M$9,G1730,1)&gt;=1,$B1730&gt;='112'!$N$8,$B1730&lt;='112'!$O$8,OR($L1730='112'!$I$6,$M1730='112'!$I$6))),"x",""))</f>
        <v/>
      </c>
      <c r="T1730" s="39" t="str">
        <f>IF(ISERROR(FIND('112'!$M$9,G1730,1)),"",IF((AND(LEFT(G1730,2)=LEFT('112'!$M$9,2),B1730&lt;'112'!$N$8,$L1730='112'!$I$6)),"x",""))</f>
        <v/>
      </c>
      <c r="U1730" s="39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39" t="str">
        <f>IF(OR(TH!L1730=TH!$W$7,M1730=TH!$W$7),"x","")</f>
        <v/>
      </c>
      <c r="X1730" s="39" t="str">
        <f>IF(AND(B1730&gt;='IN-NX'!$P$3,B1730&lt;='IN-NX'!$Q$3,'IN-NX'!$D$7=D1730,OR(LEFT(L1730,2)="15",AND(LEFT(M1730,2)&lt;&gt;"15",LEFT(M1730,2)&lt;&gt;"33"))),"x","")</f>
        <v/>
      </c>
      <c r="Y1730" s="39" t="str">
        <f>IF(AND(OR(LEFT(TH!L1730,2)="15",LEFT(TH!M1730,2)="15"),'152-CT'!$J$8=TH!F1730),"x","")</f>
        <v/>
      </c>
      <c r="Z1730" s="39" t="str">
        <f>IF(AND(OR(LEFT(TH!L1730,2)="15",LEFT(TH!M1730,2)="15"),TK!$E$7=TH!F1730),"x","")</f>
        <v/>
      </c>
      <c r="AA1730" s="39" t="str">
        <f>IF(AND(B1730&lt;=NKC!$N$8,B1730&gt;=NKC!$M$8),"x","")</f>
        <v/>
      </c>
      <c r="AB1730" s="821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99"/>
        <v/>
      </c>
      <c r="C1731" s="191"/>
      <c r="D1731" s="191"/>
      <c r="E1731" s="37"/>
      <c r="F1731" s="189"/>
      <c r="G1731" s="40"/>
      <c r="H1731" s="7"/>
      <c r="I1731" s="256"/>
      <c r="J1731" s="256"/>
      <c r="K1731" s="568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902" t="str">
        <f>IF(AND('341-CT'!$E$9=H1731,OR(LEFT(L1731,3)=$O$7,LEFT(M1731,3)=$O$7)),"x","")</f>
        <v/>
      </c>
      <c r="P1731" s="39" t="str">
        <f>IF(AND($B1731&gt;='111'!$N$11,$B1731&lt;='111'!$O$11,OR($L1731=$P$7,$M1731=$P$7)),"x","")</f>
        <v/>
      </c>
      <c r="Q1731" s="39" t="str">
        <f>IF(AND($L1731=$P$7,$B1731&lt;'111'!$N$11),"x","")</f>
        <v/>
      </c>
      <c r="R1731" s="39" t="str">
        <f>IF(AND($M1731=$P$7,$B1731&lt;'111'!$N$11),"x","")</f>
        <v/>
      </c>
      <c r="S1731" s="39" t="str">
        <f>IF(ISERROR(FIND('112'!$M$9,G1731,1)),"",IF((AND(FIND('112'!$M$9,G1731,1)&gt;=1,$B1731&gt;='112'!$N$8,$B1731&lt;='112'!$O$8,OR($L1731='112'!$I$6,$M1731='112'!$I$6))),"x",""))</f>
        <v/>
      </c>
      <c r="T1731" s="39" t="str">
        <f>IF(ISERROR(FIND('112'!$M$9,G1731,1)),"",IF((AND(LEFT(G1731,2)=LEFT('112'!$M$9,2),B1731&lt;'112'!$N$8,$L1731='112'!$I$6)),"x",""))</f>
        <v/>
      </c>
      <c r="U1731" s="39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39" t="str">
        <f>IF(OR(TH!L1731=TH!$W$7,M1731=TH!$W$7),"x","")</f>
        <v/>
      </c>
      <c r="X1731" s="39" t="str">
        <f>IF(AND(B1731&gt;='IN-NX'!$P$3,B1731&lt;='IN-NX'!$Q$3,'IN-NX'!$D$7=D1731,OR(LEFT(L1731,2)="15",AND(LEFT(M1731,2)&lt;&gt;"15",LEFT(M1731,2)&lt;&gt;"33"))),"x","")</f>
        <v/>
      </c>
      <c r="Y1731" s="39" t="str">
        <f>IF(AND(OR(LEFT(TH!L1731,2)="15",LEFT(TH!M1731,2)="15"),'152-CT'!$J$8=TH!F1731),"x","")</f>
        <v/>
      </c>
      <c r="Z1731" s="39" t="str">
        <f>IF(AND(OR(LEFT(TH!L1731,2)="15",LEFT(TH!M1731,2)="15"),TK!$E$7=TH!F1731),"x","")</f>
        <v/>
      </c>
      <c r="AA1731" s="39" t="str">
        <f>IF(AND(B1731&lt;=NKC!$N$8,B1731&gt;=NKC!$M$8),"x","")</f>
        <v/>
      </c>
      <c r="AB1731" s="821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99"/>
        <v/>
      </c>
      <c r="C1732" s="191"/>
      <c r="D1732" s="191"/>
      <c r="E1732" s="37"/>
      <c r="F1732" s="189"/>
      <c r="G1732" s="40"/>
      <c r="H1732" s="7"/>
      <c r="I1732" s="256"/>
      <c r="J1732" s="256"/>
      <c r="K1732" s="568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902" t="str">
        <f>IF(AND('341-CT'!$E$9=H1732,OR(LEFT(L1732,3)=$O$7,LEFT(M1732,3)=$O$7)),"x","")</f>
        <v/>
      </c>
      <c r="P1732" s="39" t="str">
        <f>IF(AND($B1732&gt;='111'!$N$11,$B1732&lt;='111'!$O$11,OR($L1732=$P$7,$M1732=$P$7)),"x","")</f>
        <v/>
      </c>
      <c r="Q1732" s="39" t="str">
        <f>IF(AND($L1732=$P$7,$B1732&lt;'111'!$N$11),"x","")</f>
        <v/>
      </c>
      <c r="R1732" s="39" t="str">
        <f>IF(AND($M1732=$P$7,$B1732&lt;'111'!$N$11),"x","")</f>
        <v/>
      </c>
      <c r="S1732" s="39" t="str">
        <f>IF(ISERROR(FIND('112'!$M$9,G1732,1)),"",IF((AND(FIND('112'!$M$9,G1732,1)&gt;=1,$B1732&gt;='112'!$N$8,$B1732&lt;='112'!$O$8,OR($L1732='112'!$I$6,$M1732='112'!$I$6))),"x",""))</f>
        <v/>
      </c>
      <c r="T1732" s="39" t="str">
        <f>IF(ISERROR(FIND('112'!$M$9,G1732,1)),"",IF((AND(LEFT(G1732,2)=LEFT('112'!$M$9,2),B1732&lt;'112'!$N$8,$L1732='112'!$I$6)),"x",""))</f>
        <v/>
      </c>
      <c r="U1732" s="39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39" t="str">
        <f>IF(OR(TH!L1732=TH!$W$7,M1732=TH!$W$7),"x","")</f>
        <v/>
      </c>
      <c r="X1732" s="39" t="str">
        <f>IF(AND(B1732&gt;='IN-NX'!$P$3,B1732&lt;='IN-NX'!$Q$3,'IN-NX'!$D$7=D1732,OR(LEFT(L1732,2)="15",AND(LEFT(M1732,2)&lt;&gt;"15",LEFT(M1732,2)&lt;&gt;"33"))),"x","")</f>
        <v/>
      </c>
      <c r="Y1732" s="39" t="str">
        <f>IF(AND(OR(LEFT(TH!L1732,2)="15",LEFT(TH!M1732,2)="15"),'152-CT'!$J$8=TH!F1732),"x","")</f>
        <v/>
      </c>
      <c r="Z1732" s="39" t="str">
        <f>IF(AND(OR(LEFT(TH!L1732,2)="15",LEFT(TH!M1732,2)="15"),TK!$E$7=TH!F1732),"x","")</f>
        <v/>
      </c>
      <c r="AA1732" s="39" t="str">
        <f>IF(AND(B1732&lt;=NKC!$N$8,B1732&gt;=NKC!$M$8),"x","")</f>
        <v/>
      </c>
      <c r="AB1732" s="821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99"/>
        <v/>
      </c>
      <c r="C1733" s="191"/>
      <c r="D1733" s="191"/>
      <c r="E1733" s="37"/>
      <c r="F1733" s="40"/>
      <c r="G1733" s="40"/>
      <c r="H1733" s="7"/>
      <c r="I1733" s="256"/>
      <c r="J1733" s="256"/>
      <c r="K1733" s="568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902" t="str">
        <f>IF(AND('341-CT'!$E$9=H1733,OR(LEFT(L1733,3)=$O$7,LEFT(M1733,3)=$O$7)),"x","")</f>
        <v/>
      </c>
      <c r="P1733" s="39" t="str">
        <f>IF(AND($B1733&gt;='111'!$N$11,$B1733&lt;='111'!$O$11,OR($L1733=$P$7,$M1733=$P$7)),"x","")</f>
        <v/>
      </c>
      <c r="Q1733" s="39" t="str">
        <f>IF(AND($L1733=$P$7,$B1733&lt;'111'!$N$11),"x","")</f>
        <v/>
      </c>
      <c r="R1733" s="39" t="str">
        <f>IF(AND($M1733=$P$7,$B1733&lt;'111'!$N$11),"x","")</f>
        <v/>
      </c>
      <c r="S1733" s="39" t="str">
        <f>IF(ISERROR(FIND('112'!$M$9,G1733,1)),"",IF((AND(FIND('112'!$M$9,G1733,1)&gt;=1,$B1733&gt;='112'!$N$8,$B1733&lt;='112'!$O$8,OR($L1733='112'!$I$6,$M1733='112'!$I$6))),"x",""))</f>
        <v/>
      </c>
      <c r="T1733" s="39" t="str">
        <f>IF(ISERROR(FIND('112'!$M$9,G1733,1)),"",IF((AND(LEFT(G1733,2)=LEFT('112'!$M$9,2),B1733&lt;'112'!$N$8,$L1733='112'!$I$6)),"x",""))</f>
        <v/>
      </c>
      <c r="U1733" s="39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39" t="str">
        <f>IF(OR(TH!L1733=TH!$W$7,M1733=TH!$W$7),"x","")</f>
        <v/>
      </c>
      <c r="X1733" s="39" t="str">
        <f>IF(AND(B1733&gt;='IN-NX'!$P$3,B1733&lt;='IN-NX'!$Q$3,'IN-NX'!$D$7=D1733,OR(LEFT(L1733,2)="15",AND(LEFT(M1733,2)&lt;&gt;"15",LEFT(M1733,2)&lt;&gt;"33"))),"x","")</f>
        <v/>
      </c>
      <c r="Y1733" s="39" t="str">
        <f>IF(AND(OR(LEFT(TH!L1733,2)="15",LEFT(TH!M1733,2)="15"),'152-CT'!$J$8=TH!F1733),"x","")</f>
        <v/>
      </c>
      <c r="Z1733" s="39" t="str">
        <f>IF(AND(OR(LEFT(TH!L1733,2)="15",LEFT(TH!M1733,2)="15"),TK!$E$7=TH!F1733),"x","")</f>
        <v/>
      </c>
      <c r="AA1733" s="39" t="str">
        <f>IF(AND(B1733&lt;=NKC!$N$8,B1733&gt;=NKC!$M$8),"x","")</f>
        <v/>
      </c>
      <c r="AB1733" s="821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99"/>
        <v/>
      </c>
      <c r="C1734" s="191"/>
      <c r="D1734" s="191"/>
      <c r="E1734" s="37"/>
      <c r="F1734" s="189"/>
      <c r="G1734" s="40"/>
      <c r="H1734" s="7"/>
      <c r="I1734" s="256"/>
      <c r="J1734" s="256"/>
      <c r="K1734" s="568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902" t="str">
        <f>IF(AND('341-CT'!$E$9=H1734,OR(LEFT(L1734,3)=$O$7,LEFT(M1734,3)=$O$7)),"x","")</f>
        <v/>
      </c>
      <c r="P1734" s="39" t="str">
        <f>IF(AND($B1734&gt;='111'!$N$11,$B1734&lt;='111'!$O$11,OR($L1734=$P$7,$M1734=$P$7)),"x","")</f>
        <v/>
      </c>
      <c r="Q1734" s="39" t="str">
        <f>IF(AND($L1734=$P$7,$B1734&lt;'111'!$N$11),"x","")</f>
        <v/>
      </c>
      <c r="R1734" s="39" t="str">
        <f>IF(AND($M1734=$P$7,$B1734&lt;'111'!$N$11),"x","")</f>
        <v/>
      </c>
      <c r="S1734" s="39" t="str">
        <f>IF(ISERROR(FIND('112'!$M$9,G1734,1)),"",IF((AND(FIND('112'!$M$9,G1734,1)&gt;=1,$B1734&gt;='112'!$N$8,$B1734&lt;='112'!$O$8,OR($L1734='112'!$I$6,$M1734='112'!$I$6))),"x",""))</f>
        <v/>
      </c>
      <c r="T1734" s="39" t="str">
        <f>IF(ISERROR(FIND('112'!$M$9,G1734,1)),"",IF((AND(LEFT(G1734,2)=LEFT('112'!$M$9,2),B1734&lt;'112'!$N$8,$L1734='112'!$I$6)),"x",""))</f>
        <v/>
      </c>
      <c r="U1734" s="39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39" t="str">
        <f>IF(OR(TH!L1734=TH!$W$7,M1734=TH!$W$7),"x","")</f>
        <v/>
      </c>
      <c r="X1734" s="39" t="str">
        <f>IF(AND(B1734&gt;='IN-NX'!$P$3,B1734&lt;='IN-NX'!$Q$3,'IN-NX'!$D$7=D1734,OR(LEFT(L1734,2)="15",AND(LEFT(M1734,2)&lt;&gt;"15",LEFT(M1734,2)&lt;&gt;"33"))),"x","")</f>
        <v/>
      </c>
      <c r="Y1734" s="39" t="str">
        <f>IF(AND(OR(LEFT(TH!L1734,2)="15",LEFT(TH!M1734,2)="15"),'152-CT'!$J$8=TH!F1734),"x","")</f>
        <v/>
      </c>
      <c r="Z1734" s="39" t="str">
        <f>IF(AND(OR(LEFT(TH!L1734,2)="15",LEFT(TH!M1734,2)="15"),TK!$E$7=TH!F1734),"x","")</f>
        <v/>
      </c>
      <c r="AA1734" s="39" t="str">
        <f>IF(AND(B1734&lt;=NKC!$N$8,B1734&gt;=NKC!$M$8),"x","")</f>
        <v/>
      </c>
      <c r="AB1734" s="821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 t="str">
        <f t="shared" si="99"/>
        <v/>
      </c>
      <c r="C1735" s="191"/>
      <c r="D1735" s="191"/>
      <c r="E1735" s="37"/>
      <c r="F1735" s="189"/>
      <c r="G1735" s="40"/>
      <c r="H1735" s="7"/>
      <c r="I1735" s="256"/>
      <c r="J1735" s="256"/>
      <c r="K1735" s="568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902" t="str">
        <f>IF(AND('341-CT'!$E$9=H1735,OR(LEFT(L1735,3)=$O$7,LEFT(M1735,3)=$O$7)),"x","")</f>
        <v/>
      </c>
      <c r="P1735" s="39" t="str">
        <f>IF(AND($B1735&gt;='111'!$N$11,$B1735&lt;='111'!$O$11,OR($L1735=$P$7,$M1735=$P$7)),"x","")</f>
        <v/>
      </c>
      <c r="Q1735" s="39" t="str">
        <f>IF(AND($L1735=$P$7,$B1735&lt;'111'!$N$11),"x","")</f>
        <v/>
      </c>
      <c r="R1735" s="39" t="str">
        <f>IF(AND($M1735=$P$7,$B1735&lt;'111'!$N$11),"x","")</f>
        <v/>
      </c>
      <c r="S1735" s="39" t="str">
        <f>IF(ISERROR(FIND('112'!$M$9,G1735,1)),"",IF((AND(FIND('112'!$M$9,G1735,1)&gt;=1,$B1735&gt;='112'!$N$8,$B1735&lt;='112'!$O$8,OR($L1735='112'!$I$6,$M1735='112'!$I$6))),"x",""))</f>
        <v/>
      </c>
      <c r="T1735" s="39" t="str">
        <f>IF(ISERROR(FIND('112'!$M$9,G1735,1)),"",IF((AND(LEFT(G1735,2)=LEFT('112'!$M$9,2),B1735&lt;'112'!$N$8,$L1735='112'!$I$6)),"x",""))</f>
        <v/>
      </c>
      <c r="U1735" s="39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39" t="str">
        <f>IF(OR(TH!L1735=TH!$W$7,M1735=TH!$W$7),"x","")</f>
        <v/>
      </c>
      <c r="X1735" s="39" t="str">
        <f>IF(AND(B1735&gt;='IN-NX'!$P$3,B1735&lt;='IN-NX'!$Q$3,'IN-NX'!$D$7=D1735,OR(LEFT(L1735,2)="15",AND(LEFT(M1735,2)&lt;&gt;"15",LEFT(M1735,2)&lt;&gt;"33"))),"x","")</f>
        <v/>
      </c>
      <c r="Y1735" s="39" t="str">
        <f>IF(AND(OR(LEFT(TH!L1735,2)="15",LEFT(TH!M1735,2)="15"),'152-CT'!$J$8=TH!F1735),"x","")</f>
        <v/>
      </c>
      <c r="Z1735" s="39" t="str">
        <f>IF(AND(OR(LEFT(TH!L1735,2)="15",LEFT(TH!M1735,2)="15"),TK!$E$7=TH!F1735),"x","")</f>
        <v/>
      </c>
      <c r="AA1735" s="39" t="str">
        <f>IF(AND(B1735&lt;=NKC!$N$8,B1735&gt;=NKC!$M$8),"x","")</f>
        <v/>
      </c>
      <c r="AB1735" s="821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 t="str">
        <f t="shared" si="99"/>
        <v/>
      </c>
      <c r="C1736" s="184"/>
      <c r="D1736" s="184"/>
      <c r="E1736" s="184"/>
      <c r="F1736" s="787"/>
      <c r="G1736" s="570"/>
      <c r="H1736" s="193"/>
      <c r="I1736" s="256"/>
      <c r="J1736" s="256"/>
      <c r="K1736" s="568"/>
      <c r="L1736" s="569"/>
      <c r="M1736" s="569"/>
      <c r="N1736" s="39" t="str">
        <f>IF(AND('331-CT'!$E$7=TH!H1736,OR(L1736="331",M1736="331")),"331",IF(AND(OR(L1736="131",M1736="131"),H1736='131-CT'!$E$7),"131",""))</f>
        <v/>
      </c>
      <c r="O1736" s="902" t="str">
        <f>IF(AND('341-CT'!$E$9=H1736,OR(LEFT(L1736,3)=$O$7,LEFT(M1736,3)=$O$7)),"x","")</f>
        <v/>
      </c>
      <c r="P1736" s="39" t="str">
        <f>IF(AND($B1736&gt;='111'!$N$11,$B1736&lt;='111'!$O$11,OR($L1736=$P$7,$M1736=$P$7)),"x","")</f>
        <v/>
      </c>
      <c r="Q1736" s="39" t="str">
        <f>IF(AND($L1736=$P$7,$B1736&lt;'111'!$N$11),"x","")</f>
        <v/>
      </c>
      <c r="R1736" s="39" t="str">
        <f>IF(AND($M1736=$P$7,$B1736&lt;'111'!$N$11),"x","")</f>
        <v/>
      </c>
      <c r="S1736" s="39" t="str">
        <f>IF(ISERROR(FIND('112'!$M$9,G1736,1)),"",IF((AND(FIND('112'!$M$9,G1736,1)&gt;=1,$B1736&gt;='112'!$N$8,$B1736&lt;='112'!$O$8,OR($L1736='112'!$I$6,$M1736='112'!$I$6))),"x",""))</f>
        <v/>
      </c>
      <c r="T1736" s="39" t="str">
        <f>IF(ISERROR(FIND('112'!$M$9,G1736,1)),"",IF((AND(LEFT(G1736,2)=LEFT('112'!$M$9,2),B1736&lt;'112'!$N$8,$L1736='112'!$I$6)),"x",""))</f>
        <v/>
      </c>
      <c r="U1736" s="39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39" t="str">
        <f>IF(OR(TH!L1736=TH!$W$7,M1736=TH!$W$7),"x","")</f>
        <v/>
      </c>
      <c r="X1736" s="39" t="str">
        <f>IF(AND(B1736&gt;='IN-NX'!$P$3,B1736&lt;='IN-NX'!$Q$3,'IN-NX'!$D$7=D1736,OR(LEFT(L1736,2)="15",AND(LEFT(M1736,2)&lt;&gt;"15",LEFT(M1736,2)&lt;&gt;"33"))),"x","")</f>
        <v/>
      </c>
      <c r="Y1736" s="39" t="str">
        <f>IF(AND(OR(LEFT(TH!L1736,2)="15",LEFT(TH!M1736,2)="15"),'152-CT'!$J$8=TH!F1736),"x","")</f>
        <v/>
      </c>
      <c r="Z1736" s="39" t="str">
        <f>IF(AND(OR(LEFT(TH!L1736,2)="15",LEFT(TH!M1736,2)="15"),TK!$E$7=TH!F1736),"x","")</f>
        <v/>
      </c>
      <c r="AA1736" s="39" t="str">
        <f>IF(AND(B1736&lt;=NKC!$N$8,B1736&gt;=NKC!$M$8),"x","")</f>
        <v/>
      </c>
      <c r="AB1736" s="821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99"/>
        <v/>
      </c>
      <c r="C1737" s="191"/>
      <c r="D1737" s="191"/>
      <c r="E1737" s="191"/>
      <c r="F1737" s="192"/>
      <c r="G1737" s="468"/>
      <c r="H1737" s="193"/>
      <c r="I1737" s="256"/>
      <c r="J1737" s="256"/>
      <c r="K1737" s="568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902" t="str">
        <f>IF(AND('341-CT'!$E$9=H1737,OR(LEFT(L1737,3)=$O$7,LEFT(M1737,3)=$O$7)),"x","")</f>
        <v/>
      </c>
      <c r="P1737" s="39" t="str">
        <f>IF(AND($B1737&gt;='111'!$N$11,$B1737&lt;='111'!$O$11,OR($L1737=$P$7,$M1737=$P$7)),"x","")</f>
        <v/>
      </c>
      <c r="Q1737" s="39" t="str">
        <f>IF(AND($L1737=$P$7,$B1737&lt;'111'!$N$11),"x","")</f>
        <v/>
      </c>
      <c r="R1737" s="39" t="str">
        <f>IF(AND($M1737=$P$7,$B1737&lt;'111'!$N$11),"x","")</f>
        <v/>
      </c>
      <c r="S1737" s="39" t="str">
        <f>IF(ISERROR(FIND('112'!$M$9,G1737,1)),"",IF((AND(FIND('112'!$M$9,G1737,1)&gt;=1,$B1737&gt;='112'!$N$8,$B1737&lt;='112'!$O$8,OR($L1737='112'!$I$6,$M1737='112'!$I$6))),"x",""))</f>
        <v/>
      </c>
      <c r="T1737" s="39" t="str">
        <f>IF(ISERROR(FIND('112'!$M$9,G1737,1)),"",IF((AND(LEFT(G1737,2)=LEFT('112'!$M$9,2),B1737&lt;'112'!$N$8,$L1737='112'!$I$6)),"x",""))</f>
        <v/>
      </c>
      <c r="U1737" s="39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39" t="str">
        <f>IF(OR(TH!L1737=TH!$W$7,M1737=TH!$W$7),"x","")</f>
        <v/>
      </c>
      <c r="X1737" s="39" t="str">
        <f>IF(AND(B1737&gt;='IN-NX'!$P$3,B1737&lt;='IN-NX'!$Q$3,'IN-NX'!$D$7=D1737,OR(LEFT(L1737,2)="15",AND(LEFT(M1737,2)&lt;&gt;"15",LEFT(M1737,2)&lt;&gt;"33"))),"x","")</f>
        <v/>
      </c>
      <c r="Y1737" s="39" t="str">
        <f>IF(AND(OR(LEFT(TH!L1737,2)="15",LEFT(TH!M1737,2)="15"),'152-CT'!$J$8=TH!F1737),"x","")</f>
        <v/>
      </c>
      <c r="Z1737" s="39" t="str">
        <f>IF(AND(OR(LEFT(TH!L1737,2)="15",LEFT(TH!M1737,2)="15"),TK!$E$7=TH!F1737),"x","")</f>
        <v/>
      </c>
      <c r="AA1737" s="39" t="str">
        <f>IF(AND(B1737&lt;=NKC!$N$8,B1737&gt;=NKC!$M$8),"x","")</f>
        <v/>
      </c>
      <c r="AB1737" s="821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99"/>
        <v/>
      </c>
      <c r="C1738" s="191"/>
      <c r="D1738" s="191"/>
      <c r="E1738" s="191"/>
      <c r="F1738" s="192"/>
      <c r="G1738" s="468"/>
      <c r="H1738" s="193"/>
      <c r="I1738" s="256"/>
      <c r="J1738" s="256"/>
      <c r="K1738" s="568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902" t="str">
        <f>IF(AND('341-CT'!$E$9=H1738,OR(LEFT(L1738,3)=$O$7,LEFT(M1738,3)=$O$7)),"x","")</f>
        <v/>
      </c>
      <c r="P1738" s="39" t="str">
        <f>IF(AND($B1738&gt;='111'!$N$11,$B1738&lt;='111'!$O$11,OR($L1738=$P$7,$M1738=$P$7)),"x","")</f>
        <v/>
      </c>
      <c r="Q1738" s="39" t="str">
        <f>IF(AND($L1738=$P$7,$B1738&lt;'111'!$N$11),"x","")</f>
        <v/>
      </c>
      <c r="R1738" s="39" t="str">
        <f>IF(AND($M1738=$P$7,$B1738&lt;'111'!$N$11),"x","")</f>
        <v/>
      </c>
      <c r="S1738" s="39" t="str">
        <f>IF(ISERROR(FIND('112'!$M$9,G1738,1)),"",IF((AND(FIND('112'!$M$9,G1738,1)&gt;=1,$B1738&gt;='112'!$N$8,$B1738&lt;='112'!$O$8,OR($L1738='112'!$I$6,$M1738='112'!$I$6))),"x",""))</f>
        <v/>
      </c>
      <c r="T1738" s="39" t="str">
        <f>IF(ISERROR(FIND('112'!$M$9,G1738,1)),"",IF((AND(LEFT(G1738,2)=LEFT('112'!$M$9,2),B1738&lt;'112'!$N$8,$L1738='112'!$I$6)),"x",""))</f>
        <v/>
      </c>
      <c r="U1738" s="39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39" t="str">
        <f>IF(OR(TH!L1738=TH!$W$7,M1738=TH!$W$7),"x","")</f>
        <v/>
      </c>
      <c r="X1738" s="39" t="str">
        <f>IF(AND(B1738&gt;='IN-NX'!$P$3,B1738&lt;='IN-NX'!$Q$3,'IN-NX'!$D$7=D1738,OR(LEFT(L1738,2)="15",AND(LEFT(M1738,2)&lt;&gt;"15",LEFT(M1738,2)&lt;&gt;"33"))),"x","")</f>
        <v/>
      </c>
      <c r="Y1738" s="39" t="str">
        <f>IF(AND(OR(LEFT(TH!L1738,2)="15",LEFT(TH!M1738,2)="15"),'152-CT'!$J$8=TH!F1738),"x","")</f>
        <v/>
      </c>
      <c r="Z1738" s="39" t="str">
        <f>IF(AND(OR(LEFT(TH!L1738,2)="15",LEFT(TH!M1738,2)="15"),TK!$E$7=TH!F1738),"x","")</f>
        <v/>
      </c>
      <c r="AA1738" s="39" t="str">
        <f>IF(AND(B1738&lt;=NKC!$N$8,B1738&gt;=NKC!$M$8),"x","")</f>
        <v/>
      </c>
      <c r="AB1738" s="821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99"/>
        <v/>
      </c>
      <c r="C1739" s="191"/>
      <c r="D1739" s="191"/>
      <c r="E1739" s="37"/>
      <c r="F1739" s="40"/>
      <c r="G1739" s="40"/>
      <c r="H1739" s="7"/>
      <c r="I1739" s="256"/>
      <c r="J1739" s="256"/>
      <c r="K1739" s="56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902" t="str">
        <f>IF(AND('341-CT'!$E$9=H1739,OR(LEFT(L1739,3)=$O$7,LEFT(M1739,3)=$O$7)),"x","")</f>
        <v/>
      </c>
      <c r="P1739" s="39" t="str">
        <f>IF(AND($B1739&gt;='111'!$N$11,$B1739&lt;='111'!$O$11,OR($L1739=$P$7,$M1739=$P$7)),"x","")</f>
        <v/>
      </c>
      <c r="Q1739" s="39" t="str">
        <f>IF(AND($L1739=$P$7,$B1739&lt;'111'!$N$11),"x","")</f>
        <v/>
      </c>
      <c r="R1739" s="39" t="str">
        <f>IF(AND($M1739=$P$7,$B1739&lt;'111'!$N$11),"x","")</f>
        <v/>
      </c>
      <c r="S1739" s="39" t="str">
        <f>IF(ISERROR(FIND('112'!$M$9,G1739,1)),"",IF((AND(FIND('112'!$M$9,G1739,1)&gt;=1,$B1739&gt;='112'!$N$8,$B1739&lt;='112'!$O$8,OR($L1739='112'!$I$6,$M1739='112'!$I$6))),"x",""))</f>
        <v/>
      </c>
      <c r="T1739" s="39" t="str">
        <f>IF(ISERROR(FIND('112'!$M$9,G1739,1)),"",IF((AND(LEFT(G1739,2)=LEFT('112'!$M$9,2),B1739&lt;'112'!$N$8,$L1739='112'!$I$6)),"x",""))</f>
        <v/>
      </c>
      <c r="U1739" s="39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39" t="str">
        <f>IF(OR(TH!L1739=TH!$W$7,M1739=TH!$W$7),"x","")</f>
        <v/>
      </c>
      <c r="X1739" s="39" t="str">
        <f>IF(AND(B1739&gt;='IN-NX'!$P$3,B1739&lt;='IN-NX'!$Q$3,'IN-NX'!$D$7=D1739,OR(LEFT(L1739,2)="15",AND(LEFT(M1739,2)&lt;&gt;"15",LEFT(M1739,2)&lt;&gt;"33"))),"x","")</f>
        <v/>
      </c>
      <c r="Y1739" s="39" t="str">
        <f>IF(AND(OR(LEFT(TH!L1739,2)="15",LEFT(TH!M1739,2)="15"),'152-CT'!$J$8=TH!F1739),"x","")</f>
        <v/>
      </c>
      <c r="Z1739" s="39" t="str">
        <f>IF(AND(OR(LEFT(TH!L1739,2)="15",LEFT(TH!M1739,2)="15"),TK!$E$7=TH!F1739),"x","")</f>
        <v/>
      </c>
      <c r="AA1739" s="39" t="str">
        <f>IF(AND(B1739&lt;=NKC!$N$8,B1739&gt;=NKC!$M$8),"x","")</f>
        <v/>
      </c>
      <c r="AB1739" s="821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99"/>
        <v/>
      </c>
      <c r="C1740" s="191"/>
      <c r="D1740" s="191"/>
      <c r="E1740" s="37"/>
      <c r="F1740" s="189"/>
      <c r="G1740" s="40"/>
      <c r="H1740" s="7"/>
      <c r="I1740" s="256"/>
      <c r="J1740" s="256"/>
      <c r="K1740" s="56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902" t="str">
        <f>IF(AND('341-CT'!$E$9=H1740,OR(LEFT(L1740,3)=$O$7,LEFT(M1740,3)=$O$7)),"x","")</f>
        <v/>
      </c>
      <c r="P1740" s="39" t="str">
        <f>IF(AND($B1740&gt;='111'!$N$11,$B1740&lt;='111'!$O$11,OR($L1740=$P$7,$M1740=$P$7)),"x","")</f>
        <v/>
      </c>
      <c r="Q1740" s="39" t="str">
        <f>IF(AND($L1740=$P$7,$B1740&lt;'111'!$N$11),"x","")</f>
        <v/>
      </c>
      <c r="R1740" s="39" t="str">
        <f>IF(AND($M1740=$P$7,$B1740&lt;'111'!$N$11),"x","")</f>
        <v/>
      </c>
      <c r="S1740" s="39" t="str">
        <f>IF(ISERROR(FIND('112'!$M$9,G1740,1)),"",IF((AND(FIND('112'!$M$9,G1740,1)&gt;=1,$B1740&gt;='112'!$N$8,$B1740&lt;='112'!$O$8,OR($L1740='112'!$I$6,$M1740='112'!$I$6))),"x",""))</f>
        <v/>
      </c>
      <c r="T1740" s="39" t="str">
        <f>IF(ISERROR(FIND('112'!$M$9,G1740,1)),"",IF((AND(LEFT(G1740,2)=LEFT('112'!$M$9,2),B1740&lt;'112'!$N$8,$L1740='112'!$I$6)),"x",""))</f>
        <v/>
      </c>
      <c r="U1740" s="39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39" t="str">
        <f>IF(OR(TH!L1740=TH!$W$7,M1740=TH!$W$7),"x","")</f>
        <v/>
      </c>
      <c r="X1740" s="39" t="str">
        <f>IF(AND(B1740&gt;='IN-NX'!$P$3,B1740&lt;='IN-NX'!$Q$3,'IN-NX'!$D$7=D1740,OR(LEFT(L1740,2)="15",AND(LEFT(M1740,2)&lt;&gt;"15",LEFT(M1740,2)&lt;&gt;"33"))),"x","")</f>
        <v/>
      </c>
      <c r="Y1740" s="39" t="str">
        <f>IF(AND(OR(LEFT(TH!L1740,2)="15",LEFT(TH!M1740,2)="15"),'152-CT'!$J$8=TH!F1740),"x","")</f>
        <v/>
      </c>
      <c r="Z1740" s="39" t="str">
        <f>IF(AND(OR(LEFT(TH!L1740,2)="15",LEFT(TH!M1740,2)="15"),TK!$E$7=TH!F1740),"x","")</f>
        <v/>
      </c>
      <c r="AA1740" s="39" t="str">
        <f>IF(AND(B1740&lt;=NKC!$N$8,B1740&gt;=NKC!$M$8),"x","")</f>
        <v/>
      </c>
      <c r="AB1740" s="821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99"/>
        <v/>
      </c>
      <c r="C1741" s="191"/>
      <c r="D1741" s="191"/>
      <c r="E1741" s="37"/>
      <c r="F1741" s="189"/>
      <c r="G1741" s="40"/>
      <c r="H1741" s="7"/>
      <c r="I1741" s="256"/>
      <c r="J1741" s="256"/>
      <c r="K1741" s="56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902" t="str">
        <f>IF(AND('341-CT'!$E$9=H1741,OR(LEFT(L1741,3)=$O$7,LEFT(M1741,3)=$O$7)),"x","")</f>
        <v/>
      </c>
      <c r="P1741" s="39" t="str">
        <f>IF(AND($B1741&gt;='111'!$N$11,$B1741&lt;='111'!$O$11,OR($L1741=$P$7,$M1741=$P$7)),"x","")</f>
        <v/>
      </c>
      <c r="Q1741" s="39" t="str">
        <f>IF(AND($L1741=$P$7,$B1741&lt;'111'!$N$11),"x","")</f>
        <v/>
      </c>
      <c r="R1741" s="39" t="str">
        <f>IF(AND($M1741=$P$7,$B1741&lt;'111'!$N$11),"x","")</f>
        <v/>
      </c>
      <c r="S1741" s="39" t="str">
        <f>IF(ISERROR(FIND('112'!$M$9,G1741,1)),"",IF((AND(FIND('112'!$M$9,G1741,1)&gt;=1,$B1741&gt;='112'!$N$8,$B1741&lt;='112'!$O$8,OR($L1741='112'!$I$6,$M1741='112'!$I$6))),"x",""))</f>
        <v/>
      </c>
      <c r="T1741" s="39" t="str">
        <f>IF(ISERROR(FIND('112'!$M$9,G1741,1)),"",IF((AND(LEFT(G1741,2)=LEFT('112'!$M$9,2),B1741&lt;'112'!$N$8,$L1741='112'!$I$6)),"x",""))</f>
        <v/>
      </c>
      <c r="U1741" s="39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39" t="str">
        <f>IF(OR(TH!L1741=TH!$W$7,M1741=TH!$W$7),"x","")</f>
        <v/>
      </c>
      <c r="X1741" s="39" t="str">
        <f>IF(AND(B1741&gt;='IN-NX'!$P$3,B1741&lt;='IN-NX'!$Q$3,'IN-NX'!$D$7=D1741,OR(LEFT(L1741,2)="15",AND(LEFT(M1741,2)&lt;&gt;"15",LEFT(M1741,2)&lt;&gt;"33"))),"x","")</f>
        <v/>
      </c>
      <c r="Y1741" s="39" t="str">
        <f>IF(AND(OR(LEFT(TH!L1741,2)="15",LEFT(TH!M1741,2)="15"),'152-CT'!$J$8=TH!F1741),"x","")</f>
        <v/>
      </c>
      <c r="Z1741" s="39" t="str">
        <f>IF(AND(OR(LEFT(TH!L1741,2)="15",LEFT(TH!M1741,2)="15"),TK!$E$7=TH!F1741),"x","")</f>
        <v/>
      </c>
      <c r="AA1741" s="39" t="str">
        <f>IF(AND(B1741&lt;=NKC!$N$8,B1741&gt;=NKC!$M$8),"x","")</f>
        <v/>
      </c>
      <c r="AB1741" s="821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 t="str">
        <f t="shared" si="99"/>
        <v/>
      </c>
      <c r="C1742" s="191"/>
      <c r="D1742" s="191"/>
      <c r="E1742" s="37"/>
      <c r="F1742" s="189"/>
      <c r="G1742" s="40"/>
      <c r="H1742" s="7"/>
      <c r="I1742" s="256"/>
      <c r="J1742" s="256"/>
      <c r="K1742" s="56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902" t="str">
        <f>IF(AND('341-CT'!$E$9=H1742,OR(LEFT(L1742,3)=$O$7,LEFT(M1742,3)=$O$7)),"x","")</f>
        <v/>
      </c>
      <c r="P1742" s="39" t="str">
        <f>IF(AND($B1742&gt;='111'!$N$11,$B1742&lt;='111'!$O$11,OR($L1742=$P$7,$M1742=$P$7)),"x","")</f>
        <v/>
      </c>
      <c r="Q1742" s="39" t="str">
        <f>IF(AND($L1742=$P$7,$B1742&lt;'111'!$N$11),"x","")</f>
        <v/>
      </c>
      <c r="R1742" s="39" t="str">
        <f>IF(AND($M1742=$P$7,$B1742&lt;'111'!$N$11),"x","")</f>
        <v/>
      </c>
      <c r="S1742" s="39" t="str">
        <f>IF(ISERROR(FIND('112'!$M$9,G1742,1)),"",IF((AND(FIND('112'!$M$9,G1742,1)&gt;=1,$B1742&gt;='112'!$N$8,$B1742&lt;='112'!$O$8,OR($L1742='112'!$I$6,$M1742='112'!$I$6))),"x",""))</f>
        <v/>
      </c>
      <c r="T1742" s="39" t="str">
        <f>IF(ISERROR(FIND('112'!$M$9,G1742,1)),"",IF((AND(LEFT(G1742,2)=LEFT('112'!$M$9,2),B1742&lt;'112'!$N$8,$L1742='112'!$I$6)),"x",""))</f>
        <v/>
      </c>
      <c r="U1742" s="39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39" t="str">
        <f>IF(OR(TH!L1742=TH!$W$7,M1742=TH!$W$7),"x","")</f>
        <v/>
      </c>
      <c r="X1742" s="39" t="str">
        <f>IF(AND(B1742&gt;='IN-NX'!$P$3,B1742&lt;='IN-NX'!$Q$3,'IN-NX'!$D$7=D1742,OR(LEFT(L1742,2)="15",AND(LEFT(M1742,2)&lt;&gt;"15",LEFT(M1742,2)&lt;&gt;"33"))),"x","")</f>
        <v/>
      </c>
      <c r="Y1742" s="39" t="str">
        <f>IF(AND(OR(LEFT(TH!L1742,2)="15",LEFT(TH!M1742,2)="15"),'152-CT'!$J$8=TH!F1742),"x","")</f>
        <v/>
      </c>
      <c r="Z1742" s="39" t="str">
        <f>IF(AND(OR(LEFT(TH!L1742,2)="15",LEFT(TH!M1742,2)="15"),TK!$E$7=TH!F1742),"x","")</f>
        <v/>
      </c>
      <c r="AA1742" s="39" t="str">
        <f>IF(AND(B1742&lt;=NKC!$N$8,B1742&gt;=NKC!$M$8),"x","")</f>
        <v/>
      </c>
      <c r="AB1742" s="821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99"/>
        <v/>
      </c>
      <c r="C1743" s="191"/>
      <c r="D1743" s="191"/>
      <c r="E1743" s="37"/>
      <c r="F1743" s="189"/>
      <c r="G1743" s="40"/>
      <c r="H1743" s="7"/>
      <c r="I1743" s="256"/>
      <c r="J1743" s="256"/>
      <c r="K1743" s="568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902" t="str">
        <f>IF(AND('341-CT'!$E$9=H1743,OR(LEFT(L1743,3)=$O$7,LEFT(M1743,3)=$O$7)),"x","")</f>
        <v/>
      </c>
      <c r="P1743" s="39" t="str">
        <f>IF(AND($B1743&gt;='111'!$N$11,$B1743&lt;='111'!$O$11,OR($L1743=$P$7,$M1743=$P$7)),"x","")</f>
        <v/>
      </c>
      <c r="Q1743" s="39" t="str">
        <f>IF(AND($L1743=$P$7,$B1743&lt;'111'!$N$11),"x","")</f>
        <v/>
      </c>
      <c r="R1743" s="39" t="str">
        <f>IF(AND($M1743=$P$7,$B1743&lt;'111'!$N$11),"x","")</f>
        <v/>
      </c>
      <c r="S1743" s="39" t="str">
        <f>IF(ISERROR(FIND('112'!$M$9,G1743,1)),"",IF((AND(FIND('112'!$M$9,G1743,1)&gt;=1,$B1743&gt;='112'!$N$8,$B1743&lt;='112'!$O$8,OR($L1743='112'!$I$6,$M1743='112'!$I$6))),"x",""))</f>
        <v/>
      </c>
      <c r="T1743" s="39" t="str">
        <f>IF(ISERROR(FIND('112'!$M$9,G1743,1)),"",IF((AND(LEFT(G1743,2)=LEFT('112'!$M$9,2),B1743&lt;'112'!$N$8,$L1743='112'!$I$6)),"x",""))</f>
        <v/>
      </c>
      <c r="U1743" s="39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39" t="str">
        <f>IF(OR(TH!L1743=TH!$W$7,M1743=TH!$W$7),"x","")</f>
        <v/>
      </c>
      <c r="X1743" s="39" t="str">
        <f>IF(AND(B1743&gt;='IN-NX'!$P$3,B1743&lt;='IN-NX'!$Q$3,'IN-NX'!$D$7=D1743,OR(LEFT(L1743,2)="15",AND(LEFT(M1743,2)&lt;&gt;"15",LEFT(M1743,2)&lt;&gt;"33"))),"x","")</f>
        <v/>
      </c>
      <c r="Y1743" s="39" t="str">
        <f>IF(AND(OR(LEFT(TH!L1743,2)="15",LEFT(TH!M1743,2)="15"),'152-CT'!$J$8=TH!F1743),"x","")</f>
        <v/>
      </c>
      <c r="Z1743" s="39" t="str">
        <f>IF(AND(OR(LEFT(TH!L1743,2)="15",LEFT(TH!M1743,2)="15"),TK!$E$7=TH!F1743),"x","")</f>
        <v/>
      </c>
      <c r="AA1743" s="39" t="str">
        <f>IF(AND(B1743&lt;=NKC!$N$8,B1743&gt;=NKC!$M$8),"x","")</f>
        <v/>
      </c>
      <c r="AB1743" s="821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99"/>
        <v/>
      </c>
      <c r="C1744" s="191"/>
      <c r="D1744" s="191"/>
      <c r="E1744" s="37"/>
      <c r="F1744" s="40"/>
      <c r="G1744" s="40"/>
      <c r="H1744" s="7"/>
      <c r="I1744" s="256"/>
      <c r="J1744" s="256"/>
      <c r="K1744" s="568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902" t="str">
        <f>IF(AND('341-CT'!$E$9=H1744,OR(LEFT(L1744,3)=$O$7,LEFT(M1744,3)=$O$7)),"x","")</f>
        <v/>
      </c>
      <c r="P1744" s="39" t="str">
        <f>IF(AND($B1744&gt;='111'!$N$11,$B1744&lt;='111'!$O$11,OR($L1744=$P$7,$M1744=$P$7)),"x","")</f>
        <v/>
      </c>
      <c r="Q1744" s="39" t="str">
        <f>IF(AND($L1744=$P$7,$B1744&lt;'111'!$N$11),"x","")</f>
        <v/>
      </c>
      <c r="R1744" s="39" t="str">
        <f>IF(AND($M1744=$P$7,$B1744&lt;'111'!$N$11),"x","")</f>
        <v/>
      </c>
      <c r="S1744" s="39" t="str">
        <f>IF(ISERROR(FIND('112'!$M$9,G1744,1)),"",IF((AND(FIND('112'!$M$9,G1744,1)&gt;=1,$B1744&gt;='112'!$N$8,$B1744&lt;='112'!$O$8,OR($L1744='112'!$I$6,$M1744='112'!$I$6))),"x",""))</f>
        <v/>
      </c>
      <c r="T1744" s="39" t="str">
        <f>IF(ISERROR(FIND('112'!$M$9,G1744,1)),"",IF((AND(LEFT(G1744,2)=LEFT('112'!$M$9,2),B1744&lt;'112'!$N$8,$L1744='112'!$I$6)),"x",""))</f>
        <v/>
      </c>
      <c r="U1744" s="39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39" t="str">
        <f>IF(OR(TH!L1744=TH!$W$7,M1744=TH!$W$7),"x","")</f>
        <v/>
      </c>
      <c r="X1744" s="39" t="str">
        <f>IF(AND(B1744&gt;='IN-NX'!$P$3,B1744&lt;='IN-NX'!$Q$3,'IN-NX'!$D$7=D1744,OR(LEFT(L1744,2)="15",AND(LEFT(M1744,2)&lt;&gt;"15",LEFT(M1744,2)&lt;&gt;"33"))),"x","")</f>
        <v/>
      </c>
      <c r="Y1744" s="39" t="str">
        <f>IF(AND(OR(LEFT(TH!L1744,2)="15",LEFT(TH!M1744,2)="15"),'152-CT'!$J$8=TH!F1744),"x","")</f>
        <v/>
      </c>
      <c r="Z1744" s="39" t="str">
        <f>IF(AND(OR(LEFT(TH!L1744,2)="15",LEFT(TH!M1744,2)="15"),TK!$E$7=TH!F1744),"x","")</f>
        <v/>
      </c>
      <c r="AA1744" s="39" t="str">
        <f>IF(AND(B1744&lt;=NKC!$N$8,B1744&gt;=NKC!$M$8),"x","")</f>
        <v/>
      </c>
      <c r="AB1744" s="821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99"/>
        <v/>
      </c>
      <c r="C1745" s="191"/>
      <c r="D1745" s="191"/>
      <c r="E1745" s="37"/>
      <c r="F1745" s="189"/>
      <c r="G1745" s="40"/>
      <c r="H1745" s="7"/>
      <c r="I1745" s="256"/>
      <c r="J1745" s="256"/>
      <c r="K1745" s="568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902" t="str">
        <f>IF(AND('341-CT'!$E$9=H1745,OR(LEFT(L1745,3)=$O$7,LEFT(M1745,3)=$O$7)),"x","")</f>
        <v/>
      </c>
      <c r="P1745" s="39" t="str">
        <f>IF(AND($B1745&gt;='111'!$N$11,$B1745&lt;='111'!$O$11,OR($L1745=$P$7,$M1745=$P$7)),"x","")</f>
        <v/>
      </c>
      <c r="Q1745" s="39" t="str">
        <f>IF(AND($L1745=$P$7,$B1745&lt;'111'!$N$11),"x","")</f>
        <v/>
      </c>
      <c r="R1745" s="39" t="str">
        <f>IF(AND($M1745=$P$7,$B1745&lt;'111'!$N$11),"x","")</f>
        <v/>
      </c>
      <c r="S1745" s="39" t="str">
        <f>IF(ISERROR(FIND('112'!$M$9,G1745,1)),"",IF((AND(FIND('112'!$M$9,G1745,1)&gt;=1,$B1745&gt;='112'!$N$8,$B1745&lt;='112'!$O$8,OR($L1745='112'!$I$6,$M1745='112'!$I$6))),"x",""))</f>
        <v/>
      </c>
      <c r="T1745" s="39" t="str">
        <f>IF(ISERROR(FIND('112'!$M$9,G1745,1)),"",IF((AND(LEFT(G1745,2)=LEFT('112'!$M$9,2),B1745&lt;'112'!$N$8,$L1745='112'!$I$6)),"x",""))</f>
        <v/>
      </c>
      <c r="U1745" s="39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39" t="str">
        <f>IF(OR(TH!L1745=TH!$W$7,M1745=TH!$W$7),"x","")</f>
        <v/>
      </c>
      <c r="X1745" s="39" t="str">
        <f>IF(AND(B1745&gt;='IN-NX'!$P$3,B1745&lt;='IN-NX'!$Q$3,'IN-NX'!$D$7=D1745,OR(LEFT(L1745,2)="15",AND(LEFT(M1745,2)&lt;&gt;"15",LEFT(M1745,2)&lt;&gt;"33"))),"x","")</f>
        <v/>
      </c>
      <c r="Y1745" s="39" t="str">
        <f>IF(AND(OR(LEFT(TH!L1745,2)="15",LEFT(TH!M1745,2)="15"),'152-CT'!$J$8=TH!F1745),"x","")</f>
        <v/>
      </c>
      <c r="Z1745" s="39" t="str">
        <f>IF(AND(OR(LEFT(TH!L1745,2)="15",LEFT(TH!M1745,2)="15"),TK!$E$7=TH!F1745),"x","")</f>
        <v/>
      </c>
      <c r="AA1745" s="39" t="str">
        <f>IF(AND(B1745&lt;=NKC!$N$8,B1745&gt;=NKC!$M$8),"x","")</f>
        <v/>
      </c>
      <c r="AB1745" s="821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99"/>
        <v/>
      </c>
      <c r="C1746" s="191"/>
      <c r="D1746" s="191"/>
      <c r="E1746" s="37"/>
      <c r="F1746" s="296"/>
      <c r="G1746" s="40"/>
      <c r="H1746" s="7"/>
      <c r="I1746" s="256"/>
      <c r="J1746" s="256"/>
      <c r="K1746" s="568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902" t="str">
        <f>IF(AND('341-CT'!$E$9=H1746,OR(LEFT(L1746,3)=$O$7,LEFT(M1746,3)=$O$7)),"x","")</f>
        <v/>
      </c>
      <c r="P1746" s="39" t="str">
        <f>IF(AND($B1746&gt;='111'!$N$11,$B1746&lt;='111'!$O$11,OR($L1746=$P$7,$M1746=$P$7)),"x","")</f>
        <v/>
      </c>
      <c r="Q1746" s="39" t="str">
        <f>IF(AND($L1746=$P$7,$B1746&lt;'111'!$N$11),"x","")</f>
        <v/>
      </c>
      <c r="R1746" s="39" t="str">
        <f>IF(AND($M1746=$P$7,$B1746&lt;'111'!$N$11),"x","")</f>
        <v/>
      </c>
      <c r="S1746" s="39" t="str">
        <f>IF(ISERROR(FIND('112'!$M$9,G1746,1)),"",IF((AND(FIND('112'!$M$9,G1746,1)&gt;=1,$B1746&gt;='112'!$N$8,$B1746&lt;='112'!$O$8,OR($L1746='112'!$I$6,$M1746='112'!$I$6))),"x",""))</f>
        <v/>
      </c>
      <c r="T1746" s="39" t="str">
        <f>IF(ISERROR(FIND('112'!$M$9,G1746,1)),"",IF((AND(LEFT(G1746,2)=LEFT('112'!$M$9,2),B1746&lt;'112'!$N$8,$L1746='112'!$I$6)),"x",""))</f>
        <v/>
      </c>
      <c r="U1746" s="39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39" t="str">
        <f>IF(OR(TH!L1746=TH!$W$7,M1746=TH!$W$7),"x","")</f>
        <v/>
      </c>
      <c r="X1746" s="39" t="str">
        <f>IF(AND(B1746&gt;='IN-NX'!$P$3,B1746&lt;='IN-NX'!$Q$3,'IN-NX'!$D$7=D1746,OR(LEFT(L1746,2)="15",AND(LEFT(M1746,2)&lt;&gt;"15",LEFT(M1746,2)&lt;&gt;"33"))),"x","")</f>
        <v/>
      </c>
      <c r="Y1746" s="39" t="str">
        <f>IF(AND(OR(LEFT(TH!L1746,2)="15",LEFT(TH!M1746,2)="15"),'152-CT'!$J$8=TH!F1746),"x","")</f>
        <v/>
      </c>
      <c r="Z1746" s="39" t="str">
        <f>IF(AND(OR(LEFT(TH!L1746,2)="15",LEFT(TH!M1746,2)="15"),TK!$E$7=TH!F1746),"x","")</f>
        <v/>
      </c>
      <c r="AA1746" s="39" t="str">
        <f>IF(AND(B1746&lt;=NKC!$N$8,B1746&gt;=NKC!$M$8),"x","")</f>
        <v/>
      </c>
      <c r="AB1746" s="821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99"/>
        <v/>
      </c>
      <c r="C1747" s="191"/>
      <c r="D1747" s="37"/>
      <c r="E1747" s="191"/>
      <c r="F1747" s="296"/>
      <c r="G1747" s="40"/>
      <c r="H1747" s="7"/>
      <c r="I1747" s="256"/>
      <c r="J1747" s="256"/>
      <c r="K1747" s="568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902" t="str">
        <f>IF(AND('341-CT'!$E$9=H1747,OR(LEFT(L1747,3)=$O$7,LEFT(M1747,3)=$O$7)),"x","")</f>
        <v/>
      </c>
      <c r="P1747" s="39" t="str">
        <f>IF(AND($B1747&gt;='111'!$N$11,$B1747&lt;='111'!$O$11,OR($L1747=$P$7,$M1747=$P$7)),"x","")</f>
        <v/>
      </c>
      <c r="Q1747" s="39" t="str">
        <f>IF(AND($L1747=$P$7,$B1747&lt;'111'!$N$11),"x","")</f>
        <v/>
      </c>
      <c r="R1747" s="39" t="str">
        <f>IF(AND($M1747=$P$7,$B1747&lt;'111'!$N$11),"x","")</f>
        <v/>
      </c>
      <c r="S1747" s="39" t="str">
        <f>IF(ISERROR(FIND('112'!$M$9,G1747,1)),"",IF((AND(FIND('112'!$M$9,G1747,1)&gt;=1,$B1747&gt;='112'!$N$8,$B1747&lt;='112'!$O$8,OR($L1747='112'!$I$6,$M1747='112'!$I$6))),"x",""))</f>
        <v/>
      </c>
      <c r="T1747" s="39" t="str">
        <f>IF(ISERROR(FIND('112'!$M$9,G1747,1)),"",IF((AND(LEFT(G1747,2)=LEFT('112'!$M$9,2),B1747&lt;'112'!$N$8,$L1747='112'!$I$6)),"x",""))</f>
        <v/>
      </c>
      <c r="U1747" s="39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39" t="str">
        <f>IF(OR(TH!L1747=TH!$W$7,M1747=TH!$W$7),"x","")</f>
        <v/>
      </c>
      <c r="X1747" s="39" t="str">
        <f>IF(AND(B1747&gt;='IN-NX'!$P$3,B1747&lt;='IN-NX'!$Q$3,'IN-NX'!$D$7=D1747,OR(LEFT(L1747,2)="15",AND(LEFT(M1747,2)&lt;&gt;"15",LEFT(M1747,2)&lt;&gt;"33"))),"x","")</f>
        <v/>
      </c>
      <c r="Y1747" s="39" t="str">
        <f>IF(AND(OR(LEFT(TH!L1747,2)="15",LEFT(TH!M1747,2)="15"),'152-CT'!$J$8=TH!F1747),"x","")</f>
        <v/>
      </c>
      <c r="Z1747" s="39" t="str">
        <f>IF(AND(OR(LEFT(TH!L1747,2)="15",LEFT(TH!M1747,2)="15"),TK!$E$7=TH!F1747),"x","")</f>
        <v/>
      </c>
      <c r="AA1747" s="39" t="str">
        <f>IF(AND(B1747&lt;=NKC!$N$8,B1747&gt;=NKC!$M$8),"x","")</f>
        <v/>
      </c>
      <c r="AB1747" s="821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99"/>
        <v/>
      </c>
      <c r="C1748" s="191"/>
      <c r="D1748" s="37"/>
      <c r="E1748" s="191"/>
      <c r="F1748" s="192"/>
      <c r="G1748" s="468"/>
      <c r="H1748" s="193"/>
      <c r="I1748" s="256"/>
      <c r="J1748" s="256"/>
      <c r="K1748" s="56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902" t="str">
        <f>IF(AND('341-CT'!$E$9=H1748,OR(LEFT(L1748,3)=$O$7,LEFT(M1748,3)=$O$7)),"x","")</f>
        <v/>
      </c>
      <c r="P1748" s="39" t="str">
        <f>IF(AND($B1748&gt;='111'!$N$11,$B1748&lt;='111'!$O$11,OR($L1748=$P$7,$M1748=$P$7)),"x","")</f>
        <v/>
      </c>
      <c r="Q1748" s="39" t="str">
        <f>IF(AND($L1748=$P$7,$B1748&lt;'111'!$N$11),"x","")</f>
        <v/>
      </c>
      <c r="R1748" s="39" t="str">
        <f>IF(AND($M1748=$P$7,$B1748&lt;'111'!$N$11),"x","")</f>
        <v/>
      </c>
      <c r="S1748" s="39" t="str">
        <f>IF(ISERROR(FIND('112'!$M$9,G1748,1)),"",IF((AND(FIND('112'!$M$9,G1748,1)&gt;=1,$B1748&gt;='112'!$N$8,$B1748&lt;='112'!$O$8,OR($L1748='112'!$I$6,$M1748='112'!$I$6))),"x",""))</f>
        <v/>
      </c>
      <c r="T1748" s="39" t="str">
        <f>IF(ISERROR(FIND('112'!$M$9,G1748,1)),"",IF((AND(LEFT(G1748,2)=LEFT('112'!$M$9,2),B1748&lt;'112'!$N$8,$L1748='112'!$I$6)),"x",""))</f>
        <v/>
      </c>
      <c r="U1748" s="39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39" t="str">
        <f>IF(OR(TH!L1748=TH!$W$7,M1748=TH!$W$7),"x","")</f>
        <v/>
      </c>
      <c r="X1748" s="39" t="str">
        <f>IF(AND(B1748&gt;='IN-NX'!$P$3,B1748&lt;='IN-NX'!$Q$3,'IN-NX'!$D$7=D1748,OR(LEFT(L1748,2)="15",AND(LEFT(M1748,2)&lt;&gt;"15",LEFT(M1748,2)&lt;&gt;"33"))),"x","")</f>
        <v/>
      </c>
      <c r="Y1748" s="39" t="str">
        <f>IF(AND(OR(LEFT(TH!L1748,2)="15",LEFT(TH!M1748,2)="15"),'152-CT'!$J$8=TH!F1748),"x","")</f>
        <v/>
      </c>
      <c r="Z1748" s="39" t="str">
        <f>IF(AND(OR(LEFT(TH!L1748,2)="15",LEFT(TH!M1748,2)="15"),TK!$E$7=TH!F1748),"x","")</f>
        <v/>
      </c>
      <c r="AA1748" s="39" t="str">
        <f>IF(AND(B1748&lt;=NKC!$N$8,B1748&gt;=NKC!$M$8),"x","")</f>
        <v/>
      </c>
      <c r="AB1748" s="821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99"/>
        <v/>
      </c>
      <c r="C1749" s="191"/>
      <c r="D1749" s="191"/>
      <c r="E1749" s="37"/>
      <c r="F1749" s="40"/>
      <c r="G1749" s="40"/>
      <c r="H1749" s="7"/>
      <c r="I1749" s="256"/>
      <c r="J1749" s="256"/>
      <c r="K1749" s="56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902" t="str">
        <f>IF(AND('341-CT'!$E$9=H1749,OR(LEFT(L1749,3)=$O$7,LEFT(M1749,3)=$O$7)),"x","")</f>
        <v/>
      </c>
      <c r="P1749" s="39" t="str">
        <f>IF(AND($B1749&gt;='111'!$N$11,$B1749&lt;='111'!$O$11,OR($L1749=$P$7,$M1749=$P$7)),"x","")</f>
        <v/>
      </c>
      <c r="Q1749" s="39" t="str">
        <f>IF(AND($L1749=$P$7,$B1749&lt;'111'!$N$11),"x","")</f>
        <v/>
      </c>
      <c r="R1749" s="39" t="str">
        <f>IF(AND($M1749=$P$7,$B1749&lt;'111'!$N$11),"x","")</f>
        <v/>
      </c>
      <c r="S1749" s="39" t="str">
        <f>IF(ISERROR(FIND('112'!$M$9,G1749,1)),"",IF((AND(FIND('112'!$M$9,G1749,1)&gt;=1,$B1749&gt;='112'!$N$8,$B1749&lt;='112'!$O$8,OR($L1749='112'!$I$6,$M1749='112'!$I$6))),"x",""))</f>
        <v/>
      </c>
      <c r="T1749" s="39" t="str">
        <f>IF(ISERROR(FIND('112'!$M$9,G1749,1)),"",IF((AND(LEFT(G1749,2)=LEFT('112'!$M$9,2),B1749&lt;'112'!$N$8,$L1749='112'!$I$6)),"x",""))</f>
        <v/>
      </c>
      <c r="U1749" s="39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39" t="str">
        <f>IF(OR(TH!L1749=TH!$W$7,M1749=TH!$W$7),"x","")</f>
        <v/>
      </c>
      <c r="X1749" s="39" t="str">
        <f>IF(AND(B1749&gt;='IN-NX'!$P$3,B1749&lt;='IN-NX'!$Q$3,'IN-NX'!$D$7=D1749,OR(LEFT(L1749,2)="15",AND(LEFT(M1749,2)&lt;&gt;"15",LEFT(M1749,2)&lt;&gt;"33"))),"x","")</f>
        <v/>
      </c>
      <c r="Y1749" s="39" t="str">
        <f>IF(AND(OR(LEFT(TH!L1749,2)="15",LEFT(TH!M1749,2)="15"),'152-CT'!$J$8=TH!F1749),"x","")</f>
        <v/>
      </c>
      <c r="Z1749" s="39" t="str">
        <f>IF(AND(OR(LEFT(TH!L1749,2)="15",LEFT(TH!M1749,2)="15"),TK!$E$7=TH!F1749),"x","")</f>
        <v/>
      </c>
      <c r="AA1749" s="39" t="str">
        <f>IF(AND(B1749&lt;=NKC!$N$8,B1749&gt;=NKC!$M$8),"x","")</f>
        <v/>
      </c>
      <c r="AB1749" s="821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 t="str">
        <f t="shared" si="99"/>
        <v/>
      </c>
      <c r="C1750" s="191"/>
      <c r="D1750" s="191"/>
      <c r="E1750" s="37"/>
      <c r="F1750" s="296"/>
      <c r="G1750" s="40"/>
      <c r="H1750" s="7"/>
      <c r="I1750" s="256"/>
      <c r="J1750" s="256"/>
      <c r="K1750" s="568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902" t="str">
        <f>IF(AND('341-CT'!$E$9=H1750,OR(LEFT(L1750,3)=$O$7,LEFT(M1750,3)=$O$7)),"x","")</f>
        <v/>
      </c>
      <c r="P1750" s="39" t="str">
        <f>IF(AND($B1750&gt;='111'!$N$11,$B1750&lt;='111'!$O$11,OR($L1750=$P$7,$M1750=$P$7)),"x","")</f>
        <v/>
      </c>
      <c r="Q1750" s="39" t="str">
        <f>IF(AND($L1750=$P$7,$B1750&lt;'111'!$N$11),"x","")</f>
        <v/>
      </c>
      <c r="R1750" s="39" t="str">
        <f>IF(AND($M1750=$P$7,$B1750&lt;'111'!$N$11),"x","")</f>
        <v/>
      </c>
      <c r="S1750" s="39" t="str">
        <f>IF(ISERROR(FIND('112'!$M$9,G1750,1)),"",IF((AND(FIND('112'!$M$9,G1750,1)&gt;=1,$B1750&gt;='112'!$N$8,$B1750&lt;='112'!$O$8,OR($L1750='112'!$I$6,$M1750='112'!$I$6))),"x",""))</f>
        <v/>
      </c>
      <c r="T1750" s="39" t="str">
        <f>IF(ISERROR(FIND('112'!$M$9,G1750,1)),"",IF((AND(LEFT(G1750,2)=LEFT('112'!$M$9,2),B1750&lt;'112'!$N$8,$L1750='112'!$I$6)),"x",""))</f>
        <v/>
      </c>
      <c r="U1750" s="39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39" t="str">
        <f>IF(OR(TH!L1750=TH!$W$7,M1750=TH!$W$7),"x","")</f>
        <v/>
      </c>
      <c r="X1750" s="39" t="str">
        <f>IF(AND(B1750&gt;='IN-NX'!$P$3,B1750&lt;='IN-NX'!$Q$3,'IN-NX'!$D$7=D1750,OR(LEFT(L1750,2)="15",AND(LEFT(M1750,2)&lt;&gt;"15",LEFT(M1750,2)&lt;&gt;"33"))),"x","")</f>
        <v/>
      </c>
      <c r="Y1750" s="39" t="str">
        <f>IF(AND(OR(LEFT(TH!L1750,2)="15",LEFT(TH!M1750,2)="15"),'152-CT'!$J$8=TH!F1750),"x","")</f>
        <v/>
      </c>
      <c r="Z1750" s="39" t="str">
        <f>IF(AND(OR(LEFT(TH!L1750,2)="15",LEFT(TH!M1750,2)="15"),TK!$E$7=TH!F1750),"x","")</f>
        <v/>
      </c>
      <c r="AA1750" s="39" t="str">
        <f>IF(AND(B1750&lt;=NKC!$N$8,B1750&gt;=NKC!$M$8),"x","")</f>
        <v/>
      </c>
      <c r="AB1750" s="821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 t="str">
        <f t="shared" si="99"/>
        <v/>
      </c>
      <c r="C1751" s="191"/>
      <c r="D1751" s="191"/>
      <c r="E1751" s="37"/>
      <c r="F1751" s="189"/>
      <c r="G1751" s="40"/>
      <c r="H1751" s="7"/>
      <c r="I1751" s="256"/>
      <c r="J1751" s="256"/>
      <c r="K1751" s="568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902" t="str">
        <f>IF(AND('341-CT'!$E$9=H1751,OR(LEFT(L1751,3)=$O$7,LEFT(M1751,3)=$O$7)),"x","")</f>
        <v/>
      </c>
      <c r="P1751" s="39" t="str">
        <f>IF(AND($B1751&gt;='111'!$N$11,$B1751&lt;='111'!$O$11,OR($L1751=$P$7,$M1751=$P$7)),"x","")</f>
        <v/>
      </c>
      <c r="Q1751" s="39" t="str">
        <f>IF(AND($L1751=$P$7,$B1751&lt;'111'!$N$11),"x","")</f>
        <v/>
      </c>
      <c r="R1751" s="39" t="str">
        <f>IF(AND($M1751=$P$7,$B1751&lt;'111'!$N$11),"x","")</f>
        <v/>
      </c>
      <c r="S1751" s="39" t="str">
        <f>IF(ISERROR(FIND('112'!$M$9,G1751,1)),"",IF((AND(FIND('112'!$M$9,G1751,1)&gt;=1,$B1751&gt;='112'!$N$8,$B1751&lt;='112'!$O$8,OR($L1751='112'!$I$6,$M1751='112'!$I$6))),"x",""))</f>
        <v/>
      </c>
      <c r="T1751" s="39" t="str">
        <f>IF(ISERROR(FIND('112'!$M$9,G1751,1)),"",IF((AND(LEFT(G1751,2)=LEFT('112'!$M$9,2),B1751&lt;'112'!$N$8,$L1751='112'!$I$6)),"x",""))</f>
        <v/>
      </c>
      <c r="U1751" s="39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39" t="str">
        <f>IF(OR(TH!L1751=TH!$W$7,M1751=TH!$W$7),"x","")</f>
        <v/>
      </c>
      <c r="X1751" s="39" t="str">
        <f>IF(AND(B1751&gt;='IN-NX'!$P$3,B1751&lt;='IN-NX'!$Q$3,'IN-NX'!$D$7=D1751,OR(LEFT(L1751,2)="15",AND(LEFT(M1751,2)&lt;&gt;"15",LEFT(M1751,2)&lt;&gt;"33"))),"x","")</f>
        <v/>
      </c>
      <c r="Y1751" s="39" t="str">
        <f>IF(AND(OR(LEFT(TH!L1751,2)="15",LEFT(TH!M1751,2)="15"),'152-CT'!$J$8=TH!F1751),"x","")</f>
        <v/>
      </c>
      <c r="Z1751" s="39" t="str">
        <f>IF(AND(OR(LEFT(TH!L1751,2)="15",LEFT(TH!M1751,2)="15"),TK!$E$7=TH!F1751),"x","")</f>
        <v/>
      </c>
      <c r="AA1751" s="39" t="str">
        <f>IF(AND(B1751&lt;=NKC!$N$8,B1751&gt;=NKC!$M$8),"x","")</f>
        <v/>
      </c>
      <c r="AB1751" s="821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 t="str">
        <f t="shared" si="99"/>
        <v/>
      </c>
      <c r="C1752" s="191"/>
      <c r="D1752" s="191"/>
      <c r="E1752" s="37"/>
      <c r="F1752" s="189"/>
      <c r="G1752" s="40"/>
      <c r="H1752" s="7"/>
      <c r="I1752" s="256"/>
      <c r="J1752" s="256"/>
      <c r="K1752" s="568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902" t="str">
        <f>IF(AND('341-CT'!$E$9=H1752,OR(LEFT(L1752,3)=$O$7,LEFT(M1752,3)=$O$7)),"x","")</f>
        <v/>
      </c>
      <c r="P1752" s="39" t="str">
        <f>IF(AND($B1752&gt;='111'!$N$11,$B1752&lt;='111'!$O$11,OR($L1752=$P$7,$M1752=$P$7)),"x","")</f>
        <v/>
      </c>
      <c r="Q1752" s="39" t="str">
        <f>IF(AND($L1752=$P$7,$B1752&lt;'111'!$N$11),"x","")</f>
        <v/>
      </c>
      <c r="R1752" s="39" t="str">
        <f>IF(AND($M1752=$P$7,$B1752&lt;'111'!$N$11),"x","")</f>
        <v/>
      </c>
      <c r="S1752" s="39" t="str">
        <f>IF(ISERROR(FIND('112'!$M$9,G1752,1)),"",IF((AND(FIND('112'!$M$9,G1752,1)&gt;=1,$B1752&gt;='112'!$N$8,$B1752&lt;='112'!$O$8,OR($L1752='112'!$I$6,$M1752='112'!$I$6))),"x",""))</f>
        <v/>
      </c>
      <c r="T1752" s="39" t="str">
        <f>IF(ISERROR(FIND('112'!$M$9,G1752,1)),"",IF((AND(LEFT(G1752,2)=LEFT('112'!$M$9,2),B1752&lt;'112'!$N$8,$L1752='112'!$I$6)),"x",""))</f>
        <v/>
      </c>
      <c r="U1752" s="39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39" t="str">
        <f>IF(OR(TH!L1752=TH!$W$7,M1752=TH!$W$7),"x","")</f>
        <v/>
      </c>
      <c r="X1752" s="39" t="str">
        <f>IF(AND(B1752&gt;='IN-NX'!$P$3,B1752&lt;='IN-NX'!$Q$3,'IN-NX'!$D$7=D1752,OR(LEFT(L1752,2)="15",AND(LEFT(M1752,2)&lt;&gt;"15",LEFT(M1752,2)&lt;&gt;"33"))),"x","")</f>
        <v/>
      </c>
      <c r="Y1752" s="39" t="str">
        <f>IF(AND(OR(LEFT(TH!L1752,2)="15",LEFT(TH!M1752,2)="15"),'152-CT'!$J$8=TH!F1752),"x","")</f>
        <v/>
      </c>
      <c r="Z1752" s="39" t="str">
        <f>IF(AND(OR(LEFT(TH!L1752,2)="15",LEFT(TH!M1752,2)="15"),TK!$E$7=TH!F1752),"x","")</f>
        <v/>
      </c>
      <c r="AA1752" s="39" t="str">
        <f>IF(AND(B1752&lt;=NKC!$N$8,B1752&gt;=NKC!$M$8),"x","")</f>
        <v/>
      </c>
      <c r="AB1752" s="821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si="99"/>
        <v/>
      </c>
      <c r="C1753" s="191"/>
      <c r="D1753" s="191"/>
      <c r="E1753" s="37"/>
      <c r="F1753" s="189"/>
      <c r="G1753" s="40"/>
      <c r="H1753" s="7"/>
      <c r="I1753" s="256"/>
      <c r="J1753" s="256"/>
      <c r="K1753" s="568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902" t="str">
        <f>IF(AND('341-CT'!$E$9=H1753,OR(LEFT(L1753,3)=$O$7,LEFT(M1753,3)=$O$7)),"x","")</f>
        <v/>
      </c>
      <c r="P1753" s="39" t="str">
        <f>IF(AND($B1753&gt;='111'!$N$11,$B1753&lt;='111'!$O$11,OR($L1753=$P$7,$M1753=$P$7)),"x","")</f>
        <v/>
      </c>
      <c r="Q1753" s="39" t="str">
        <f>IF(AND($L1753=$P$7,$B1753&lt;'111'!$N$11),"x","")</f>
        <v/>
      </c>
      <c r="R1753" s="39" t="str">
        <f>IF(AND($M1753=$P$7,$B1753&lt;'111'!$N$11),"x","")</f>
        <v/>
      </c>
      <c r="S1753" s="39" t="str">
        <f>IF(ISERROR(FIND('112'!$M$9,G1753,1)),"",IF((AND(FIND('112'!$M$9,G1753,1)&gt;=1,$B1753&gt;='112'!$N$8,$B1753&lt;='112'!$O$8,OR($L1753='112'!$I$6,$M1753='112'!$I$6))),"x",""))</f>
        <v/>
      </c>
      <c r="T1753" s="39" t="str">
        <f>IF(ISERROR(FIND('112'!$M$9,G1753,1)),"",IF((AND(LEFT(G1753,2)=LEFT('112'!$M$9,2),B1753&lt;'112'!$N$8,$L1753='112'!$I$6)),"x",""))</f>
        <v/>
      </c>
      <c r="U1753" s="39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39" t="str">
        <f>IF(OR(TH!L1753=TH!$W$7,M1753=TH!$W$7),"x","")</f>
        <v/>
      </c>
      <c r="X1753" s="39" t="str">
        <f>IF(AND(B1753&gt;='IN-NX'!$P$3,B1753&lt;='IN-NX'!$Q$3,'IN-NX'!$D$7=D1753,OR(LEFT(L1753,2)="15",AND(LEFT(M1753,2)&lt;&gt;"15",LEFT(M1753,2)&lt;&gt;"33"))),"x","")</f>
        <v/>
      </c>
      <c r="Y1753" s="39" t="str">
        <f>IF(AND(OR(LEFT(TH!L1753,2)="15",LEFT(TH!M1753,2)="15"),'152-CT'!$J$8=TH!F1753),"x","")</f>
        <v/>
      </c>
      <c r="Z1753" s="39" t="str">
        <f>IF(AND(OR(LEFT(TH!L1753,2)="15",LEFT(TH!M1753,2)="15"),TK!$E$7=TH!F1753),"x","")</f>
        <v/>
      </c>
      <c r="AA1753" s="39" t="str">
        <f>IF(AND(B1753&lt;=NKC!$N$8,B1753&gt;=NKC!$M$8),"x","")</f>
        <v/>
      </c>
      <c r="AB1753" s="821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99"/>
        <v/>
      </c>
      <c r="C1754" s="191"/>
      <c r="D1754" s="191"/>
      <c r="E1754" s="37"/>
      <c r="F1754" s="189"/>
      <c r="G1754" s="40"/>
      <c r="H1754" s="7"/>
      <c r="I1754" s="256"/>
      <c r="J1754" s="256"/>
      <c r="K1754" s="568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902" t="str">
        <f>IF(AND('341-CT'!$E$9=H1754,OR(LEFT(L1754,3)=$O$7,LEFT(M1754,3)=$O$7)),"x","")</f>
        <v/>
      </c>
      <c r="P1754" s="39" t="str">
        <f>IF(AND($B1754&gt;='111'!$N$11,$B1754&lt;='111'!$O$11,OR($L1754=$P$7,$M1754=$P$7)),"x","")</f>
        <v/>
      </c>
      <c r="Q1754" s="39" t="str">
        <f>IF(AND($L1754=$P$7,$B1754&lt;'111'!$N$11),"x","")</f>
        <v/>
      </c>
      <c r="R1754" s="39" t="str">
        <f>IF(AND($M1754=$P$7,$B1754&lt;'111'!$N$11),"x","")</f>
        <v/>
      </c>
      <c r="S1754" s="39" t="str">
        <f>IF(ISERROR(FIND('112'!$M$9,G1754,1)),"",IF((AND(FIND('112'!$M$9,G1754,1)&gt;=1,$B1754&gt;='112'!$N$8,$B1754&lt;='112'!$O$8,OR($L1754='112'!$I$6,$M1754='112'!$I$6))),"x",""))</f>
        <v/>
      </c>
      <c r="T1754" s="39" t="str">
        <f>IF(ISERROR(FIND('112'!$M$9,G1754,1)),"",IF((AND(LEFT(G1754,2)=LEFT('112'!$M$9,2),B1754&lt;'112'!$N$8,$L1754='112'!$I$6)),"x",""))</f>
        <v/>
      </c>
      <c r="U1754" s="39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39" t="str">
        <f>IF(OR(TH!L1754=TH!$W$7,M1754=TH!$W$7),"x","")</f>
        <v/>
      </c>
      <c r="X1754" s="39" t="str">
        <f>IF(AND(B1754&gt;='IN-NX'!$P$3,B1754&lt;='IN-NX'!$Q$3,'IN-NX'!$D$7=D1754,OR(LEFT(L1754,2)="15",AND(LEFT(M1754,2)&lt;&gt;"15",LEFT(M1754,2)&lt;&gt;"33"))),"x","")</f>
        <v/>
      </c>
      <c r="Y1754" s="39" t="str">
        <f>IF(AND(OR(LEFT(TH!L1754,2)="15",LEFT(TH!M1754,2)="15"),'152-CT'!$J$8=TH!F1754),"x","")</f>
        <v/>
      </c>
      <c r="Z1754" s="39" t="str">
        <f>IF(AND(OR(LEFT(TH!L1754,2)="15",LEFT(TH!M1754,2)="15"),TK!$E$7=TH!F1754),"x","")</f>
        <v/>
      </c>
      <c r="AA1754" s="39" t="str">
        <f>IF(AND(B1754&lt;=NKC!$N$8,B1754&gt;=NKC!$M$8),"x","")</f>
        <v/>
      </c>
      <c r="AB1754" s="821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99"/>
        <v/>
      </c>
      <c r="C1755" s="191"/>
      <c r="D1755" s="191"/>
      <c r="E1755" s="37"/>
      <c r="F1755" s="189"/>
      <c r="G1755" s="40"/>
      <c r="H1755" s="7"/>
      <c r="I1755" s="256"/>
      <c r="J1755" s="256"/>
      <c r="K1755" s="568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902" t="str">
        <f>IF(AND('341-CT'!$E$9=H1755,OR(LEFT(L1755,3)=$O$7,LEFT(M1755,3)=$O$7)),"x","")</f>
        <v/>
      </c>
      <c r="P1755" s="39" t="str">
        <f>IF(AND($B1755&gt;='111'!$N$11,$B1755&lt;='111'!$O$11,OR($L1755=$P$7,$M1755=$P$7)),"x","")</f>
        <v/>
      </c>
      <c r="Q1755" s="39" t="str">
        <f>IF(AND($L1755=$P$7,$B1755&lt;'111'!$N$11),"x","")</f>
        <v/>
      </c>
      <c r="R1755" s="39" t="str">
        <f>IF(AND($M1755=$P$7,$B1755&lt;'111'!$N$11),"x","")</f>
        <v/>
      </c>
      <c r="S1755" s="39" t="str">
        <f>IF(ISERROR(FIND('112'!$M$9,G1755,1)),"",IF((AND(FIND('112'!$M$9,G1755,1)&gt;=1,$B1755&gt;='112'!$N$8,$B1755&lt;='112'!$O$8,OR($L1755='112'!$I$6,$M1755='112'!$I$6))),"x",""))</f>
        <v/>
      </c>
      <c r="T1755" s="39" t="str">
        <f>IF(ISERROR(FIND('112'!$M$9,G1755,1)),"",IF((AND(LEFT(G1755,2)=LEFT('112'!$M$9,2),B1755&lt;'112'!$N$8,$L1755='112'!$I$6)),"x",""))</f>
        <v/>
      </c>
      <c r="U1755" s="39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39" t="str">
        <f>IF(OR(TH!L1755=TH!$W$7,M1755=TH!$W$7),"x","")</f>
        <v/>
      </c>
      <c r="X1755" s="39" t="str">
        <f>IF(AND(B1755&gt;='IN-NX'!$P$3,B1755&lt;='IN-NX'!$Q$3,'IN-NX'!$D$7=D1755,OR(LEFT(L1755,2)="15",AND(LEFT(M1755,2)&lt;&gt;"15",LEFT(M1755,2)&lt;&gt;"33"))),"x","")</f>
        <v/>
      </c>
      <c r="Y1755" s="39" t="str">
        <f>IF(AND(OR(LEFT(TH!L1755,2)="15",LEFT(TH!M1755,2)="15"),'152-CT'!$J$8=TH!F1755),"x","")</f>
        <v/>
      </c>
      <c r="Z1755" s="39" t="str">
        <f>IF(AND(OR(LEFT(TH!L1755,2)="15",LEFT(TH!M1755,2)="15"),TK!$E$7=TH!F1755),"x","")</f>
        <v/>
      </c>
      <c r="AA1755" s="39" t="str">
        <f>IF(AND(B1755&lt;=NKC!$N$8,B1755&gt;=NKC!$M$8),"x","")</f>
        <v/>
      </c>
      <c r="AB1755" s="821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99"/>
        <v/>
      </c>
      <c r="C1756" s="191"/>
      <c r="D1756" s="191"/>
      <c r="E1756" s="37"/>
      <c r="F1756" s="189"/>
      <c r="G1756" s="40"/>
      <c r="H1756" s="7"/>
      <c r="I1756" s="256"/>
      <c r="J1756" s="256"/>
      <c r="K1756" s="568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902" t="str">
        <f>IF(AND('341-CT'!$E$9=H1756,OR(LEFT(L1756,3)=$O$7,LEFT(M1756,3)=$O$7)),"x","")</f>
        <v/>
      </c>
      <c r="P1756" s="39" t="str">
        <f>IF(AND($B1756&gt;='111'!$N$11,$B1756&lt;='111'!$O$11,OR($L1756=$P$7,$M1756=$P$7)),"x","")</f>
        <v/>
      </c>
      <c r="Q1756" s="39" t="str">
        <f>IF(AND($L1756=$P$7,$B1756&lt;'111'!$N$11),"x","")</f>
        <v/>
      </c>
      <c r="R1756" s="39" t="str">
        <f>IF(AND($M1756=$P$7,$B1756&lt;'111'!$N$11),"x","")</f>
        <v/>
      </c>
      <c r="S1756" s="39" t="str">
        <f>IF(ISERROR(FIND('112'!$M$9,G1756,1)),"",IF((AND(FIND('112'!$M$9,G1756,1)&gt;=1,$B1756&gt;='112'!$N$8,$B1756&lt;='112'!$O$8,OR($L1756='112'!$I$6,$M1756='112'!$I$6))),"x",""))</f>
        <v/>
      </c>
      <c r="T1756" s="39" t="str">
        <f>IF(ISERROR(FIND('112'!$M$9,G1756,1)),"",IF((AND(LEFT(G1756,2)=LEFT('112'!$M$9,2),B1756&lt;'112'!$N$8,$L1756='112'!$I$6)),"x",""))</f>
        <v/>
      </c>
      <c r="U1756" s="39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39" t="str">
        <f>IF(OR(TH!L1756=TH!$W$7,M1756=TH!$W$7),"x","")</f>
        <v/>
      </c>
      <c r="X1756" s="39" t="str">
        <f>IF(AND(B1756&gt;='IN-NX'!$P$3,B1756&lt;='IN-NX'!$Q$3,'IN-NX'!$D$7=D1756,OR(LEFT(L1756,2)="15",AND(LEFT(M1756,2)&lt;&gt;"15",LEFT(M1756,2)&lt;&gt;"33"))),"x","")</f>
        <v/>
      </c>
      <c r="Y1756" s="39" t="str">
        <f>IF(AND(OR(LEFT(TH!L1756,2)="15",LEFT(TH!M1756,2)="15"),'152-CT'!$J$8=TH!F1756),"x","")</f>
        <v/>
      </c>
      <c r="Z1756" s="39" t="str">
        <f>IF(AND(OR(LEFT(TH!L1756,2)="15",LEFT(TH!M1756,2)="15"),TK!$E$7=TH!F1756),"x","")</f>
        <v/>
      </c>
      <c r="AA1756" s="39" t="str">
        <f>IF(AND(B1756&lt;=NKC!$N$8,B1756&gt;=NKC!$M$8),"x","")</f>
        <v/>
      </c>
      <c r="AB1756" s="821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99"/>
        <v/>
      </c>
      <c r="C1757" s="191"/>
      <c r="D1757" s="191"/>
      <c r="E1757" s="191"/>
      <c r="F1757" s="192"/>
      <c r="G1757" s="468"/>
      <c r="H1757" s="193"/>
      <c r="I1757" s="256"/>
      <c r="J1757" s="256"/>
      <c r="K1757" s="568"/>
      <c r="L1757" s="194"/>
      <c r="M1757" s="194"/>
      <c r="N1757" s="39" t="str">
        <f>IF(AND('331-CT'!$E$7=TH!H1757,OR(L1757="331",M1757="331")),"331",IF(AND(OR(L1757="131",M1757="131"),H1757='131-CT'!$E$7),"131",""))</f>
        <v/>
      </c>
      <c r="O1757" s="902" t="str">
        <f>IF(AND('341-CT'!$E$9=H1757,OR(LEFT(L1757,3)=$O$7,LEFT(M1757,3)=$O$7)),"x","")</f>
        <v/>
      </c>
      <c r="P1757" s="39" t="str">
        <f>IF(AND($B1757&gt;='111'!$N$11,$B1757&lt;='111'!$O$11,OR($L1757=$P$7,$M1757=$P$7)),"x","")</f>
        <v/>
      </c>
      <c r="Q1757" s="39" t="str">
        <f>IF(AND($L1757=$P$7,$B1757&lt;'111'!$N$11),"x","")</f>
        <v/>
      </c>
      <c r="R1757" s="39" t="str">
        <f>IF(AND($M1757=$P$7,$B1757&lt;'111'!$N$11),"x","")</f>
        <v/>
      </c>
      <c r="S1757" s="39" t="str">
        <f>IF(ISERROR(FIND('112'!$M$9,G1757,1)),"",IF((AND(FIND('112'!$M$9,G1757,1)&gt;=1,$B1757&gt;='112'!$N$8,$B1757&lt;='112'!$O$8,OR($L1757='112'!$I$6,$M1757='112'!$I$6))),"x",""))</f>
        <v/>
      </c>
      <c r="T1757" s="39" t="str">
        <f>IF(ISERROR(FIND('112'!$M$9,G1757,1)),"",IF((AND(LEFT(G1757,2)=LEFT('112'!$M$9,2),B1757&lt;'112'!$N$8,$L1757='112'!$I$6)),"x",""))</f>
        <v/>
      </c>
      <c r="U1757" s="39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39" t="str">
        <f>IF(OR(TH!L1757=TH!$W$7,M1757=TH!$W$7),"x","")</f>
        <v/>
      </c>
      <c r="X1757" s="39" t="str">
        <f>IF(AND(B1757&gt;='IN-NX'!$P$3,B1757&lt;='IN-NX'!$Q$3,'IN-NX'!$D$7=D1757,OR(LEFT(L1757,2)="15",AND(LEFT(M1757,2)&lt;&gt;"15",LEFT(M1757,2)&lt;&gt;"33"))),"x","")</f>
        <v/>
      </c>
      <c r="Y1757" s="39" t="str">
        <f>IF(AND(OR(LEFT(TH!L1757,2)="15",LEFT(TH!M1757,2)="15"),'152-CT'!$J$8=TH!F1757),"x","")</f>
        <v/>
      </c>
      <c r="Z1757" s="39" t="str">
        <f>IF(AND(OR(LEFT(TH!L1757,2)="15",LEFT(TH!M1757,2)="15"),TK!$E$7=TH!F1757),"x","")</f>
        <v/>
      </c>
      <c r="AA1757" s="39" t="str">
        <f>IF(AND(B1757&lt;=NKC!$N$8,B1757&gt;=NKC!$M$8),"x","")</f>
        <v/>
      </c>
      <c r="AB1757" s="821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99"/>
        <v/>
      </c>
      <c r="C1758" s="191"/>
      <c r="D1758" s="191"/>
      <c r="E1758" s="191"/>
      <c r="F1758" s="192"/>
      <c r="G1758" s="468"/>
      <c r="H1758" s="193"/>
      <c r="I1758" s="256"/>
      <c r="J1758" s="256"/>
      <c r="K1758" s="568"/>
      <c r="L1758" s="194"/>
      <c r="M1758" s="194"/>
      <c r="N1758" s="39" t="str">
        <f>IF(AND('331-CT'!$E$7=TH!H1758,OR(L1758="331",M1758="331")),"331",IF(AND(OR(L1758="131",M1758="131"),H1758='131-CT'!$E$7),"131",""))</f>
        <v/>
      </c>
      <c r="O1758" s="902" t="str">
        <f>IF(AND('341-CT'!$E$9=H1758,OR(LEFT(L1758,3)=$O$7,LEFT(M1758,3)=$O$7)),"x","")</f>
        <v/>
      </c>
      <c r="P1758" s="39" t="str">
        <f>IF(AND($B1758&gt;='111'!$N$11,$B1758&lt;='111'!$O$11,OR($L1758=$P$7,$M1758=$P$7)),"x","")</f>
        <v/>
      </c>
      <c r="Q1758" s="39" t="str">
        <f>IF(AND($L1758=$P$7,$B1758&lt;'111'!$N$11),"x","")</f>
        <v/>
      </c>
      <c r="R1758" s="39" t="str">
        <f>IF(AND($M1758=$P$7,$B1758&lt;'111'!$N$11),"x","")</f>
        <v/>
      </c>
      <c r="S1758" s="39" t="str">
        <f>IF(ISERROR(FIND('112'!$M$9,G1758,1)),"",IF((AND(FIND('112'!$M$9,G1758,1)&gt;=1,$B1758&gt;='112'!$N$8,$B1758&lt;='112'!$O$8,OR($L1758='112'!$I$6,$M1758='112'!$I$6))),"x",""))</f>
        <v/>
      </c>
      <c r="T1758" s="39" t="str">
        <f>IF(ISERROR(FIND('112'!$M$9,G1758,1)),"",IF((AND(LEFT(G1758,2)=LEFT('112'!$M$9,2),B1758&lt;'112'!$N$8,$L1758='112'!$I$6)),"x",""))</f>
        <v/>
      </c>
      <c r="U1758" s="39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39" t="str">
        <f>IF(OR(TH!L1758=TH!$W$7,M1758=TH!$W$7),"x","")</f>
        <v/>
      </c>
      <c r="X1758" s="39" t="str">
        <f>IF(AND(B1758&gt;='IN-NX'!$P$3,B1758&lt;='IN-NX'!$Q$3,'IN-NX'!$D$7=D1758,OR(LEFT(L1758,2)="15",AND(LEFT(M1758,2)&lt;&gt;"15",LEFT(M1758,2)&lt;&gt;"33"))),"x","")</f>
        <v/>
      </c>
      <c r="Y1758" s="39" t="str">
        <f>IF(AND(OR(LEFT(TH!L1758,2)="15",LEFT(TH!M1758,2)="15"),'152-CT'!$J$8=TH!F1758),"x","")</f>
        <v/>
      </c>
      <c r="Z1758" s="39" t="str">
        <f>IF(AND(OR(LEFT(TH!L1758,2)="15",LEFT(TH!M1758,2)="15"),TK!$E$7=TH!F1758),"x","")</f>
        <v/>
      </c>
      <c r="AA1758" s="39" t="str">
        <f>IF(AND(B1758&lt;=NKC!$N$8,B1758&gt;=NKC!$M$8),"x","")</f>
        <v/>
      </c>
      <c r="AB1758" s="821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si="99"/>
        <v/>
      </c>
      <c r="C1759" s="191"/>
      <c r="D1759" s="191"/>
      <c r="E1759" s="191"/>
      <c r="F1759" s="192"/>
      <c r="G1759" s="468"/>
      <c r="H1759" s="193"/>
      <c r="I1759" s="256"/>
      <c r="J1759" s="256"/>
      <c r="K1759" s="568"/>
      <c r="L1759" s="194"/>
      <c r="M1759" s="194"/>
      <c r="N1759" s="39" t="str">
        <f>IF(AND('331-CT'!$E$7=TH!H1759,OR(L1759="331",M1759="331")),"331",IF(AND(OR(L1759="131",M1759="131"),H1759='131-CT'!$E$7),"131",""))</f>
        <v/>
      </c>
      <c r="O1759" s="902" t="str">
        <f>IF(AND('341-CT'!$E$9=H1759,OR(LEFT(L1759,3)=$O$7,LEFT(M1759,3)=$O$7)),"x","")</f>
        <v/>
      </c>
      <c r="P1759" s="39" t="str">
        <f>IF(AND($B1759&gt;='111'!$N$11,$B1759&lt;='111'!$O$11,OR($L1759=$P$7,$M1759=$P$7)),"x","")</f>
        <v/>
      </c>
      <c r="Q1759" s="39" t="str">
        <f>IF(AND($L1759=$P$7,$B1759&lt;'111'!$N$11),"x","")</f>
        <v/>
      </c>
      <c r="R1759" s="39" t="str">
        <f>IF(AND($M1759=$P$7,$B1759&lt;'111'!$N$11),"x","")</f>
        <v/>
      </c>
      <c r="S1759" s="39" t="str">
        <f>IF(ISERROR(FIND('112'!$M$9,G1759,1)),"",IF((AND(FIND('112'!$M$9,G1759,1)&gt;=1,$B1759&gt;='112'!$N$8,$B1759&lt;='112'!$O$8,OR($L1759='112'!$I$6,$M1759='112'!$I$6))),"x",""))</f>
        <v/>
      </c>
      <c r="T1759" s="39" t="str">
        <f>IF(ISERROR(FIND('112'!$M$9,G1759,1)),"",IF((AND(LEFT(G1759,2)=LEFT('112'!$M$9,2),B1759&lt;'112'!$N$8,$L1759='112'!$I$6)),"x",""))</f>
        <v/>
      </c>
      <c r="U1759" s="39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39" t="str">
        <f>IF(OR(TH!L1759=TH!$W$7,M1759=TH!$W$7),"x","")</f>
        <v/>
      </c>
      <c r="X1759" s="39" t="str">
        <f>IF(AND(B1759&gt;='IN-NX'!$P$3,B1759&lt;='IN-NX'!$Q$3,'IN-NX'!$D$7=D1759,OR(LEFT(L1759,2)="15",AND(LEFT(M1759,2)&lt;&gt;"15",LEFT(M1759,2)&lt;&gt;"33"))),"x","")</f>
        <v/>
      </c>
      <c r="Y1759" s="39" t="str">
        <f>IF(AND(OR(LEFT(TH!L1759,2)="15",LEFT(TH!M1759,2)="15"),'152-CT'!$J$8=TH!F1759),"x","")</f>
        <v/>
      </c>
      <c r="Z1759" s="39" t="str">
        <f>IF(AND(OR(LEFT(TH!L1759,2)="15",LEFT(TH!M1759,2)="15"),TK!$E$7=TH!F1759),"x","")</f>
        <v/>
      </c>
      <c r="AA1759" s="39" t="str">
        <f>IF(AND(B1759&lt;=NKC!$N$8,B1759&gt;=NKC!$M$8),"x","")</f>
        <v/>
      </c>
      <c r="AB1759" s="821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99"/>
        <v/>
      </c>
      <c r="C1760" s="191"/>
      <c r="D1760" s="191"/>
      <c r="E1760" s="191"/>
      <c r="F1760" s="192"/>
      <c r="G1760" s="468"/>
      <c r="H1760" s="193"/>
      <c r="I1760" s="256"/>
      <c r="J1760" s="256"/>
      <c r="K1760" s="568"/>
      <c r="L1760" s="194"/>
      <c r="M1760" s="194"/>
      <c r="N1760" s="39" t="str">
        <f>IF(AND('331-CT'!$E$7=TH!H1760,OR(L1760="331",M1760="331")),"331",IF(AND(OR(L1760="131",M1760="131"),H1760='131-CT'!$E$7),"131",""))</f>
        <v/>
      </c>
      <c r="O1760" s="902" t="str">
        <f>IF(AND('341-CT'!$E$9=H1760,OR(LEFT(L1760,3)=$O$7,LEFT(M1760,3)=$O$7)),"x","")</f>
        <v/>
      </c>
      <c r="P1760" s="39" t="str">
        <f>IF(AND($B1760&gt;='111'!$N$11,$B1760&lt;='111'!$O$11,OR($L1760=$P$7,$M1760=$P$7)),"x","")</f>
        <v/>
      </c>
      <c r="Q1760" s="39" t="str">
        <f>IF(AND($L1760=$P$7,$B1760&lt;'111'!$N$11),"x","")</f>
        <v/>
      </c>
      <c r="R1760" s="39" t="str">
        <f>IF(AND($M1760=$P$7,$B1760&lt;'111'!$N$11),"x","")</f>
        <v/>
      </c>
      <c r="S1760" s="39" t="str">
        <f>IF(ISERROR(FIND('112'!$M$9,G1760,1)),"",IF((AND(FIND('112'!$M$9,G1760,1)&gt;=1,$B1760&gt;='112'!$N$8,$B1760&lt;='112'!$O$8,OR($L1760='112'!$I$6,$M1760='112'!$I$6))),"x",""))</f>
        <v/>
      </c>
      <c r="T1760" s="39" t="str">
        <f>IF(ISERROR(FIND('112'!$M$9,G1760,1)),"",IF((AND(LEFT(G1760,2)=LEFT('112'!$M$9,2),B1760&lt;'112'!$N$8,$L1760='112'!$I$6)),"x",""))</f>
        <v/>
      </c>
      <c r="U1760" s="39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39" t="str">
        <f>IF(OR(TH!L1760=TH!$W$7,M1760=TH!$W$7),"x","")</f>
        <v/>
      </c>
      <c r="X1760" s="39" t="str">
        <f>IF(AND(B1760&gt;='IN-NX'!$P$3,B1760&lt;='IN-NX'!$Q$3,'IN-NX'!$D$7=D1760,OR(LEFT(L1760,2)="15",AND(LEFT(M1760,2)&lt;&gt;"15",LEFT(M1760,2)&lt;&gt;"33"))),"x","")</f>
        <v/>
      </c>
      <c r="Y1760" s="39" t="str">
        <f>IF(AND(OR(LEFT(TH!L1760,2)="15",LEFT(TH!M1760,2)="15"),'152-CT'!$J$8=TH!F1760),"x","")</f>
        <v/>
      </c>
      <c r="Z1760" s="39" t="str">
        <f>IF(AND(OR(LEFT(TH!L1760,2)="15",LEFT(TH!M1760,2)="15"),TK!$E$7=TH!F1760),"x","")</f>
        <v/>
      </c>
      <c r="AA1760" s="39" t="str">
        <f>IF(AND(B1760&lt;=NKC!$N$8,B1760&gt;=NKC!$M$8),"x","")</f>
        <v/>
      </c>
      <c r="AB1760" s="821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99"/>
        <v/>
      </c>
      <c r="C1761" s="191"/>
      <c r="D1761" s="191"/>
      <c r="E1761" s="191"/>
      <c r="F1761" s="192"/>
      <c r="G1761" s="468"/>
      <c r="H1761" s="193"/>
      <c r="I1761" s="256"/>
      <c r="J1761" s="256"/>
      <c r="K1761" s="568"/>
      <c r="L1761" s="194"/>
      <c r="M1761" s="194"/>
      <c r="N1761" s="39" t="str">
        <f>IF(AND('331-CT'!$E$7=TH!H1761,OR(L1761="331",M1761="331")),"331",IF(AND(OR(L1761="131",M1761="131"),H1761='131-CT'!$E$7),"131",""))</f>
        <v/>
      </c>
      <c r="O1761" s="902" t="str">
        <f>IF(AND('341-CT'!$E$9=H1761,OR(LEFT(L1761,3)=$O$7,LEFT(M1761,3)=$O$7)),"x","")</f>
        <v/>
      </c>
      <c r="P1761" s="39" t="str">
        <f>IF(AND($B1761&gt;='111'!$N$11,$B1761&lt;='111'!$O$11,OR($L1761=$P$7,$M1761=$P$7)),"x","")</f>
        <v/>
      </c>
      <c r="Q1761" s="39" t="str">
        <f>IF(AND($L1761=$P$7,$B1761&lt;'111'!$N$11),"x","")</f>
        <v/>
      </c>
      <c r="R1761" s="39" t="str">
        <f>IF(AND($M1761=$P$7,$B1761&lt;'111'!$N$11),"x","")</f>
        <v/>
      </c>
      <c r="S1761" s="39" t="str">
        <f>IF(ISERROR(FIND('112'!$M$9,G1761,1)),"",IF((AND(FIND('112'!$M$9,G1761,1)&gt;=1,$B1761&gt;='112'!$N$8,$B1761&lt;='112'!$O$8,OR($L1761='112'!$I$6,$M1761='112'!$I$6))),"x",""))</f>
        <v/>
      </c>
      <c r="T1761" s="39" t="str">
        <f>IF(ISERROR(FIND('112'!$M$9,G1761,1)),"",IF((AND(LEFT(G1761,2)=LEFT('112'!$M$9,2),B1761&lt;'112'!$N$8,$L1761='112'!$I$6)),"x",""))</f>
        <v/>
      </c>
      <c r="U1761" s="39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39" t="str">
        <f>IF(OR(TH!L1761=TH!$W$7,M1761=TH!$W$7),"x","")</f>
        <v/>
      </c>
      <c r="X1761" s="39" t="str">
        <f>IF(AND(B1761&gt;='IN-NX'!$P$3,B1761&lt;='IN-NX'!$Q$3,'IN-NX'!$D$7=D1761,OR(LEFT(L1761,2)="15",AND(LEFT(M1761,2)&lt;&gt;"15",LEFT(M1761,2)&lt;&gt;"33"))),"x","")</f>
        <v/>
      </c>
      <c r="Y1761" s="39" t="str">
        <f>IF(AND(OR(LEFT(TH!L1761,2)="15",LEFT(TH!M1761,2)="15"),'152-CT'!$J$8=TH!F1761),"x","")</f>
        <v/>
      </c>
      <c r="Z1761" s="39" t="str">
        <f>IF(AND(OR(LEFT(TH!L1761,2)="15",LEFT(TH!M1761,2)="15"),TK!$E$7=TH!F1761),"x","")</f>
        <v/>
      </c>
      <c r="AA1761" s="39" t="str">
        <f>IF(AND(B1761&lt;=NKC!$N$8,B1761&gt;=NKC!$M$8),"x","")</f>
        <v/>
      </c>
      <c r="AB1761" s="821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99"/>
        <v/>
      </c>
      <c r="C1762" s="191"/>
      <c r="D1762" s="191"/>
      <c r="E1762" s="191"/>
      <c r="F1762" s="192"/>
      <c r="G1762" s="468"/>
      <c r="H1762" s="193"/>
      <c r="I1762" s="256"/>
      <c r="J1762" s="256"/>
      <c r="K1762" s="568"/>
      <c r="L1762" s="194"/>
      <c r="M1762" s="194"/>
      <c r="N1762" s="39" t="str">
        <f>IF(AND('331-CT'!$E$7=TH!H1762,OR(L1762="331",M1762="331")),"331",IF(AND(OR(L1762="131",M1762="131"),H1762='131-CT'!$E$7),"131",""))</f>
        <v/>
      </c>
      <c r="O1762" s="902" t="str">
        <f>IF(AND('341-CT'!$E$9=H1762,OR(LEFT(L1762,3)=$O$7,LEFT(M1762,3)=$O$7)),"x","")</f>
        <v/>
      </c>
      <c r="P1762" s="39" t="str">
        <f>IF(AND($B1762&gt;='111'!$N$11,$B1762&lt;='111'!$O$11,OR($L1762=$P$7,$M1762=$P$7)),"x","")</f>
        <v/>
      </c>
      <c r="Q1762" s="39" t="str">
        <f>IF(AND($L1762=$P$7,$B1762&lt;'111'!$N$11),"x","")</f>
        <v/>
      </c>
      <c r="R1762" s="39" t="str">
        <f>IF(AND($M1762=$P$7,$B1762&lt;'111'!$N$11),"x","")</f>
        <v/>
      </c>
      <c r="S1762" s="39" t="str">
        <f>IF(ISERROR(FIND('112'!$M$9,G1762,1)),"",IF((AND(FIND('112'!$M$9,G1762,1)&gt;=1,$B1762&gt;='112'!$N$8,$B1762&lt;='112'!$O$8,OR($L1762='112'!$I$6,$M1762='112'!$I$6))),"x",""))</f>
        <v/>
      </c>
      <c r="T1762" s="39" t="str">
        <f>IF(ISERROR(FIND('112'!$M$9,G1762,1)),"",IF((AND(LEFT(G1762,2)=LEFT('112'!$M$9,2),B1762&lt;'112'!$N$8,$L1762='112'!$I$6)),"x",""))</f>
        <v/>
      </c>
      <c r="U1762" s="39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39" t="str">
        <f>IF(OR(TH!L1762=TH!$W$7,M1762=TH!$W$7),"x","")</f>
        <v/>
      </c>
      <c r="X1762" s="39" t="str">
        <f>IF(AND(B1762&gt;='IN-NX'!$P$3,B1762&lt;='IN-NX'!$Q$3,'IN-NX'!$D$7=D1762,OR(LEFT(L1762,2)="15",AND(LEFT(M1762,2)&lt;&gt;"15",LEFT(M1762,2)&lt;&gt;"33"))),"x","")</f>
        <v/>
      </c>
      <c r="Y1762" s="39" t="str">
        <f>IF(AND(OR(LEFT(TH!L1762,2)="15",LEFT(TH!M1762,2)="15"),'152-CT'!$J$8=TH!F1762),"x","")</f>
        <v/>
      </c>
      <c r="Z1762" s="39" t="str">
        <f>IF(AND(OR(LEFT(TH!L1762,2)="15",LEFT(TH!M1762,2)="15"),TK!$E$7=TH!F1762),"x","")</f>
        <v/>
      </c>
      <c r="AA1762" s="39" t="str">
        <f>IF(AND(B1762&lt;=NKC!$N$8,B1762&gt;=NKC!$M$8),"x","")</f>
        <v/>
      </c>
      <c r="AB1762" s="821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99"/>
        <v/>
      </c>
      <c r="C1763" s="191"/>
      <c r="D1763" s="191"/>
      <c r="E1763" s="191"/>
      <c r="F1763" s="192"/>
      <c r="G1763" s="468"/>
      <c r="H1763" s="193"/>
      <c r="I1763" s="256"/>
      <c r="J1763" s="256"/>
      <c r="K1763" s="568"/>
      <c r="L1763" s="194"/>
      <c r="M1763" s="194"/>
      <c r="N1763" s="39" t="str">
        <f>IF(AND('331-CT'!$E$7=TH!H1763,OR(L1763="331",M1763="331")),"331",IF(AND(OR(L1763="131",M1763="131"),H1763='131-CT'!$E$7),"131",""))</f>
        <v/>
      </c>
      <c r="O1763" s="902" t="str">
        <f>IF(AND('341-CT'!$E$9=H1763,OR(LEFT(L1763,3)=$O$7,LEFT(M1763,3)=$O$7)),"x","")</f>
        <v/>
      </c>
      <c r="P1763" s="39" t="str">
        <f>IF(AND($B1763&gt;='111'!$N$11,$B1763&lt;='111'!$O$11,OR($L1763=$P$7,$M1763=$P$7)),"x","")</f>
        <v/>
      </c>
      <c r="Q1763" s="39" t="str">
        <f>IF(AND($L1763=$P$7,$B1763&lt;'111'!$N$11),"x","")</f>
        <v/>
      </c>
      <c r="R1763" s="39" t="str">
        <f>IF(AND($M1763=$P$7,$B1763&lt;'111'!$N$11),"x","")</f>
        <v/>
      </c>
      <c r="S1763" s="39" t="str">
        <f>IF(ISERROR(FIND('112'!$M$9,G1763,1)),"",IF((AND(FIND('112'!$M$9,G1763,1)&gt;=1,$B1763&gt;='112'!$N$8,$B1763&lt;='112'!$O$8,OR($L1763='112'!$I$6,$M1763='112'!$I$6))),"x",""))</f>
        <v/>
      </c>
      <c r="T1763" s="39" t="str">
        <f>IF(ISERROR(FIND('112'!$M$9,G1763,1)),"",IF((AND(LEFT(G1763,2)=LEFT('112'!$M$9,2),B1763&lt;'112'!$N$8,$L1763='112'!$I$6)),"x",""))</f>
        <v/>
      </c>
      <c r="U1763" s="39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39" t="str">
        <f>IF(OR(TH!L1763=TH!$W$7,M1763=TH!$W$7),"x","")</f>
        <v/>
      </c>
      <c r="X1763" s="39" t="str">
        <f>IF(AND(B1763&gt;='IN-NX'!$P$3,B1763&lt;='IN-NX'!$Q$3,'IN-NX'!$D$7=D1763,OR(LEFT(L1763,2)="15",AND(LEFT(M1763,2)&lt;&gt;"15",LEFT(M1763,2)&lt;&gt;"33"))),"x","")</f>
        <v/>
      </c>
      <c r="Y1763" s="39" t="str">
        <f>IF(AND(OR(LEFT(TH!L1763,2)="15",LEFT(TH!M1763,2)="15"),'152-CT'!$J$8=TH!F1763),"x","")</f>
        <v/>
      </c>
      <c r="Z1763" s="39" t="str">
        <f>IF(AND(OR(LEFT(TH!L1763,2)="15",LEFT(TH!M1763,2)="15"),TK!$E$7=TH!F1763),"x","")</f>
        <v/>
      </c>
      <c r="AA1763" s="39" t="str">
        <f>IF(AND(B1763&lt;=NKC!$N$8,B1763&gt;=NKC!$M$8),"x","")</f>
        <v/>
      </c>
      <c r="AB1763" s="821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99"/>
        <v/>
      </c>
      <c r="C1764" s="191"/>
      <c r="D1764" s="191"/>
      <c r="E1764" s="191"/>
      <c r="F1764" s="192"/>
      <c r="G1764" s="468"/>
      <c r="H1764" s="193"/>
      <c r="I1764" s="256"/>
      <c r="J1764" s="256"/>
      <c r="K1764" s="568"/>
      <c r="L1764" s="194"/>
      <c r="M1764" s="194"/>
      <c r="N1764" s="39" t="str">
        <f>IF(AND('331-CT'!$E$7=TH!H1764,OR(L1764="331",M1764="331")),"331",IF(AND(OR(L1764="131",M1764="131"),H1764='131-CT'!$E$7),"131",""))</f>
        <v/>
      </c>
      <c r="O1764" s="902" t="str">
        <f>IF(AND('341-CT'!$E$9=H1764,OR(LEFT(L1764,3)=$O$7,LEFT(M1764,3)=$O$7)),"x","")</f>
        <v/>
      </c>
      <c r="P1764" s="39" t="str">
        <f>IF(AND($B1764&gt;='111'!$N$11,$B1764&lt;='111'!$O$11,OR($L1764=$P$7,$M1764=$P$7)),"x","")</f>
        <v/>
      </c>
      <c r="Q1764" s="39" t="str">
        <f>IF(AND($L1764=$P$7,$B1764&lt;'111'!$N$11),"x","")</f>
        <v/>
      </c>
      <c r="R1764" s="39" t="str">
        <f>IF(AND($M1764=$P$7,$B1764&lt;'111'!$N$11),"x","")</f>
        <v/>
      </c>
      <c r="S1764" s="39" t="str">
        <f>IF(ISERROR(FIND('112'!$M$9,G1764,1)),"",IF((AND(FIND('112'!$M$9,G1764,1)&gt;=1,$B1764&gt;='112'!$N$8,$B1764&lt;='112'!$O$8,OR($L1764='112'!$I$6,$M1764='112'!$I$6))),"x",""))</f>
        <v/>
      </c>
      <c r="T1764" s="39" t="str">
        <f>IF(ISERROR(FIND('112'!$M$9,G1764,1)),"",IF((AND(LEFT(G1764,2)=LEFT('112'!$M$9,2),B1764&lt;'112'!$N$8,$L1764='112'!$I$6)),"x",""))</f>
        <v/>
      </c>
      <c r="U1764" s="39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39" t="str">
        <f>IF(OR(TH!L1764=TH!$W$7,M1764=TH!$W$7),"x","")</f>
        <v/>
      </c>
      <c r="X1764" s="39" t="str">
        <f>IF(AND(B1764&gt;='IN-NX'!$P$3,B1764&lt;='IN-NX'!$Q$3,'IN-NX'!$D$7=D1764,OR(LEFT(L1764,2)="15",AND(LEFT(M1764,2)&lt;&gt;"15",LEFT(M1764,2)&lt;&gt;"33"))),"x","")</f>
        <v/>
      </c>
      <c r="Y1764" s="39" t="str">
        <f>IF(AND(OR(LEFT(TH!L1764,2)="15",LEFT(TH!M1764,2)="15"),'152-CT'!$J$8=TH!F1764),"x","")</f>
        <v/>
      </c>
      <c r="Z1764" s="39" t="str">
        <f>IF(AND(OR(LEFT(TH!L1764,2)="15",LEFT(TH!M1764,2)="15"),TK!$E$7=TH!F1764),"x","")</f>
        <v/>
      </c>
      <c r="AA1764" s="39" t="str">
        <f>IF(AND(B1764&lt;=NKC!$N$8,B1764&gt;=NKC!$M$8),"x","")</f>
        <v/>
      </c>
      <c r="AB1764" s="821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99"/>
        <v/>
      </c>
      <c r="C1765" s="191"/>
      <c r="D1765" s="191"/>
      <c r="E1765" s="191"/>
      <c r="F1765" s="192"/>
      <c r="G1765" s="468"/>
      <c r="H1765" s="193"/>
      <c r="I1765" s="256"/>
      <c r="J1765" s="256"/>
      <c r="K1765" s="568"/>
      <c r="L1765" s="194"/>
      <c r="M1765" s="194"/>
      <c r="N1765" s="39" t="str">
        <f>IF(AND('331-CT'!$E$7=TH!H1765,OR(L1765="331",M1765="331")),"331",IF(AND(OR(L1765="131",M1765="131"),H1765='131-CT'!$E$7),"131",""))</f>
        <v/>
      </c>
      <c r="O1765" s="902" t="str">
        <f>IF(AND('341-CT'!$E$9=H1765,OR(LEFT(L1765,3)=$O$7,LEFT(M1765,3)=$O$7)),"x","")</f>
        <v/>
      </c>
      <c r="P1765" s="39" t="str">
        <f>IF(AND($B1765&gt;='111'!$N$11,$B1765&lt;='111'!$O$11,OR($L1765=$P$7,$M1765=$P$7)),"x","")</f>
        <v/>
      </c>
      <c r="Q1765" s="39" t="str">
        <f>IF(AND($L1765=$P$7,$B1765&lt;'111'!$N$11),"x","")</f>
        <v/>
      </c>
      <c r="R1765" s="39" t="str">
        <f>IF(AND($M1765=$P$7,$B1765&lt;'111'!$N$11),"x","")</f>
        <v/>
      </c>
      <c r="S1765" s="39" t="str">
        <f>IF(ISERROR(FIND('112'!$M$9,G1765,1)),"",IF((AND(FIND('112'!$M$9,G1765,1)&gt;=1,$B1765&gt;='112'!$N$8,$B1765&lt;='112'!$O$8,OR($L1765='112'!$I$6,$M1765='112'!$I$6))),"x",""))</f>
        <v/>
      </c>
      <c r="T1765" s="39" t="str">
        <f>IF(ISERROR(FIND('112'!$M$9,G1765,1)),"",IF((AND(LEFT(G1765,2)=LEFT('112'!$M$9,2),B1765&lt;'112'!$N$8,$L1765='112'!$I$6)),"x",""))</f>
        <v/>
      </c>
      <c r="U1765" s="39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39" t="str">
        <f>IF(OR(TH!L1765=TH!$W$7,M1765=TH!$W$7),"x","")</f>
        <v/>
      </c>
      <c r="X1765" s="39" t="str">
        <f>IF(AND(B1765&gt;='IN-NX'!$P$3,B1765&lt;='IN-NX'!$Q$3,'IN-NX'!$D$7=D1765,OR(LEFT(L1765,2)="15",AND(LEFT(M1765,2)&lt;&gt;"15",LEFT(M1765,2)&lt;&gt;"33"))),"x","")</f>
        <v/>
      </c>
      <c r="Y1765" s="39" t="str">
        <f>IF(AND(OR(LEFT(TH!L1765,2)="15",LEFT(TH!M1765,2)="15"),'152-CT'!$J$8=TH!F1765),"x","")</f>
        <v/>
      </c>
      <c r="Z1765" s="39" t="str">
        <f>IF(AND(OR(LEFT(TH!L1765,2)="15",LEFT(TH!M1765,2)="15"),TK!$E$7=TH!F1765),"x","")</f>
        <v/>
      </c>
      <c r="AA1765" s="39" t="str">
        <f>IF(AND(B1765&lt;=NKC!$N$8,B1765&gt;=NKC!$M$8),"x","")</f>
        <v/>
      </c>
      <c r="AB1765" s="821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99"/>
        <v/>
      </c>
      <c r="C1766" s="191"/>
      <c r="D1766" s="191"/>
      <c r="E1766" s="191"/>
      <c r="F1766" s="192"/>
      <c r="G1766" s="468"/>
      <c r="H1766" s="193"/>
      <c r="I1766" s="256"/>
      <c r="J1766" s="256"/>
      <c r="K1766" s="568"/>
      <c r="L1766" s="194"/>
      <c r="M1766" s="194"/>
      <c r="N1766" s="39" t="str">
        <f>IF(AND('331-CT'!$E$7=TH!H1766,OR(L1766="331",M1766="331")),"331",IF(AND(OR(L1766="131",M1766="131"),H1766='131-CT'!$E$7),"131",""))</f>
        <v/>
      </c>
      <c r="O1766" s="902" t="str">
        <f>IF(AND('341-CT'!$E$9=H1766,OR(LEFT(L1766,3)=$O$7,LEFT(M1766,3)=$O$7)),"x","")</f>
        <v/>
      </c>
      <c r="P1766" s="39" t="str">
        <f>IF(AND($B1766&gt;='111'!$N$11,$B1766&lt;='111'!$O$11,OR($L1766=$P$7,$M1766=$P$7)),"x","")</f>
        <v/>
      </c>
      <c r="Q1766" s="39" t="str">
        <f>IF(AND($L1766=$P$7,$B1766&lt;'111'!$N$11),"x","")</f>
        <v/>
      </c>
      <c r="R1766" s="39" t="str">
        <f>IF(AND($M1766=$P$7,$B1766&lt;'111'!$N$11),"x","")</f>
        <v/>
      </c>
      <c r="S1766" s="39" t="str">
        <f>IF(ISERROR(FIND('112'!$M$9,G1766,1)),"",IF((AND(FIND('112'!$M$9,G1766,1)&gt;=1,$B1766&gt;='112'!$N$8,$B1766&lt;='112'!$O$8,OR($L1766='112'!$I$6,$M1766='112'!$I$6))),"x",""))</f>
        <v/>
      </c>
      <c r="T1766" s="39" t="str">
        <f>IF(ISERROR(FIND('112'!$M$9,G1766,1)),"",IF((AND(LEFT(G1766,2)=LEFT('112'!$M$9,2),B1766&lt;'112'!$N$8,$L1766='112'!$I$6)),"x",""))</f>
        <v/>
      </c>
      <c r="U1766" s="39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39" t="str">
        <f>IF(OR(TH!L1766=TH!$W$7,M1766=TH!$W$7),"x","")</f>
        <v/>
      </c>
      <c r="X1766" s="39" t="str">
        <f>IF(AND(B1766&gt;='IN-NX'!$P$3,B1766&lt;='IN-NX'!$Q$3,'IN-NX'!$D$7=D1766,OR(LEFT(L1766,2)="15",AND(LEFT(M1766,2)&lt;&gt;"15",LEFT(M1766,2)&lt;&gt;"33"))),"x","")</f>
        <v/>
      </c>
      <c r="Y1766" s="39" t="str">
        <f>IF(AND(OR(LEFT(TH!L1766,2)="15",LEFT(TH!M1766,2)="15"),'152-CT'!$J$8=TH!F1766),"x","")</f>
        <v/>
      </c>
      <c r="Z1766" s="39" t="str">
        <f>IF(AND(OR(LEFT(TH!L1766,2)="15",LEFT(TH!M1766,2)="15"),TK!$E$7=TH!F1766),"x","")</f>
        <v/>
      </c>
      <c r="AA1766" s="39" t="str">
        <f>IF(AND(B1766&lt;=NKC!$N$8,B1766&gt;=NKC!$M$8),"x","")</f>
        <v/>
      </c>
      <c r="AB1766" s="821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99"/>
        <v/>
      </c>
      <c r="C1767" s="191"/>
      <c r="D1767" s="191"/>
      <c r="E1767" s="191"/>
      <c r="F1767" s="192"/>
      <c r="G1767" s="468"/>
      <c r="H1767" s="193"/>
      <c r="I1767" s="256"/>
      <c r="J1767" s="256"/>
      <c r="K1767" s="568"/>
      <c r="L1767" s="194"/>
      <c r="M1767" s="194"/>
      <c r="N1767" s="39" t="str">
        <f>IF(AND('331-CT'!$E$7=TH!H1767,OR(L1767="331",M1767="331")),"331",IF(AND(OR(L1767="131",M1767="131"),H1767='131-CT'!$E$7),"131",""))</f>
        <v/>
      </c>
      <c r="O1767" s="902" t="str">
        <f>IF(AND('341-CT'!$E$9=H1767,OR(LEFT(L1767,3)=$O$7,LEFT(M1767,3)=$O$7)),"x","")</f>
        <v/>
      </c>
      <c r="P1767" s="39" t="str">
        <f>IF(AND($B1767&gt;='111'!$N$11,$B1767&lt;='111'!$O$11,OR($L1767=$P$7,$M1767=$P$7)),"x","")</f>
        <v/>
      </c>
      <c r="Q1767" s="39" t="str">
        <f>IF(AND($L1767=$P$7,$B1767&lt;'111'!$N$11),"x","")</f>
        <v/>
      </c>
      <c r="R1767" s="39" t="str">
        <f>IF(AND($M1767=$P$7,$B1767&lt;'111'!$N$11),"x","")</f>
        <v/>
      </c>
      <c r="S1767" s="39" t="str">
        <f>IF(ISERROR(FIND('112'!$M$9,G1767,1)),"",IF((AND(FIND('112'!$M$9,G1767,1)&gt;=1,$B1767&gt;='112'!$N$8,$B1767&lt;='112'!$O$8,OR($L1767='112'!$I$6,$M1767='112'!$I$6))),"x",""))</f>
        <v/>
      </c>
      <c r="T1767" s="39" t="str">
        <f>IF(ISERROR(FIND('112'!$M$9,G1767,1)),"",IF((AND(LEFT(G1767,2)=LEFT('112'!$M$9,2),B1767&lt;'112'!$N$8,$L1767='112'!$I$6)),"x",""))</f>
        <v/>
      </c>
      <c r="U1767" s="39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39" t="str">
        <f>IF(OR(TH!L1767=TH!$W$7,M1767=TH!$W$7),"x","")</f>
        <v/>
      </c>
      <c r="X1767" s="39" t="str">
        <f>IF(AND(B1767&gt;='IN-NX'!$P$3,B1767&lt;='IN-NX'!$Q$3,'IN-NX'!$D$7=D1767,OR(LEFT(L1767,2)="15",AND(LEFT(M1767,2)&lt;&gt;"15",LEFT(M1767,2)&lt;&gt;"33"))),"x","")</f>
        <v/>
      </c>
      <c r="Y1767" s="39" t="str">
        <f>IF(AND(OR(LEFT(TH!L1767,2)="15",LEFT(TH!M1767,2)="15"),'152-CT'!$J$8=TH!F1767),"x","")</f>
        <v/>
      </c>
      <c r="Z1767" s="39" t="str">
        <f>IF(AND(OR(LEFT(TH!L1767,2)="15",LEFT(TH!M1767,2)="15"),TK!$E$7=TH!F1767),"x","")</f>
        <v/>
      </c>
      <c r="AA1767" s="39" t="str">
        <f>IF(AND(B1767&lt;=NKC!$N$8,B1767&gt;=NKC!$M$8),"x","")</f>
        <v/>
      </c>
      <c r="AB1767" s="821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99"/>
        <v/>
      </c>
      <c r="C1768" s="191"/>
      <c r="D1768" s="191"/>
      <c r="E1768" s="191"/>
      <c r="F1768" s="192"/>
      <c r="G1768" s="468"/>
      <c r="H1768" s="193"/>
      <c r="I1768" s="256"/>
      <c r="J1768" s="256"/>
      <c r="K1768" s="568"/>
      <c r="L1768" s="194"/>
      <c r="M1768" s="194"/>
      <c r="N1768" s="39" t="str">
        <f>IF(AND('331-CT'!$E$7=TH!H1768,OR(L1768="331",M1768="331")),"331",IF(AND(OR(L1768="131",M1768="131"),H1768='131-CT'!$E$7),"131",""))</f>
        <v/>
      </c>
      <c r="O1768" s="902" t="str">
        <f>IF(AND('341-CT'!$E$9=H1768,OR(LEFT(L1768,3)=$O$7,LEFT(M1768,3)=$O$7)),"x","")</f>
        <v/>
      </c>
      <c r="P1768" s="39" t="str">
        <f>IF(AND($B1768&gt;='111'!$N$11,$B1768&lt;='111'!$O$11,OR($L1768=$P$7,$M1768=$P$7)),"x","")</f>
        <v/>
      </c>
      <c r="Q1768" s="39" t="str">
        <f>IF(AND($L1768=$P$7,$B1768&lt;'111'!$N$11),"x","")</f>
        <v/>
      </c>
      <c r="R1768" s="39" t="str">
        <f>IF(AND($M1768=$P$7,$B1768&lt;'111'!$N$11),"x","")</f>
        <v/>
      </c>
      <c r="S1768" s="39" t="str">
        <f>IF(ISERROR(FIND('112'!$M$9,G1768,1)),"",IF((AND(FIND('112'!$M$9,G1768,1)&gt;=1,$B1768&gt;='112'!$N$8,$B1768&lt;='112'!$O$8,OR($L1768='112'!$I$6,$M1768='112'!$I$6))),"x",""))</f>
        <v/>
      </c>
      <c r="T1768" s="39" t="str">
        <f>IF(ISERROR(FIND('112'!$M$9,G1768,1)),"",IF((AND(LEFT(G1768,2)=LEFT('112'!$M$9,2),B1768&lt;'112'!$N$8,$L1768='112'!$I$6)),"x",""))</f>
        <v/>
      </c>
      <c r="U1768" s="39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39" t="str">
        <f>IF(OR(TH!L1768=TH!$W$7,M1768=TH!$W$7),"x","")</f>
        <v/>
      </c>
      <c r="X1768" s="39" t="str">
        <f>IF(AND(B1768&gt;='IN-NX'!$P$3,B1768&lt;='IN-NX'!$Q$3,'IN-NX'!$D$7=D1768,OR(LEFT(L1768,2)="15",AND(LEFT(M1768,2)&lt;&gt;"15",LEFT(M1768,2)&lt;&gt;"33"))),"x","")</f>
        <v/>
      </c>
      <c r="Y1768" s="39" t="str">
        <f>IF(AND(OR(LEFT(TH!L1768,2)="15",LEFT(TH!M1768,2)="15"),'152-CT'!$J$8=TH!F1768),"x","")</f>
        <v/>
      </c>
      <c r="Z1768" s="39" t="str">
        <f>IF(AND(OR(LEFT(TH!L1768,2)="15",LEFT(TH!M1768,2)="15"),TK!$E$7=TH!F1768),"x","")</f>
        <v/>
      </c>
      <c r="AA1768" s="39" t="str">
        <f>IF(AND(B1768&lt;=NKC!$N$8,B1768&gt;=NKC!$M$8),"x","")</f>
        <v/>
      </c>
      <c r="AB1768" s="821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99"/>
        <v/>
      </c>
      <c r="C1769" s="191"/>
      <c r="D1769" s="191"/>
      <c r="E1769" s="191"/>
      <c r="F1769" s="192"/>
      <c r="G1769" s="468"/>
      <c r="H1769" s="193"/>
      <c r="I1769" s="256"/>
      <c r="J1769" s="256"/>
      <c r="K1769" s="568"/>
      <c r="L1769" s="194"/>
      <c r="M1769" s="194"/>
      <c r="N1769" s="39" t="str">
        <f>IF(AND('331-CT'!$E$7=TH!H1769,OR(L1769="331",M1769="331")),"331",IF(AND(OR(L1769="131",M1769="131"),H1769='131-CT'!$E$7),"131",""))</f>
        <v/>
      </c>
      <c r="O1769" s="902" t="str">
        <f>IF(AND('341-CT'!$E$9=H1769,OR(LEFT(L1769,3)=$O$7,LEFT(M1769,3)=$O$7)),"x","")</f>
        <v/>
      </c>
      <c r="P1769" s="39" t="str">
        <f>IF(AND($B1769&gt;='111'!$N$11,$B1769&lt;='111'!$O$11,OR($L1769=$P$7,$M1769=$P$7)),"x","")</f>
        <v/>
      </c>
      <c r="Q1769" s="39" t="str">
        <f>IF(AND($L1769=$P$7,$B1769&lt;'111'!$N$11),"x","")</f>
        <v/>
      </c>
      <c r="R1769" s="39" t="str">
        <f>IF(AND($M1769=$P$7,$B1769&lt;'111'!$N$11),"x","")</f>
        <v/>
      </c>
      <c r="S1769" s="39" t="str">
        <f>IF(ISERROR(FIND('112'!$M$9,G1769,1)),"",IF((AND(FIND('112'!$M$9,G1769,1)&gt;=1,$B1769&gt;='112'!$N$8,$B1769&lt;='112'!$O$8,OR($L1769='112'!$I$6,$M1769='112'!$I$6))),"x",""))</f>
        <v/>
      </c>
      <c r="T1769" s="39" t="str">
        <f>IF(ISERROR(FIND('112'!$M$9,G1769,1)),"",IF((AND(LEFT(G1769,2)=LEFT('112'!$M$9,2),B1769&lt;'112'!$N$8,$L1769='112'!$I$6)),"x",""))</f>
        <v/>
      </c>
      <c r="U1769" s="39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39" t="str">
        <f>IF(OR(TH!L1769=TH!$W$7,M1769=TH!$W$7),"x","")</f>
        <v/>
      </c>
      <c r="X1769" s="39" t="str">
        <f>IF(AND(B1769&gt;='IN-NX'!$P$3,B1769&lt;='IN-NX'!$Q$3,'IN-NX'!$D$7=D1769,OR(LEFT(L1769,2)="15",AND(LEFT(M1769,2)&lt;&gt;"15",LEFT(M1769,2)&lt;&gt;"33"))),"x","")</f>
        <v/>
      </c>
      <c r="Y1769" s="39" t="str">
        <f>IF(AND(OR(LEFT(TH!L1769,2)="15",LEFT(TH!M1769,2)="15"),'152-CT'!$J$8=TH!F1769),"x","")</f>
        <v/>
      </c>
      <c r="Z1769" s="39" t="str">
        <f>IF(AND(OR(LEFT(TH!L1769,2)="15",LEFT(TH!M1769,2)="15"),TK!$E$7=TH!F1769),"x","")</f>
        <v/>
      </c>
      <c r="AA1769" s="39" t="str">
        <f>IF(AND(B1769&lt;=NKC!$N$8,B1769&gt;=NKC!$M$8),"x","")</f>
        <v/>
      </c>
      <c r="AB1769" s="821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99"/>
        <v/>
      </c>
      <c r="C1770" s="191"/>
      <c r="D1770" s="191"/>
      <c r="E1770" s="37"/>
      <c r="F1770" s="189"/>
      <c r="G1770" s="40"/>
      <c r="H1770" s="7"/>
      <c r="I1770" s="256"/>
      <c r="J1770" s="256"/>
      <c r="K1770" s="56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902" t="str">
        <f>IF(AND('341-CT'!$E$9=H1770,OR(LEFT(L1770,3)=$O$7,LEFT(M1770,3)=$O$7)),"x","")</f>
        <v/>
      </c>
      <c r="P1770" s="39" t="str">
        <f>IF(AND($B1770&gt;='111'!$N$11,$B1770&lt;='111'!$O$11,OR($L1770=$P$7,$M1770=$P$7)),"x","")</f>
        <v/>
      </c>
      <c r="Q1770" s="39" t="str">
        <f>IF(AND($L1770=$P$7,$B1770&lt;'111'!$N$11),"x","")</f>
        <v/>
      </c>
      <c r="R1770" s="39" t="str">
        <f>IF(AND($M1770=$P$7,$B1770&lt;'111'!$N$11),"x","")</f>
        <v/>
      </c>
      <c r="S1770" s="39" t="str">
        <f>IF(ISERROR(FIND('112'!$M$9,G1770,1)),"",IF((AND(FIND('112'!$M$9,G1770,1)&gt;=1,$B1770&gt;='112'!$N$8,$B1770&lt;='112'!$O$8,OR($L1770='112'!$I$6,$M1770='112'!$I$6))),"x",""))</f>
        <v/>
      </c>
      <c r="T1770" s="39" t="str">
        <f>IF(ISERROR(FIND('112'!$M$9,G1770,1)),"",IF((AND(LEFT(G1770,2)=LEFT('112'!$M$9,2),B1770&lt;'112'!$N$8,$L1770='112'!$I$6)),"x",""))</f>
        <v/>
      </c>
      <c r="U1770" s="39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39" t="str">
        <f>IF(OR(TH!L1770=TH!$W$7,M1770=TH!$W$7),"x","")</f>
        <v/>
      </c>
      <c r="X1770" s="39" t="str">
        <f>IF(AND(B1770&gt;='IN-NX'!$P$3,B1770&lt;='IN-NX'!$Q$3,'IN-NX'!$D$7=D1770,OR(LEFT(L1770,2)="15",AND(LEFT(M1770,2)&lt;&gt;"15",LEFT(M1770,2)&lt;&gt;"33"))),"x","")</f>
        <v/>
      </c>
      <c r="Y1770" s="39" t="str">
        <f>IF(AND(OR(LEFT(TH!L1770,2)="15",LEFT(TH!M1770,2)="15"),'152-CT'!$J$8=TH!F1770),"x","")</f>
        <v/>
      </c>
      <c r="Z1770" s="39" t="str">
        <f>IF(AND(OR(LEFT(TH!L1770,2)="15",LEFT(TH!M1770,2)="15"),TK!$E$7=TH!F1770),"x","")</f>
        <v/>
      </c>
      <c r="AA1770" s="39" t="str">
        <f>IF(AND(B1770&lt;=NKC!$N$8,B1770&gt;=NKC!$M$8),"x","")</f>
        <v/>
      </c>
      <c r="AB1770" s="821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99"/>
        <v/>
      </c>
      <c r="C1771" s="191"/>
      <c r="D1771" s="191"/>
      <c r="E1771" s="37"/>
      <c r="F1771" s="40"/>
      <c r="G1771" s="40"/>
      <c r="H1771" s="7"/>
      <c r="I1771" s="256"/>
      <c r="J1771" s="256"/>
      <c r="K1771" s="56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902" t="str">
        <f>IF(AND('341-CT'!$E$9=H1771,OR(LEFT(L1771,3)=$O$7,LEFT(M1771,3)=$O$7)),"x","")</f>
        <v/>
      </c>
      <c r="P1771" s="39" t="str">
        <f>IF(AND($B1771&gt;='111'!$N$11,$B1771&lt;='111'!$O$11,OR($L1771=$P$7,$M1771=$P$7)),"x","")</f>
        <v/>
      </c>
      <c r="Q1771" s="39" t="str">
        <f>IF(AND($L1771=$P$7,$B1771&lt;'111'!$N$11),"x","")</f>
        <v/>
      </c>
      <c r="R1771" s="39" t="str">
        <f>IF(AND($M1771=$P$7,$B1771&lt;'111'!$N$11),"x","")</f>
        <v/>
      </c>
      <c r="S1771" s="39" t="str">
        <f>IF(ISERROR(FIND('112'!$M$9,G1771,1)),"",IF((AND(FIND('112'!$M$9,G1771,1)&gt;=1,$B1771&gt;='112'!$N$8,$B1771&lt;='112'!$O$8,OR($L1771='112'!$I$6,$M1771='112'!$I$6))),"x",""))</f>
        <v/>
      </c>
      <c r="T1771" s="39" t="str">
        <f>IF(ISERROR(FIND('112'!$M$9,G1771,1)),"",IF((AND(LEFT(G1771,2)=LEFT('112'!$M$9,2),B1771&lt;'112'!$N$8,$L1771='112'!$I$6)),"x",""))</f>
        <v/>
      </c>
      <c r="U1771" s="39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39" t="str">
        <f>IF(OR(TH!L1771=TH!$W$7,M1771=TH!$W$7),"x","")</f>
        <v/>
      </c>
      <c r="X1771" s="39" t="str">
        <f>IF(AND(B1771&gt;='IN-NX'!$P$3,B1771&lt;='IN-NX'!$Q$3,'IN-NX'!$D$7=D1771,OR(LEFT(L1771,2)="15",AND(LEFT(M1771,2)&lt;&gt;"15",LEFT(M1771,2)&lt;&gt;"33"))),"x","")</f>
        <v/>
      </c>
      <c r="Y1771" s="39" t="str">
        <f>IF(AND(OR(LEFT(TH!L1771,2)="15",LEFT(TH!M1771,2)="15"),'152-CT'!$J$8=TH!F1771),"x","")</f>
        <v/>
      </c>
      <c r="Z1771" s="39" t="str">
        <f>IF(AND(OR(LEFT(TH!L1771,2)="15",LEFT(TH!M1771,2)="15"),TK!$E$7=TH!F1771),"x","")</f>
        <v/>
      </c>
      <c r="AA1771" s="39" t="str">
        <f>IF(AND(B1771&lt;=NKC!$N$8,B1771&gt;=NKC!$M$8),"x","")</f>
        <v/>
      </c>
      <c r="AB1771" s="821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99"/>
        <v/>
      </c>
      <c r="C1772" s="191"/>
      <c r="D1772" s="191"/>
      <c r="E1772" s="37"/>
      <c r="F1772" s="40"/>
      <c r="G1772" s="40"/>
      <c r="H1772" s="7"/>
      <c r="I1772" s="256"/>
      <c r="J1772" s="256"/>
      <c r="K1772" s="56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902" t="str">
        <f>IF(AND('341-CT'!$E$9=H1772,OR(LEFT(L1772,3)=$O$7,LEFT(M1772,3)=$O$7)),"x","")</f>
        <v/>
      </c>
      <c r="P1772" s="39" t="str">
        <f>IF(AND($B1772&gt;='111'!$N$11,$B1772&lt;='111'!$O$11,OR($L1772=$P$7,$M1772=$P$7)),"x","")</f>
        <v/>
      </c>
      <c r="Q1772" s="39" t="str">
        <f>IF(AND($L1772=$P$7,$B1772&lt;'111'!$N$11),"x","")</f>
        <v/>
      </c>
      <c r="R1772" s="39" t="str">
        <f>IF(AND($M1772=$P$7,$B1772&lt;'111'!$N$11),"x","")</f>
        <v/>
      </c>
      <c r="S1772" s="39" t="str">
        <f>IF(ISERROR(FIND('112'!$M$9,G1772,1)),"",IF((AND(FIND('112'!$M$9,G1772,1)&gt;=1,$B1772&gt;='112'!$N$8,$B1772&lt;='112'!$O$8,OR($L1772='112'!$I$6,$M1772='112'!$I$6))),"x",""))</f>
        <v/>
      </c>
      <c r="T1772" s="39" t="str">
        <f>IF(ISERROR(FIND('112'!$M$9,G1772,1)),"",IF((AND(LEFT(G1772,2)=LEFT('112'!$M$9,2),B1772&lt;'112'!$N$8,$L1772='112'!$I$6)),"x",""))</f>
        <v/>
      </c>
      <c r="U1772" s="39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39" t="str">
        <f>IF(OR(TH!L1772=TH!$W$7,M1772=TH!$W$7),"x","")</f>
        <v/>
      </c>
      <c r="X1772" s="39" t="str">
        <f>IF(AND(B1772&gt;='IN-NX'!$P$3,B1772&lt;='IN-NX'!$Q$3,'IN-NX'!$D$7=D1772,OR(LEFT(L1772,2)="15",AND(LEFT(M1772,2)&lt;&gt;"15",LEFT(M1772,2)&lt;&gt;"33"))),"x","")</f>
        <v/>
      </c>
      <c r="Y1772" s="39" t="str">
        <f>IF(AND(OR(LEFT(TH!L1772,2)="15",LEFT(TH!M1772,2)="15"),'152-CT'!$J$8=TH!F1772),"x","")</f>
        <v/>
      </c>
      <c r="Z1772" s="39" t="str">
        <f>IF(AND(OR(LEFT(TH!L1772,2)="15",LEFT(TH!M1772,2)="15"),TK!$E$7=TH!F1772),"x","")</f>
        <v/>
      </c>
      <c r="AA1772" s="39" t="str">
        <f>IF(AND(B1772&lt;=NKC!$N$8,B1772&gt;=NKC!$M$8),"x","")</f>
        <v/>
      </c>
      <c r="AB1772" s="821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99"/>
        <v/>
      </c>
      <c r="C1773" s="191"/>
      <c r="D1773" s="191"/>
      <c r="E1773" s="37"/>
      <c r="F1773" s="40"/>
      <c r="G1773" s="40"/>
      <c r="H1773" s="7"/>
      <c r="I1773" s="256"/>
      <c r="J1773" s="256"/>
      <c r="K1773" s="56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902" t="str">
        <f>IF(AND('341-CT'!$E$9=H1773,OR(LEFT(L1773,3)=$O$7,LEFT(M1773,3)=$O$7)),"x","")</f>
        <v/>
      </c>
      <c r="P1773" s="39" t="str">
        <f>IF(AND($B1773&gt;='111'!$N$11,$B1773&lt;='111'!$O$11,OR($L1773=$P$7,$M1773=$P$7)),"x","")</f>
        <v/>
      </c>
      <c r="Q1773" s="39" t="str">
        <f>IF(AND($L1773=$P$7,$B1773&lt;'111'!$N$11),"x","")</f>
        <v/>
      </c>
      <c r="R1773" s="39" t="str">
        <f>IF(AND($M1773=$P$7,$B1773&lt;'111'!$N$11),"x","")</f>
        <v/>
      </c>
      <c r="S1773" s="39" t="str">
        <f>IF(ISERROR(FIND('112'!$M$9,G1773,1)),"",IF((AND(FIND('112'!$M$9,G1773,1)&gt;=1,$B1773&gt;='112'!$N$8,$B1773&lt;='112'!$O$8,OR($L1773='112'!$I$6,$M1773='112'!$I$6))),"x",""))</f>
        <v/>
      </c>
      <c r="T1773" s="39" t="str">
        <f>IF(ISERROR(FIND('112'!$M$9,G1773,1)),"",IF((AND(LEFT(G1773,2)=LEFT('112'!$M$9,2),B1773&lt;'112'!$N$8,$L1773='112'!$I$6)),"x",""))</f>
        <v/>
      </c>
      <c r="U1773" s="39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39" t="str">
        <f>IF(OR(TH!L1773=TH!$W$7,M1773=TH!$W$7),"x","")</f>
        <v/>
      </c>
      <c r="X1773" s="39" t="str">
        <f>IF(AND(B1773&gt;='IN-NX'!$P$3,B1773&lt;='IN-NX'!$Q$3,'IN-NX'!$D$7=D1773,OR(LEFT(L1773,2)="15",AND(LEFT(M1773,2)&lt;&gt;"15",LEFT(M1773,2)&lt;&gt;"33"))),"x","")</f>
        <v/>
      </c>
      <c r="Y1773" s="39" t="str">
        <f>IF(AND(OR(LEFT(TH!L1773,2)="15",LEFT(TH!M1773,2)="15"),'152-CT'!$J$8=TH!F1773),"x","")</f>
        <v/>
      </c>
      <c r="Z1773" s="39" t="str">
        <f>IF(AND(OR(LEFT(TH!L1773,2)="15",LEFT(TH!M1773,2)="15"),TK!$E$7=TH!F1773),"x","")</f>
        <v/>
      </c>
      <c r="AA1773" s="39" t="str">
        <f>IF(AND(B1773&lt;=NKC!$N$8,B1773&gt;=NKC!$M$8),"x","")</f>
        <v/>
      </c>
      <c r="AB1773" s="821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99"/>
        <v/>
      </c>
      <c r="C1774" s="191"/>
      <c r="D1774" s="191"/>
      <c r="E1774" s="37"/>
      <c r="F1774" s="189"/>
      <c r="G1774" s="40"/>
      <c r="H1774" s="7"/>
      <c r="I1774" s="256"/>
      <c r="J1774" s="256"/>
      <c r="K1774" s="568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902" t="str">
        <f>IF(AND('341-CT'!$E$9=H1774,OR(LEFT(L1774,3)=$O$7,LEFT(M1774,3)=$O$7)),"x","")</f>
        <v/>
      </c>
      <c r="P1774" s="39" t="str">
        <f>IF(AND($B1774&gt;='111'!$N$11,$B1774&lt;='111'!$O$11,OR($L1774=$P$7,$M1774=$P$7)),"x","")</f>
        <v/>
      </c>
      <c r="Q1774" s="39" t="str">
        <f>IF(AND($L1774=$P$7,$B1774&lt;'111'!$N$11),"x","")</f>
        <v/>
      </c>
      <c r="R1774" s="39" t="str">
        <f>IF(AND($M1774=$P$7,$B1774&lt;'111'!$N$11),"x","")</f>
        <v/>
      </c>
      <c r="S1774" s="39" t="str">
        <f>IF(ISERROR(FIND('112'!$M$9,G1774,1)),"",IF((AND(FIND('112'!$M$9,G1774,1)&gt;=1,$B1774&gt;='112'!$N$8,$B1774&lt;='112'!$O$8,OR($L1774='112'!$I$6,$M1774='112'!$I$6))),"x",""))</f>
        <v/>
      </c>
      <c r="T1774" s="39" t="str">
        <f>IF(ISERROR(FIND('112'!$M$9,G1774,1)),"",IF((AND(LEFT(G1774,2)=LEFT('112'!$M$9,2),B1774&lt;'112'!$N$8,$L1774='112'!$I$6)),"x",""))</f>
        <v/>
      </c>
      <c r="U1774" s="39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39" t="str">
        <f>IF(OR(TH!L1774=TH!$W$7,M1774=TH!$W$7),"x","")</f>
        <v/>
      </c>
      <c r="X1774" s="39" t="str">
        <f>IF(AND(B1774&gt;='IN-NX'!$P$3,B1774&lt;='IN-NX'!$Q$3,'IN-NX'!$D$7=D1774,OR(LEFT(L1774,2)="15",AND(LEFT(M1774,2)&lt;&gt;"15",LEFT(M1774,2)&lt;&gt;"33"))),"x","")</f>
        <v/>
      </c>
      <c r="Y1774" s="39" t="str">
        <f>IF(AND(OR(LEFT(TH!L1774,2)="15",LEFT(TH!M1774,2)="15"),'152-CT'!$J$8=TH!F1774),"x","")</f>
        <v/>
      </c>
      <c r="Z1774" s="39" t="str">
        <f>IF(AND(OR(LEFT(TH!L1774,2)="15",LEFT(TH!M1774,2)="15"),TK!$E$7=TH!F1774),"x","")</f>
        <v/>
      </c>
      <c r="AA1774" s="39" t="str">
        <f>IF(AND(B1774&lt;=NKC!$N$8,B1774&gt;=NKC!$M$8),"x","")</f>
        <v/>
      </c>
      <c r="AB1774" s="821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99"/>
        <v/>
      </c>
      <c r="C1775" s="191"/>
      <c r="D1775" s="191"/>
      <c r="E1775" s="37"/>
      <c r="F1775" s="40"/>
      <c r="G1775" s="40"/>
      <c r="H1775" s="7"/>
      <c r="I1775" s="256"/>
      <c r="J1775" s="256"/>
      <c r="K1775" s="568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902" t="str">
        <f>IF(AND('341-CT'!$E$9=H1775,OR(LEFT(L1775,3)=$O$7,LEFT(M1775,3)=$O$7)),"x","")</f>
        <v/>
      </c>
      <c r="P1775" s="39" t="str">
        <f>IF(AND($B1775&gt;='111'!$N$11,$B1775&lt;='111'!$O$11,OR($L1775=$P$7,$M1775=$P$7)),"x","")</f>
        <v/>
      </c>
      <c r="Q1775" s="39" t="str">
        <f>IF(AND($L1775=$P$7,$B1775&lt;'111'!$N$11),"x","")</f>
        <v/>
      </c>
      <c r="R1775" s="39" t="str">
        <f>IF(AND($M1775=$P$7,$B1775&lt;'111'!$N$11),"x","")</f>
        <v/>
      </c>
      <c r="S1775" s="39" t="str">
        <f>IF(ISERROR(FIND('112'!$M$9,G1775,1)),"",IF((AND(FIND('112'!$M$9,G1775,1)&gt;=1,$B1775&gt;='112'!$N$8,$B1775&lt;='112'!$O$8,OR($L1775='112'!$I$6,$M1775='112'!$I$6))),"x",""))</f>
        <v/>
      </c>
      <c r="T1775" s="39" t="str">
        <f>IF(ISERROR(FIND('112'!$M$9,G1775,1)),"",IF((AND(LEFT(G1775,2)=LEFT('112'!$M$9,2),B1775&lt;'112'!$N$8,$L1775='112'!$I$6)),"x",""))</f>
        <v/>
      </c>
      <c r="U1775" s="39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39" t="str">
        <f>IF(OR(TH!L1775=TH!$W$7,M1775=TH!$W$7),"x","")</f>
        <v/>
      </c>
      <c r="X1775" s="39" t="str">
        <f>IF(AND(B1775&gt;='IN-NX'!$P$3,B1775&lt;='IN-NX'!$Q$3,'IN-NX'!$D$7=D1775,OR(LEFT(L1775,2)="15",AND(LEFT(M1775,2)&lt;&gt;"15",LEFT(M1775,2)&lt;&gt;"33"))),"x","")</f>
        <v/>
      </c>
      <c r="Y1775" s="39" t="str">
        <f>IF(AND(OR(LEFT(TH!L1775,2)="15",LEFT(TH!M1775,2)="15"),'152-CT'!$J$8=TH!F1775),"x","")</f>
        <v/>
      </c>
      <c r="Z1775" s="39" t="str">
        <f>IF(AND(OR(LEFT(TH!L1775,2)="15",LEFT(TH!M1775,2)="15"),TK!$E$7=TH!F1775),"x","")</f>
        <v/>
      </c>
      <c r="AA1775" s="39" t="str">
        <f>IF(AND(B1775&lt;=NKC!$N$8,B1775&gt;=NKC!$M$8),"x","")</f>
        <v/>
      </c>
      <c r="AB1775" s="821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99"/>
        <v/>
      </c>
      <c r="C1776" s="191"/>
      <c r="D1776" s="191"/>
      <c r="E1776" s="37"/>
      <c r="F1776" s="189"/>
      <c r="G1776" s="40"/>
      <c r="H1776" s="7"/>
      <c r="I1776" s="256"/>
      <c r="J1776" s="256"/>
      <c r="K1776" s="568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902" t="str">
        <f>IF(AND('341-CT'!$E$9=H1776,OR(LEFT(L1776,3)=$O$7,LEFT(M1776,3)=$O$7)),"x","")</f>
        <v/>
      </c>
      <c r="P1776" s="39" t="str">
        <f>IF(AND($B1776&gt;='111'!$N$11,$B1776&lt;='111'!$O$11,OR($L1776=$P$7,$M1776=$P$7)),"x","")</f>
        <v/>
      </c>
      <c r="Q1776" s="39" t="str">
        <f>IF(AND($L1776=$P$7,$B1776&lt;'111'!$N$11),"x","")</f>
        <v/>
      </c>
      <c r="R1776" s="39" t="str">
        <f>IF(AND($M1776=$P$7,$B1776&lt;'111'!$N$11),"x","")</f>
        <v/>
      </c>
      <c r="S1776" s="39" t="str">
        <f>IF(ISERROR(FIND('112'!$M$9,G1776,1)),"",IF((AND(FIND('112'!$M$9,G1776,1)&gt;=1,$B1776&gt;='112'!$N$8,$B1776&lt;='112'!$O$8,OR($L1776='112'!$I$6,$M1776='112'!$I$6))),"x",""))</f>
        <v/>
      </c>
      <c r="T1776" s="39" t="str">
        <f>IF(ISERROR(FIND('112'!$M$9,G1776,1)),"",IF((AND(LEFT(G1776,2)=LEFT('112'!$M$9,2),B1776&lt;'112'!$N$8,$L1776='112'!$I$6)),"x",""))</f>
        <v/>
      </c>
      <c r="U1776" s="39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39" t="str">
        <f>IF(OR(TH!L1776=TH!$W$7,M1776=TH!$W$7),"x","")</f>
        <v/>
      </c>
      <c r="X1776" s="39" t="str">
        <f>IF(AND(B1776&gt;='IN-NX'!$P$3,B1776&lt;='IN-NX'!$Q$3,'IN-NX'!$D$7=D1776,OR(LEFT(L1776,2)="15",AND(LEFT(M1776,2)&lt;&gt;"15",LEFT(M1776,2)&lt;&gt;"33"))),"x","")</f>
        <v/>
      </c>
      <c r="Y1776" s="39" t="str">
        <f>IF(AND(OR(LEFT(TH!L1776,2)="15",LEFT(TH!M1776,2)="15"),'152-CT'!$J$8=TH!F1776),"x","")</f>
        <v/>
      </c>
      <c r="Z1776" s="39" t="str">
        <f>IF(AND(OR(LEFT(TH!L1776,2)="15",LEFT(TH!M1776,2)="15"),TK!$E$7=TH!F1776),"x","")</f>
        <v/>
      </c>
      <c r="AA1776" s="39" t="str">
        <f>IF(AND(B1776&lt;=NKC!$N$8,B1776&gt;=NKC!$M$8),"x","")</f>
        <v/>
      </c>
      <c r="AB1776" s="821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99"/>
        <v/>
      </c>
      <c r="C1777" s="191"/>
      <c r="D1777" s="191"/>
      <c r="E1777" s="37"/>
      <c r="F1777" s="189"/>
      <c r="G1777" s="40"/>
      <c r="H1777" s="7"/>
      <c r="I1777" s="256"/>
      <c r="J1777" s="256"/>
      <c r="K1777" s="56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902" t="str">
        <f>IF(AND('341-CT'!$E$9=H1777,OR(LEFT(L1777,3)=$O$7,LEFT(M1777,3)=$O$7)),"x","")</f>
        <v/>
      </c>
      <c r="P1777" s="39" t="str">
        <f>IF(AND($B1777&gt;='111'!$N$11,$B1777&lt;='111'!$O$11,OR($L1777=$P$7,$M1777=$P$7)),"x","")</f>
        <v/>
      </c>
      <c r="Q1777" s="39" t="str">
        <f>IF(AND($L1777=$P$7,$B1777&lt;'111'!$N$11),"x","")</f>
        <v/>
      </c>
      <c r="R1777" s="39" t="str">
        <f>IF(AND($M1777=$P$7,$B1777&lt;'111'!$N$11),"x","")</f>
        <v/>
      </c>
      <c r="S1777" s="39" t="str">
        <f>IF(ISERROR(FIND('112'!$M$9,G1777,1)),"",IF((AND(FIND('112'!$M$9,G1777,1)&gt;=1,$B1777&gt;='112'!$N$8,$B1777&lt;='112'!$O$8,OR($L1777='112'!$I$6,$M1777='112'!$I$6))),"x",""))</f>
        <v/>
      </c>
      <c r="T1777" s="39" t="str">
        <f>IF(ISERROR(FIND('112'!$M$9,G1777,1)),"",IF((AND(LEFT(G1777,2)=LEFT('112'!$M$9,2),B1777&lt;'112'!$N$8,$L1777='112'!$I$6)),"x",""))</f>
        <v/>
      </c>
      <c r="U1777" s="39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39" t="str">
        <f>IF(OR(TH!L1777=TH!$W$7,M1777=TH!$W$7),"x","")</f>
        <v/>
      </c>
      <c r="X1777" s="39" t="str">
        <f>IF(AND(B1777&gt;='IN-NX'!$P$3,B1777&lt;='IN-NX'!$Q$3,'IN-NX'!$D$7=D1777,OR(LEFT(L1777,2)="15",AND(LEFT(M1777,2)&lt;&gt;"15",LEFT(M1777,2)&lt;&gt;"33"))),"x","")</f>
        <v/>
      </c>
      <c r="Y1777" s="39" t="str">
        <f>IF(AND(OR(LEFT(TH!L1777,2)="15",LEFT(TH!M1777,2)="15"),'152-CT'!$J$8=TH!F1777),"x","")</f>
        <v/>
      </c>
      <c r="Z1777" s="39" t="str">
        <f>IF(AND(OR(LEFT(TH!L1777,2)="15",LEFT(TH!M1777,2)="15"),TK!$E$7=TH!F1777),"x","")</f>
        <v/>
      </c>
      <c r="AA1777" s="39" t="str">
        <f>IF(AND(B1777&lt;=NKC!$N$8,B1777&gt;=NKC!$M$8),"x","")</f>
        <v/>
      </c>
      <c r="AB1777" s="821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99"/>
        <v/>
      </c>
      <c r="C1778" s="191"/>
      <c r="D1778" s="191"/>
      <c r="E1778" s="37"/>
      <c r="F1778" s="40"/>
      <c r="G1778" s="40"/>
      <c r="H1778" s="7"/>
      <c r="I1778" s="256"/>
      <c r="J1778" s="256"/>
      <c r="K1778" s="56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902" t="str">
        <f>IF(AND('341-CT'!$E$9=H1778,OR(LEFT(L1778,3)=$O$7,LEFT(M1778,3)=$O$7)),"x","")</f>
        <v/>
      </c>
      <c r="P1778" s="39" t="str">
        <f>IF(AND($B1778&gt;='111'!$N$11,$B1778&lt;='111'!$O$11,OR($L1778=$P$7,$M1778=$P$7)),"x","")</f>
        <v/>
      </c>
      <c r="Q1778" s="39" t="str">
        <f>IF(AND($L1778=$P$7,$B1778&lt;'111'!$N$11),"x","")</f>
        <v/>
      </c>
      <c r="R1778" s="39" t="str">
        <f>IF(AND($M1778=$P$7,$B1778&lt;'111'!$N$11),"x","")</f>
        <v/>
      </c>
      <c r="S1778" s="39" t="str">
        <f>IF(ISERROR(FIND('112'!$M$9,G1778,1)),"",IF((AND(FIND('112'!$M$9,G1778,1)&gt;=1,$B1778&gt;='112'!$N$8,$B1778&lt;='112'!$O$8,OR($L1778='112'!$I$6,$M1778='112'!$I$6))),"x",""))</f>
        <v/>
      </c>
      <c r="T1778" s="39" t="str">
        <f>IF(ISERROR(FIND('112'!$M$9,G1778,1)),"",IF((AND(LEFT(G1778,2)=LEFT('112'!$M$9,2),B1778&lt;'112'!$N$8,$L1778='112'!$I$6)),"x",""))</f>
        <v/>
      </c>
      <c r="U1778" s="39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39" t="str">
        <f>IF(OR(TH!L1778=TH!$W$7,M1778=TH!$W$7),"x","")</f>
        <v/>
      </c>
      <c r="X1778" s="39" t="str">
        <f>IF(AND(B1778&gt;='IN-NX'!$P$3,B1778&lt;='IN-NX'!$Q$3,'IN-NX'!$D$7=D1778,OR(LEFT(L1778,2)="15",AND(LEFT(M1778,2)&lt;&gt;"15",LEFT(M1778,2)&lt;&gt;"33"))),"x","")</f>
        <v/>
      </c>
      <c r="Y1778" s="39" t="str">
        <f>IF(AND(OR(LEFT(TH!L1778,2)="15",LEFT(TH!M1778,2)="15"),'152-CT'!$J$8=TH!F1778),"x","")</f>
        <v/>
      </c>
      <c r="Z1778" s="39" t="str">
        <f>IF(AND(OR(LEFT(TH!L1778,2)="15",LEFT(TH!M1778,2)="15"),TK!$E$7=TH!F1778),"x","")</f>
        <v/>
      </c>
      <c r="AA1778" s="39" t="str">
        <f>IF(AND(B1778&lt;=NKC!$N$8,B1778&gt;=NKC!$M$8),"x","")</f>
        <v/>
      </c>
      <c r="AB1778" s="821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 t="str">
        <f t="shared" si="99"/>
        <v/>
      </c>
      <c r="C1779" s="191"/>
      <c r="D1779" s="191"/>
      <c r="E1779" s="37"/>
      <c r="F1779" s="40"/>
      <c r="G1779" s="40"/>
      <c r="H1779" s="7"/>
      <c r="I1779" s="256"/>
      <c r="J1779" s="256"/>
      <c r="K1779" s="56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902" t="str">
        <f>IF(AND('341-CT'!$E$9=H1779,OR(LEFT(L1779,3)=$O$7,LEFT(M1779,3)=$O$7)),"x","")</f>
        <v/>
      </c>
      <c r="P1779" s="39" t="str">
        <f>IF(AND($B1779&gt;='111'!$N$11,$B1779&lt;='111'!$O$11,OR($L1779=$P$7,$M1779=$P$7)),"x","")</f>
        <v/>
      </c>
      <c r="Q1779" s="39" t="str">
        <f>IF(AND($L1779=$P$7,$B1779&lt;'111'!$N$11),"x","")</f>
        <v/>
      </c>
      <c r="R1779" s="39" t="str">
        <f>IF(AND($M1779=$P$7,$B1779&lt;'111'!$N$11),"x","")</f>
        <v/>
      </c>
      <c r="S1779" s="39" t="str">
        <f>IF(ISERROR(FIND('112'!$M$9,G1779,1)),"",IF((AND(FIND('112'!$M$9,G1779,1)&gt;=1,$B1779&gt;='112'!$N$8,$B1779&lt;='112'!$O$8,OR($L1779='112'!$I$6,$M1779='112'!$I$6))),"x",""))</f>
        <v/>
      </c>
      <c r="T1779" s="39" t="str">
        <f>IF(ISERROR(FIND('112'!$M$9,G1779,1)),"",IF((AND(LEFT(G1779,2)=LEFT('112'!$M$9,2),B1779&lt;'112'!$N$8,$L1779='112'!$I$6)),"x",""))</f>
        <v/>
      </c>
      <c r="U1779" s="39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39" t="str">
        <f>IF(OR(TH!L1779=TH!$W$7,M1779=TH!$W$7),"x","")</f>
        <v/>
      </c>
      <c r="X1779" s="39" t="str">
        <f>IF(AND(B1779&gt;='IN-NX'!$P$3,B1779&lt;='IN-NX'!$Q$3,'IN-NX'!$D$7=D1779,OR(LEFT(L1779,2)="15",AND(LEFT(M1779,2)&lt;&gt;"15",LEFT(M1779,2)&lt;&gt;"33"))),"x","")</f>
        <v/>
      </c>
      <c r="Y1779" s="39" t="str">
        <f>IF(AND(OR(LEFT(TH!L1779,2)="15",LEFT(TH!M1779,2)="15"),'152-CT'!$J$8=TH!F1779),"x","")</f>
        <v/>
      </c>
      <c r="Z1779" s="39" t="str">
        <f>IF(AND(OR(LEFT(TH!L1779,2)="15",LEFT(TH!M1779,2)="15"),TK!$E$7=TH!F1779),"x","")</f>
        <v/>
      </c>
      <c r="AA1779" s="39" t="str">
        <f>IF(AND(B1779&lt;=NKC!$N$8,B1779&gt;=NKC!$M$8),"x","")</f>
        <v/>
      </c>
      <c r="AB1779" s="821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si="99"/>
        <v/>
      </c>
      <c r="C1780" s="191"/>
      <c r="D1780" s="37"/>
      <c r="E1780" s="191"/>
      <c r="F1780" s="296"/>
      <c r="G1780" s="40"/>
      <c r="H1780" s="7"/>
      <c r="I1780" s="256"/>
      <c r="J1780" s="256"/>
      <c r="K1780" s="56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902" t="str">
        <f>IF(AND('341-CT'!$E$9=H1780,OR(LEFT(L1780,3)=$O$7,LEFT(M1780,3)=$O$7)),"x","")</f>
        <v/>
      </c>
      <c r="P1780" s="39" t="str">
        <f>IF(AND($B1780&gt;='111'!$N$11,$B1780&lt;='111'!$O$11,OR($L1780=$P$7,$M1780=$P$7)),"x","")</f>
        <v/>
      </c>
      <c r="Q1780" s="39" t="str">
        <f>IF(AND($L1780=$P$7,$B1780&lt;'111'!$N$11),"x","")</f>
        <v/>
      </c>
      <c r="R1780" s="39" t="str">
        <f>IF(AND($M1780=$P$7,$B1780&lt;'111'!$N$11),"x","")</f>
        <v/>
      </c>
      <c r="S1780" s="39" t="str">
        <f>IF(ISERROR(FIND('112'!$M$9,G1780,1)),"",IF((AND(FIND('112'!$M$9,G1780,1)&gt;=1,$B1780&gt;='112'!$N$8,$B1780&lt;='112'!$O$8,OR($L1780='112'!$I$6,$M1780='112'!$I$6))),"x",""))</f>
        <v/>
      </c>
      <c r="T1780" s="39" t="str">
        <f>IF(ISERROR(FIND('112'!$M$9,G1780,1)),"",IF((AND(LEFT(G1780,2)=LEFT('112'!$M$9,2),B1780&lt;'112'!$N$8,$L1780='112'!$I$6)),"x",""))</f>
        <v/>
      </c>
      <c r="U1780" s="39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39" t="str">
        <f>IF(OR(TH!L1780=TH!$W$7,M1780=TH!$W$7),"x","")</f>
        <v/>
      </c>
      <c r="X1780" s="39" t="str">
        <f>IF(AND(B1780&gt;='IN-NX'!$P$3,B1780&lt;='IN-NX'!$Q$3,'IN-NX'!$D$7=D1780,OR(LEFT(L1780,2)="15",AND(LEFT(M1780,2)&lt;&gt;"15",LEFT(M1780,2)&lt;&gt;"33"))),"x","")</f>
        <v/>
      </c>
      <c r="Y1780" s="39" t="str">
        <f>IF(AND(OR(LEFT(TH!L1780,2)="15",LEFT(TH!M1780,2)="15"),'152-CT'!$J$8=TH!F1780),"x","")</f>
        <v/>
      </c>
      <c r="Z1780" s="39" t="str">
        <f>IF(AND(OR(LEFT(TH!L1780,2)="15",LEFT(TH!M1780,2)="15"),TK!$E$7=TH!F1780),"x","")</f>
        <v/>
      </c>
      <c r="AA1780" s="39" t="str">
        <f>IF(AND(B1780&lt;=NKC!$N$8,B1780&gt;=NKC!$M$8),"x","")</f>
        <v/>
      </c>
      <c r="AB1780" s="821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99"/>
        <v/>
      </c>
      <c r="C1781" s="191"/>
      <c r="D1781" s="37"/>
      <c r="E1781" s="191"/>
      <c r="F1781" s="296"/>
      <c r="G1781" s="40"/>
      <c r="H1781" s="7"/>
      <c r="I1781" s="256"/>
      <c r="J1781" s="256"/>
      <c r="K1781" s="56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902" t="str">
        <f>IF(AND('341-CT'!$E$9=H1781,OR(LEFT(L1781,3)=$O$7,LEFT(M1781,3)=$O$7)),"x","")</f>
        <v/>
      </c>
      <c r="P1781" s="39" t="str">
        <f>IF(AND($B1781&gt;='111'!$N$11,$B1781&lt;='111'!$O$11,OR($L1781=$P$7,$M1781=$P$7)),"x","")</f>
        <v/>
      </c>
      <c r="Q1781" s="39" t="str">
        <f>IF(AND($L1781=$P$7,$B1781&lt;'111'!$N$11),"x","")</f>
        <v/>
      </c>
      <c r="R1781" s="39" t="str">
        <f>IF(AND($M1781=$P$7,$B1781&lt;'111'!$N$11),"x","")</f>
        <v/>
      </c>
      <c r="S1781" s="39" t="str">
        <f>IF(ISERROR(FIND('112'!$M$9,G1781,1)),"",IF((AND(FIND('112'!$M$9,G1781,1)&gt;=1,$B1781&gt;='112'!$N$8,$B1781&lt;='112'!$O$8,OR($L1781='112'!$I$6,$M1781='112'!$I$6))),"x",""))</f>
        <v/>
      </c>
      <c r="T1781" s="39" t="str">
        <f>IF(ISERROR(FIND('112'!$M$9,G1781,1)),"",IF((AND(LEFT(G1781,2)=LEFT('112'!$M$9,2),B1781&lt;'112'!$N$8,$L1781='112'!$I$6)),"x",""))</f>
        <v/>
      </c>
      <c r="U1781" s="39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39" t="str">
        <f>IF(OR(TH!L1781=TH!$W$7,M1781=TH!$W$7),"x","")</f>
        <v/>
      </c>
      <c r="X1781" s="39" t="str">
        <f>IF(AND(B1781&gt;='IN-NX'!$P$3,B1781&lt;='IN-NX'!$Q$3,'IN-NX'!$D$7=D1781,OR(LEFT(L1781,2)="15",AND(LEFT(M1781,2)&lt;&gt;"15",LEFT(M1781,2)&lt;&gt;"33"))),"x","")</f>
        <v/>
      </c>
      <c r="Y1781" s="39" t="str">
        <f>IF(AND(OR(LEFT(TH!L1781,2)="15",LEFT(TH!M1781,2)="15"),'152-CT'!$J$8=TH!F1781),"x","")</f>
        <v/>
      </c>
      <c r="Z1781" s="39" t="str">
        <f>IF(AND(OR(LEFT(TH!L1781,2)="15",LEFT(TH!M1781,2)="15"),TK!$E$7=TH!F1781),"x","")</f>
        <v/>
      </c>
      <c r="AA1781" s="39" t="str">
        <f>IF(AND(B1781&lt;=NKC!$N$8,B1781&gt;=NKC!$M$8),"x","")</f>
        <v/>
      </c>
      <c r="AB1781" s="821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99"/>
        <v/>
      </c>
      <c r="C1782" s="191"/>
      <c r="D1782" s="37"/>
      <c r="E1782" s="191"/>
      <c r="F1782" s="296"/>
      <c r="G1782" s="40"/>
      <c r="H1782" s="7"/>
      <c r="I1782" s="256"/>
      <c r="J1782" s="256"/>
      <c r="K1782" s="56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902" t="str">
        <f>IF(AND('341-CT'!$E$9=H1782,OR(LEFT(L1782,3)=$O$7,LEFT(M1782,3)=$O$7)),"x","")</f>
        <v/>
      </c>
      <c r="P1782" s="39" t="str">
        <f>IF(AND($B1782&gt;='111'!$N$11,$B1782&lt;='111'!$O$11,OR($L1782=$P$7,$M1782=$P$7)),"x","")</f>
        <v/>
      </c>
      <c r="Q1782" s="39" t="str">
        <f>IF(AND($L1782=$P$7,$B1782&lt;'111'!$N$11),"x","")</f>
        <v/>
      </c>
      <c r="R1782" s="39" t="str">
        <f>IF(AND($M1782=$P$7,$B1782&lt;'111'!$N$11),"x","")</f>
        <v/>
      </c>
      <c r="S1782" s="39" t="str">
        <f>IF(ISERROR(FIND('112'!$M$9,G1782,1)),"",IF((AND(FIND('112'!$M$9,G1782,1)&gt;=1,$B1782&gt;='112'!$N$8,$B1782&lt;='112'!$O$8,OR($L1782='112'!$I$6,$M1782='112'!$I$6))),"x",""))</f>
        <v/>
      </c>
      <c r="T1782" s="39" t="str">
        <f>IF(ISERROR(FIND('112'!$M$9,G1782,1)),"",IF((AND(LEFT(G1782,2)=LEFT('112'!$M$9,2),B1782&lt;'112'!$N$8,$L1782='112'!$I$6)),"x",""))</f>
        <v/>
      </c>
      <c r="U1782" s="39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39" t="str">
        <f>IF(OR(TH!L1782=TH!$W$7,M1782=TH!$W$7),"x","")</f>
        <v/>
      </c>
      <c r="X1782" s="39" t="str">
        <f>IF(AND(B1782&gt;='IN-NX'!$P$3,B1782&lt;='IN-NX'!$Q$3,'IN-NX'!$D$7=D1782,OR(LEFT(L1782,2)="15",AND(LEFT(M1782,2)&lt;&gt;"15",LEFT(M1782,2)&lt;&gt;"33"))),"x","")</f>
        <v/>
      </c>
      <c r="Y1782" s="39" t="str">
        <f>IF(AND(OR(LEFT(TH!L1782,2)="15",LEFT(TH!M1782,2)="15"),'152-CT'!$J$8=TH!F1782),"x","")</f>
        <v/>
      </c>
      <c r="Z1782" s="39" t="str">
        <f>IF(AND(OR(LEFT(TH!L1782,2)="15",LEFT(TH!M1782,2)="15"),TK!$E$7=TH!F1782),"x","")</f>
        <v/>
      </c>
      <c r="AA1782" s="39" t="str">
        <f>IF(AND(B1782&lt;=NKC!$N$8,B1782&gt;=NKC!$M$8),"x","")</f>
        <v/>
      </c>
      <c r="AB1782" s="821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99"/>
        <v/>
      </c>
      <c r="C1783" s="191"/>
      <c r="D1783" s="37"/>
      <c r="E1783" s="191"/>
      <c r="F1783" s="296"/>
      <c r="G1783" s="40"/>
      <c r="H1783" s="7"/>
      <c r="I1783" s="256"/>
      <c r="J1783" s="256"/>
      <c r="K1783" s="56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902" t="str">
        <f>IF(AND('341-CT'!$E$9=H1783,OR(LEFT(L1783,3)=$O$7,LEFT(M1783,3)=$O$7)),"x","")</f>
        <v/>
      </c>
      <c r="P1783" s="39" t="str">
        <f>IF(AND($B1783&gt;='111'!$N$11,$B1783&lt;='111'!$O$11,OR($L1783=$P$7,$M1783=$P$7)),"x","")</f>
        <v/>
      </c>
      <c r="Q1783" s="39" t="str">
        <f>IF(AND($L1783=$P$7,$B1783&lt;'111'!$N$11),"x","")</f>
        <v/>
      </c>
      <c r="R1783" s="39" t="str">
        <f>IF(AND($M1783=$P$7,$B1783&lt;'111'!$N$11),"x","")</f>
        <v/>
      </c>
      <c r="S1783" s="39" t="str">
        <f>IF(ISERROR(FIND('112'!$M$9,G1783,1)),"",IF((AND(FIND('112'!$M$9,G1783,1)&gt;=1,$B1783&gt;='112'!$N$8,$B1783&lt;='112'!$O$8,OR($L1783='112'!$I$6,$M1783='112'!$I$6))),"x",""))</f>
        <v/>
      </c>
      <c r="T1783" s="39" t="str">
        <f>IF(ISERROR(FIND('112'!$M$9,G1783,1)),"",IF((AND(LEFT(G1783,2)=LEFT('112'!$M$9,2),B1783&lt;'112'!$N$8,$L1783='112'!$I$6)),"x",""))</f>
        <v/>
      </c>
      <c r="U1783" s="39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39" t="str">
        <f>IF(OR(TH!L1783=TH!$W$7,M1783=TH!$W$7),"x","")</f>
        <v/>
      </c>
      <c r="X1783" s="39" t="str">
        <f>IF(AND(B1783&gt;='IN-NX'!$P$3,B1783&lt;='IN-NX'!$Q$3,'IN-NX'!$D$7=D1783,OR(LEFT(L1783,2)="15",AND(LEFT(M1783,2)&lt;&gt;"15",LEFT(M1783,2)&lt;&gt;"33"))),"x","")</f>
        <v/>
      </c>
      <c r="Y1783" s="39" t="str">
        <f>IF(AND(OR(LEFT(TH!L1783,2)="15",LEFT(TH!M1783,2)="15"),'152-CT'!$J$8=TH!F1783),"x","")</f>
        <v/>
      </c>
      <c r="Z1783" s="39" t="str">
        <f>IF(AND(OR(LEFT(TH!L1783,2)="15",LEFT(TH!M1783,2)="15"),TK!$E$7=TH!F1783),"x","")</f>
        <v/>
      </c>
      <c r="AA1783" s="39" t="str">
        <f>IF(AND(B1783&lt;=NKC!$N$8,B1783&gt;=NKC!$M$8),"x","")</f>
        <v/>
      </c>
      <c r="AB1783" s="821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99"/>
        <v/>
      </c>
      <c r="C1784" s="191"/>
      <c r="D1784" s="37"/>
      <c r="E1784" s="191"/>
      <c r="F1784" s="296"/>
      <c r="G1784" s="40"/>
      <c r="H1784" s="7"/>
      <c r="I1784" s="256"/>
      <c r="J1784" s="256"/>
      <c r="K1784" s="56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902" t="str">
        <f>IF(AND('341-CT'!$E$9=H1784,OR(LEFT(L1784,3)=$O$7,LEFT(M1784,3)=$O$7)),"x","")</f>
        <v/>
      </c>
      <c r="P1784" s="39" t="str">
        <f>IF(AND($B1784&gt;='111'!$N$11,$B1784&lt;='111'!$O$11,OR($L1784=$P$7,$M1784=$P$7)),"x","")</f>
        <v/>
      </c>
      <c r="Q1784" s="39" t="str">
        <f>IF(AND($L1784=$P$7,$B1784&lt;'111'!$N$11),"x","")</f>
        <v/>
      </c>
      <c r="R1784" s="39" t="str">
        <f>IF(AND($M1784=$P$7,$B1784&lt;'111'!$N$11),"x","")</f>
        <v/>
      </c>
      <c r="S1784" s="39" t="str">
        <f>IF(ISERROR(FIND('112'!$M$9,G1784,1)),"",IF((AND(FIND('112'!$M$9,G1784,1)&gt;=1,$B1784&gt;='112'!$N$8,$B1784&lt;='112'!$O$8,OR($L1784='112'!$I$6,$M1784='112'!$I$6))),"x",""))</f>
        <v/>
      </c>
      <c r="T1784" s="39" t="str">
        <f>IF(ISERROR(FIND('112'!$M$9,G1784,1)),"",IF((AND(LEFT(G1784,2)=LEFT('112'!$M$9,2),B1784&lt;'112'!$N$8,$L1784='112'!$I$6)),"x",""))</f>
        <v/>
      </c>
      <c r="U1784" s="39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39" t="str">
        <f>IF(OR(TH!L1784=TH!$W$7,M1784=TH!$W$7),"x","")</f>
        <v/>
      </c>
      <c r="X1784" s="39" t="str">
        <f>IF(AND(B1784&gt;='IN-NX'!$P$3,B1784&lt;='IN-NX'!$Q$3,'IN-NX'!$D$7=D1784,OR(LEFT(L1784,2)="15",AND(LEFT(M1784,2)&lt;&gt;"15",LEFT(M1784,2)&lt;&gt;"33"))),"x","")</f>
        <v/>
      </c>
      <c r="Y1784" s="39" t="str">
        <f>IF(AND(OR(LEFT(TH!L1784,2)="15",LEFT(TH!M1784,2)="15"),'152-CT'!$J$8=TH!F1784),"x","")</f>
        <v/>
      </c>
      <c r="Z1784" s="39" t="str">
        <f>IF(AND(OR(LEFT(TH!L1784,2)="15",LEFT(TH!M1784,2)="15"),TK!$E$7=TH!F1784),"x","")</f>
        <v/>
      </c>
      <c r="AA1784" s="39" t="str">
        <f>IF(AND(B1784&lt;=NKC!$N$8,B1784&gt;=NKC!$M$8),"x","")</f>
        <v/>
      </c>
      <c r="AB1784" s="821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ref="B1785:B1848" si="100">IF(C1785&lt;&gt;"",MONTH(C1785),"")</f>
        <v/>
      </c>
      <c r="C1785" s="191"/>
      <c r="D1785" s="37"/>
      <c r="E1785" s="191"/>
      <c r="F1785" s="296"/>
      <c r="G1785" s="40"/>
      <c r="H1785" s="7"/>
      <c r="I1785" s="256"/>
      <c r="J1785" s="256"/>
      <c r="K1785" s="56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902" t="str">
        <f>IF(AND('341-CT'!$E$9=H1785,OR(LEFT(L1785,3)=$O$7,LEFT(M1785,3)=$O$7)),"x","")</f>
        <v/>
      </c>
      <c r="P1785" s="39" t="str">
        <f>IF(AND($B1785&gt;='111'!$N$11,$B1785&lt;='111'!$O$11,OR($L1785=$P$7,$M1785=$P$7)),"x","")</f>
        <v/>
      </c>
      <c r="Q1785" s="39" t="str">
        <f>IF(AND($L1785=$P$7,$B1785&lt;'111'!$N$11),"x","")</f>
        <v/>
      </c>
      <c r="R1785" s="39" t="str">
        <f>IF(AND($M1785=$P$7,$B1785&lt;'111'!$N$11),"x","")</f>
        <v/>
      </c>
      <c r="S1785" s="39" t="str">
        <f>IF(ISERROR(FIND('112'!$M$9,G1785,1)),"",IF((AND(FIND('112'!$M$9,G1785,1)&gt;=1,$B1785&gt;='112'!$N$8,$B1785&lt;='112'!$O$8,OR($L1785='112'!$I$6,$M1785='112'!$I$6))),"x",""))</f>
        <v/>
      </c>
      <c r="T1785" s="39" t="str">
        <f>IF(ISERROR(FIND('112'!$M$9,G1785,1)),"",IF((AND(LEFT(G1785,2)=LEFT('112'!$M$9,2),B1785&lt;'112'!$N$8,$L1785='112'!$I$6)),"x",""))</f>
        <v/>
      </c>
      <c r="U1785" s="39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39" t="str">
        <f>IF(OR(TH!L1785=TH!$W$7,M1785=TH!$W$7),"x","")</f>
        <v/>
      </c>
      <c r="X1785" s="39" t="str">
        <f>IF(AND(B1785&gt;='IN-NX'!$P$3,B1785&lt;='IN-NX'!$Q$3,'IN-NX'!$D$7=D1785,OR(LEFT(L1785,2)="15",AND(LEFT(M1785,2)&lt;&gt;"15",LEFT(M1785,2)&lt;&gt;"33"))),"x","")</f>
        <v/>
      </c>
      <c r="Y1785" s="39" t="str">
        <f>IF(AND(OR(LEFT(TH!L1785,2)="15",LEFT(TH!M1785,2)="15"),'152-CT'!$J$8=TH!F1785),"x","")</f>
        <v/>
      </c>
      <c r="Z1785" s="39" t="str">
        <f>IF(AND(OR(LEFT(TH!L1785,2)="15",LEFT(TH!M1785,2)="15"),TK!$E$7=TH!F1785),"x","")</f>
        <v/>
      </c>
      <c r="AA1785" s="39" t="str">
        <f>IF(AND(B1785&lt;=NKC!$N$8,B1785&gt;=NKC!$M$8),"x","")</f>
        <v/>
      </c>
      <c r="AB1785" s="821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100"/>
        <v/>
      </c>
      <c r="C1786" s="191"/>
      <c r="D1786" s="37"/>
      <c r="E1786" s="37"/>
      <c r="F1786" s="296"/>
      <c r="G1786" s="40"/>
      <c r="H1786" s="7"/>
      <c r="I1786" s="256"/>
      <c r="J1786" s="256"/>
      <c r="K1786" s="56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902" t="str">
        <f>IF(AND('341-CT'!$E$9=H1786,OR(LEFT(L1786,3)=$O$7,LEFT(M1786,3)=$O$7)),"x","")</f>
        <v/>
      </c>
      <c r="P1786" s="39" t="str">
        <f>IF(AND($B1786&gt;='111'!$N$11,$B1786&lt;='111'!$O$11,OR($L1786=$P$7,$M1786=$P$7)),"x","")</f>
        <v/>
      </c>
      <c r="Q1786" s="39" t="str">
        <f>IF(AND($L1786=$P$7,$B1786&lt;'111'!$N$11),"x","")</f>
        <v/>
      </c>
      <c r="R1786" s="39" t="str">
        <f>IF(AND($M1786=$P$7,$B1786&lt;'111'!$N$11),"x","")</f>
        <v/>
      </c>
      <c r="S1786" s="39" t="str">
        <f>IF(ISERROR(FIND('112'!$M$9,G1786,1)),"",IF((AND(FIND('112'!$M$9,G1786,1)&gt;=1,$B1786&gt;='112'!$N$8,$B1786&lt;='112'!$O$8,OR($L1786='112'!$I$6,$M1786='112'!$I$6))),"x",""))</f>
        <v/>
      </c>
      <c r="T1786" s="39" t="str">
        <f>IF(ISERROR(FIND('112'!$M$9,G1786,1)),"",IF((AND(LEFT(G1786,2)=LEFT('112'!$M$9,2),B1786&lt;'112'!$N$8,$L1786='112'!$I$6)),"x",""))</f>
        <v/>
      </c>
      <c r="U1786" s="39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39" t="str">
        <f>IF(OR(TH!L1786=TH!$W$7,M1786=TH!$W$7),"x","")</f>
        <v/>
      </c>
      <c r="X1786" s="39" t="str">
        <f>IF(AND(B1786&gt;='IN-NX'!$P$3,B1786&lt;='IN-NX'!$Q$3,'IN-NX'!$D$7=D1786,OR(LEFT(L1786,2)="15",AND(LEFT(M1786,2)&lt;&gt;"15",LEFT(M1786,2)&lt;&gt;"33"))),"x","")</f>
        <v/>
      </c>
      <c r="Y1786" s="39" t="str">
        <f>IF(AND(OR(LEFT(TH!L1786,2)="15",LEFT(TH!M1786,2)="15"),'152-CT'!$J$8=TH!F1786),"x","")</f>
        <v/>
      </c>
      <c r="Z1786" s="39" t="str">
        <f>IF(AND(OR(LEFT(TH!L1786,2)="15",LEFT(TH!M1786,2)="15"),TK!$E$7=TH!F1786),"x","")</f>
        <v/>
      </c>
      <c r="AA1786" s="39" t="str">
        <f>IF(AND(B1786&lt;=NKC!$N$8,B1786&gt;=NKC!$M$8),"x","")</f>
        <v/>
      </c>
      <c r="AB1786" s="821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100"/>
        <v/>
      </c>
      <c r="C1787" s="191"/>
      <c r="D1787" s="37"/>
      <c r="E1787" s="37"/>
      <c r="F1787" s="296"/>
      <c r="G1787" s="40"/>
      <c r="H1787" s="7"/>
      <c r="I1787" s="256"/>
      <c r="J1787" s="256"/>
      <c r="K1787" s="56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902" t="str">
        <f>IF(AND('341-CT'!$E$9=H1787,OR(LEFT(L1787,3)=$O$7,LEFT(M1787,3)=$O$7)),"x","")</f>
        <v/>
      </c>
      <c r="P1787" s="39" t="str">
        <f>IF(AND($B1787&gt;='111'!$N$11,$B1787&lt;='111'!$O$11,OR($L1787=$P$7,$M1787=$P$7)),"x","")</f>
        <v/>
      </c>
      <c r="Q1787" s="39" t="str">
        <f>IF(AND($L1787=$P$7,$B1787&lt;'111'!$N$11),"x","")</f>
        <v/>
      </c>
      <c r="R1787" s="39" t="str">
        <f>IF(AND($M1787=$P$7,$B1787&lt;'111'!$N$11),"x","")</f>
        <v/>
      </c>
      <c r="S1787" s="39" t="str">
        <f>IF(ISERROR(FIND('112'!$M$9,G1787,1)),"",IF((AND(FIND('112'!$M$9,G1787,1)&gt;=1,$B1787&gt;='112'!$N$8,$B1787&lt;='112'!$O$8,OR($L1787='112'!$I$6,$M1787='112'!$I$6))),"x",""))</f>
        <v/>
      </c>
      <c r="T1787" s="39" t="str">
        <f>IF(ISERROR(FIND('112'!$M$9,G1787,1)),"",IF((AND(LEFT(G1787,2)=LEFT('112'!$M$9,2),B1787&lt;'112'!$N$8,$L1787='112'!$I$6)),"x",""))</f>
        <v/>
      </c>
      <c r="U1787" s="39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39" t="str">
        <f>IF(OR(TH!L1787=TH!$W$7,M1787=TH!$W$7),"x","")</f>
        <v/>
      </c>
      <c r="X1787" s="39" t="str">
        <f>IF(AND(B1787&gt;='IN-NX'!$P$3,B1787&lt;='IN-NX'!$Q$3,'IN-NX'!$D$7=D1787,OR(LEFT(L1787,2)="15",AND(LEFT(M1787,2)&lt;&gt;"15",LEFT(M1787,2)&lt;&gt;"33"))),"x","")</f>
        <v/>
      </c>
      <c r="Y1787" s="39" t="str">
        <f>IF(AND(OR(LEFT(TH!L1787,2)="15",LEFT(TH!M1787,2)="15"),'152-CT'!$J$8=TH!F1787),"x","")</f>
        <v/>
      </c>
      <c r="Z1787" s="39" t="str">
        <f>IF(AND(OR(LEFT(TH!L1787,2)="15",LEFT(TH!M1787,2)="15"),TK!$E$7=TH!F1787),"x","")</f>
        <v/>
      </c>
      <c r="AA1787" s="39" t="str">
        <f>IF(AND(B1787&lt;=NKC!$N$8,B1787&gt;=NKC!$M$8),"x","")</f>
        <v/>
      </c>
      <c r="AB1787" s="821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100"/>
        <v/>
      </c>
      <c r="C1788" s="191"/>
      <c r="D1788" s="37"/>
      <c r="E1788" s="37"/>
      <c r="F1788" s="296"/>
      <c r="G1788" s="40"/>
      <c r="H1788" s="7"/>
      <c r="I1788" s="256"/>
      <c r="J1788" s="256"/>
      <c r="K1788" s="56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902" t="str">
        <f>IF(AND('341-CT'!$E$9=H1788,OR(LEFT(L1788,3)=$O$7,LEFT(M1788,3)=$O$7)),"x","")</f>
        <v/>
      </c>
      <c r="P1788" s="39" t="str">
        <f>IF(AND($B1788&gt;='111'!$N$11,$B1788&lt;='111'!$O$11,OR($L1788=$P$7,$M1788=$P$7)),"x","")</f>
        <v/>
      </c>
      <c r="Q1788" s="39" t="str">
        <f>IF(AND($L1788=$P$7,$B1788&lt;'111'!$N$11),"x","")</f>
        <v/>
      </c>
      <c r="R1788" s="39" t="str">
        <f>IF(AND($M1788=$P$7,$B1788&lt;'111'!$N$11),"x","")</f>
        <v/>
      </c>
      <c r="S1788" s="39" t="str">
        <f>IF(ISERROR(FIND('112'!$M$9,G1788,1)),"",IF((AND(FIND('112'!$M$9,G1788,1)&gt;=1,$B1788&gt;='112'!$N$8,$B1788&lt;='112'!$O$8,OR($L1788='112'!$I$6,$M1788='112'!$I$6))),"x",""))</f>
        <v/>
      </c>
      <c r="T1788" s="39" t="str">
        <f>IF(ISERROR(FIND('112'!$M$9,G1788,1)),"",IF((AND(LEFT(G1788,2)=LEFT('112'!$M$9,2),B1788&lt;'112'!$N$8,$L1788='112'!$I$6)),"x",""))</f>
        <v/>
      </c>
      <c r="U1788" s="39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39" t="str">
        <f>IF(OR(TH!L1788=TH!$W$7,M1788=TH!$W$7),"x","")</f>
        <v/>
      </c>
      <c r="X1788" s="39" t="str">
        <f>IF(AND(B1788&gt;='IN-NX'!$P$3,B1788&lt;='IN-NX'!$Q$3,'IN-NX'!$D$7=D1788,OR(LEFT(L1788,2)="15",AND(LEFT(M1788,2)&lt;&gt;"15",LEFT(M1788,2)&lt;&gt;"33"))),"x","")</f>
        <v/>
      </c>
      <c r="Y1788" s="39" t="str">
        <f>IF(AND(OR(LEFT(TH!L1788,2)="15",LEFT(TH!M1788,2)="15"),'152-CT'!$J$8=TH!F1788),"x","")</f>
        <v/>
      </c>
      <c r="Z1788" s="39" t="str">
        <f>IF(AND(OR(LEFT(TH!L1788,2)="15",LEFT(TH!M1788,2)="15"),TK!$E$7=TH!F1788),"x","")</f>
        <v/>
      </c>
      <c r="AA1788" s="39" t="str">
        <f>IF(AND(B1788&lt;=NKC!$N$8,B1788&gt;=NKC!$M$8),"x","")</f>
        <v/>
      </c>
      <c r="AB1788" s="821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100"/>
        <v/>
      </c>
      <c r="C1789" s="191"/>
      <c r="D1789" s="37"/>
      <c r="E1789" s="37"/>
      <c r="F1789" s="296"/>
      <c r="G1789" s="40"/>
      <c r="H1789" s="7"/>
      <c r="I1789" s="256"/>
      <c r="J1789" s="256"/>
      <c r="K1789" s="56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902" t="str">
        <f>IF(AND('341-CT'!$E$9=H1789,OR(LEFT(L1789,3)=$O$7,LEFT(M1789,3)=$O$7)),"x","")</f>
        <v/>
      </c>
      <c r="P1789" s="39" t="str">
        <f>IF(AND($B1789&gt;='111'!$N$11,$B1789&lt;='111'!$O$11,OR($L1789=$P$7,$M1789=$P$7)),"x","")</f>
        <v/>
      </c>
      <c r="Q1789" s="39" t="str">
        <f>IF(AND($L1789=$P$7,$B1789&lt;'111'!$N$11),"x","")</f>
        <v/>
      </c>
      <c r="R1789" s="39" t="str">
        <f>IF(AND($M1789=$P$7,$B1789&lt;'111'!$N$11),"x","")</f>
        <v/>
      </c>
      <c r="S1789" s="39" t="str">
        <f>IF(ISERROR(FIND('112'!$M$9,G1789,1)),"",IF((AND(FIND('112'!$M$9,G1789,1)&gt;=1,$B1789&gt;='112'!$N$8,$B1789&lt;='112'!$O$8,OR($L1789='112'!$I$6,$M1789='112'!$I$6))),"x",""))</f>
        <v/>
      </c>
      <c r="T1789" s="39" t="str">
        <f>IF(ISERROR(FIND('112'!$M$9,G1789,1)),"",IF((AND(LEFT(G1789,2)=LEFT('112'!$M$9,2),B1789&lt;'112'!$N$8,$L1789='112'!$I$6)),"x",""))</f>
        <v/>
      </c>
      <c r="U1789" s="39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39" t="str">
        <f>IF(OR(TH!L1789=TH!$W$7,M1789=TH!$W$7),"x","")</f>
        <v/>
      </c>
      <c r="X1789" s="39" t="str">
        <f>IF(AND(B1789&gt;='IN-NX'!$P$3,B1789&lt;='IN-NX'!$Q$3,'IN-NX'!$D$7=D1789,OR(LEFT(L1789,2)="15",AND(LEFT(M1789,2)&lt;&gt;"15",LEFT(M1789,2)&lt;&gt;"33"))),"x","")</f>
        <v/>
      </c>
      <c r="Y1789" s="39" t="str">
        <f>IF(AND(OR(LEFT(TH!L1789,2)="15",LEFT(TH!M1789,2)="15"),'152-CT'!$J$8=TH!F1789),"x","")</f>
        <v/>
      </c>
      <c r="Z1789" s="39" t="str">
        <f>IF(AND(OR(LEFT(TH!L1789,2)="15",LEFT(TH!M1789,2)="15"),TK!$E$7=TH!F1789),"x","")</f>
        <v/>
      </c>
      <c r="AA1789" s="39" t="str">
        <f>IF(AND(B1789&lt;=NKC!$N$8,B1789&gt;=NKC!$M$8),"x","")</f>
        <v/>
      </c>
      <c r="AB1789" s="821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100"/>
        <v/>
      </c>
      <c r="C1790" s="191"/>
      <c r="D1790" s="37"/>
      <c r="E1790" s="37"/>
      <c r="F1790" s="296"/>
      <c r="G1790" s="40"/>
      <c r="H1790" s="7"/>
      <c r="I1790" s="256"/>
      <c r="J1790" s="256"/>
      <c r="K1790" s="56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902" t="str">
        <f>IF(AND('341-CT'!$E$9=H1790,OR(LEFT(L1790,3)=$O$7,LEFT(M1790,3)=$O$7)),"x","")</f>
        <v/>
      </c>
      <c r="P1790" s="39" t="str">
        <f>IF(AND($B1790&gt;='111'!$N$11,$B1790&lt;='111'!$O$11,OR($L1790=$P$7,$M1790=$P$7)),"x","")</f>
        <v/>
      </c>
      <c r="Q1790" s="39" t="str">
        <f>IF(AND($L1790=$P$7,$B1790&lt;'111'!$N$11),"x","")</f>
        <v/>
      </c>
      <c r="R1790" s="39" t="str">
        <f>IF(AND($M1790=$P$7,$B1790&lt;'111'!$N$11),"x","")</f>
        <v/>
      </c>
      <c r="S1790" s="39" t="str">
        <f>IF(ISERROR(FIND('112'!$M$9,G1790,1)),"",IF((AND(FIND('112'!$M$9,G1790,1)&gt;=1,$B1790&gt;='112'!$N$8,$B1790&lt;='112'!$O$8,OR($L1790='112'!$I$6,$M1790='112'!$I$6))),"x",""))</f>
        <v/>
      </c>
      <c r="T1790" s="39" t="str">
        <f>IF(ISERROR(FIND('112'!$M$9,G1790,1)),"",IF((AND(LEFT(G1790,2)=LEFT('112'!$M$9,2),B1790&lt;'112'!$N$8,$L1790='112'!$I$6)),"x",""))</f>
        <v/>
      </c>
      <c r="U1790" s="39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39" t="str">
        <f>IF(OR(TH!L1790=TH!$W$7,M1790=TH!$W$7),"x","")</f>
        <v/>
      </c>
      <c r="X1790" s="39" t="str">
        <f>IF(AND(B1790&gt;='IN-NX'!$P$3,B1790&lt;='IN-NX'!$Q$3,'IN-NX'!$D$7=D1790,OR(LEFT(L1790,2)="15",AND(LEFT(M1790,2)&lt;&gt;"15",LEFT(M1790,2)&lt;&gt;"33"))),"x","")</f>
        <v/>
      </c>
      <c r="Y1790" s="39" t="str">
        <f>IF(AND(OR(LEFT(TH!L1790,2)="15",LEFT(TH!M1790,2)="15"),'152-CT'!$J$8=TH!F1790),"x","")</f>
        <v/>
      </c>
      <c r="Z1790" s="39" t="str">
        <f>IF(AND(OR(LEFT(TH!L1790,2)="15",LEFT(TH!M1790,2)="15"),TK!$E$7=TH!F1790),"x","")</f>
        <v/>
      </c>
      <c r="AA1790" s="39" t="str">
        <f>IF(AND(B1790&lt;=NKC!$N$8,B1790&gt;=NKC!$M$8),"x","")</f>
        <v/>
      </c>
      <c r="AB1790" s="821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100"/>
        <v/>
      </c>
      <c r="C1791" s="191"/>
      <c r="D1791" s="37"/>
      <c r="E1791" s="37"/>
      <c r="F1791" s="296"/>
      <c r="G1791" s="40"/>
      <c r="H1791" s="7"/>
      <c r="I1791" s="256"/>
      <c r="J1791" s="256"/>
      <c r="K1791" s="56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902" t="str">
        <f>IF(AND('341-CT'!$E$9=H1791,OR(LEFT(L1791,3)=$O$7,LEFT(M1791,3)=$O$7)),"x","")</f>
        <v/>
      </c>
      <c r="P1791" s="39" t="str">
        <f>IF(AND($B1791&gt;='111'!$N$11,$B1791&lt;='111'!$O$11,OR($L1791=$P$7,$M1791=$P$7)),"x","")</f>
        <v/>
      </c>
      <c r="Q1791" s="39" t="str">
        <f>IF(AND($L1791=$P$7,$B1791&lt;'111'!$N$11),"x","")</f>
        <v/>
      </c>
      <c r="R1791" s="39" t="str">
        <f>IF(AND($M1791=$P$7,$B1791&lt;'111'!$N$11),"x","")</f>
        <v/>
      </c>
      <c r="S1791" s="39" t="str">
        <f>IF(ISERROR(FIND('112'!$M$9,G1791,1)),"",IF((AND(FIND('112'!$M$9,G1791,1)&gt;=1,$B1791&gt;='112'!$N$8,$B1791&lt;='112'!$O$8,OR($L1791='112'!$I$6,$M1791='112'!$I$6))),"x",""))</f>
        <v/>
      </c>
      <c r="T1791" s="39" t="str">
        <f>IF(ISERROR(FIND('112'!$M$9,G1791,1)),"",IF((AND(LEFT(G1791,2)=LEFT('112'!$M$9,2),B1791&lt;'112'!$N$8,$L1791='112'!$I$6)),"x",""))</f>
        <v/>
      </c>
      <c r="U1791" s="39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39" t="str">
        <f>IF(OR(TH!L1791=TH!$W$7,M1791=TH!$W$7),"x","")</f>
        <v/>
      </c>
      <c r="X1791" s="39" t="str">
        <f>IF(AND(B1791&gt;='IN-NX'!$P$3,B1791&lt;='IN-NX'!$Q$3,'IN-NX'!$D$7=D1791,OR(LEFT(L1791,2)="15",AND(LEFT(M1791,2)&lt;&gt;"15",LEFT(M1791,2)&lt;&gt;"33"))),"x","")</f>
        <v/>
      </c>
      <c r="Y1791" s="39" t="str">
        <f>IF(AND(OR(LEFT(TH!L1791,2)="15",LEFT(TH!M1791,2)="15"),'152-CT'!$J$8=TH!F1791),"x","")</f>
        <v/>
      </c>
      <c r="Z1791" s="39" t="str">
        <f>IF(AND(OR(LEFT(TH!L1791,2)="15",LEFT(TH!M1791,2)="15"),TK!$E$7=TH!F1791),"x","")</f>
        <v/>
      </c>
      <c r="AA1791" s="39" t="str">
        <f>IF(AND(B1791&lt;=NKC!$N$8,B1791&gt;=NKC!$M$8),"x","")</f>
        <v/>
      </c>
      <c r="AB1791" s="821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100"/>
        <v/>
      </c>
      <c r="C1792" s="191"/>
      <c r="D1792" s="37"/>
      <c r="E1792" s="191"/>
      <c r="F1792" s="192"/>
      <c r="G1792" s="468"/>
      <c r="H1792" s="193"/>
      <c r="I1792" s="256"/>
      <c r="J1792" s="256"/>
      <c r="K1792" s="56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902" t="str">
        <f>IF(AND('341-CT'!$E$9=H1792,OR(LEFT(L1792,3)=$O$7,LEFT(M1792,3)=$O$7)),"x","")</f>
        <v/>
      </c>
      <c r="P1792" s="39" t="str">
        <f>IF(AND($B1792&gt;='111'!$N$11,$B1792&lt;='111'!$O$11,OR($L1792=$P$7,$M1792=$P$7)),"x","")</f>
        <v/>
      </c>
      <c r="Q1792" s="39" t="str">
        <f>IF(AND($L1792=$P$7,$B1792&lt;'111'!$N$11),"x","")</f>
        <v/>
      </c>
      <c r="R1792" s="39" t="str">
        <f>IF(AND($M1792=$P$7,$B1792&lt;'111'!$N$11),"x","")</f>
        <v/>
      </c>
      <c r="S1792" s="39" t="str">
        <f>IF(ISERROR(FIND('112'!$M$9,G1792,1)),"",IF((AND(FIND('112'!$M$9,G1792,1)&gt;=1,$B1792&gt;='112'!$N$8,$B1792&lt;='112'!$O$8,OR($L1792='112'!$I$6,$M1792='112'!$I$6))),"x",""))</f>
        <v/>
      </c>
      <c r="T1792" s="39" t="str">
        <f>IF(ISERROR(FIND('112'!$M$9,G1792,1)),"",IF((AND(LEFT(G1792,2)=LEFT('112'!$M$9,2),B1792&lt;'112'!$N$8,$L1792='112'!$I$6)),"x",""))</f>
        <v/>
      </c>
      <c r="U1792" s="39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39" t="str">
        <f>IF(OR(TH!L1792=TH!$W$7,M1792=TH!$W$7),"x","")</f>
        <v/>
      </c>
      <c r="X1792" s="39" t="str">
        <f>IF(AND(B1792&gt;='IN-NX'!$P$3,B1792&lt;='IN-NX'!$Q$3,'IN-NX'!$D$7=D1792,OR(LEFT(L1792,2)="15",AND(LEFT(M1792,2)&lt;&gt;"15",LEFT(M1792,2)&lt;&gt;"33"))),"x","")</f>
        <v/>
      </c>
      <c r="Y1792" s="39" t="str">
        <f>IF(AND(OR(LEFT(TH!L1792,2)="15",LEFT(TH!M1792,2)="15"),'152-CT'!$J$8=TH!F1792),"x","")</f>
        <v/>
      </c>
      <c r="Z1792" s="39" t="str">
        <f>IF(AND(OR(LEFT(TH!L1792,2)="15",LEFT(TH!M1792,2)="15"),TK!$E$7=TH!F1792),"x","")</f>
        <v/>
      </c>
      <c r="AA1792" s="39" t="str">
        <f>IF(AND(B1792&lt;=NKC!$N$8,B1792&gt;=NKC!$M$8),"x","")</f>
        <v/>
      </c>
      <c r="AB1792" s="821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100"/>
        <v/>
      </c>
      <c r="C1793" s="191"/>
      <c r="D1793" s="37"/>
      <c r="E1793" s="191"/>
      <c r="F1793" s="192"/>
      <c r="G1793" s="468"/>
      <c r="H1793" s="193"/>
      <c r="I1793" s="256"/>
      <c r="J1793" s="256"/>
      <c r="K1793" s="56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902" t="str">
        <f>IF(AND('341-CT'!$E$9=H1793,OR(LEFT(L1793,3)=$O$7,LEFT(M1793,3)=$O$7)),"x","")</f>
        <v/>
      </c>
      <c r="P1793" s="39" t="str">
        <f>IF(AND($B1793&gt;='111'!$N$11,$B1793&lt;='111'!$O$11,OR($L1793=$P$7,$M1793=$P$7)),"x","")</f>
        <v/>
      </c>
      <c r="Q1793" s="39" t="str">
        <f>IF(AND($L1793=$P$7,$B1793&lt;'111'!$N$11),"x","")</f>
        <v/>
      </c>
      <c r="R1793" s="39" t="str">
        <f>IF(AND($M1793=$P$7,$B1793&lt;'111'!$N$11),"x","")</f>
        <v/>
      </c>
      <c r="S1793" s="39" t="str">
        <f>IF(ISERROR(FIND('112'!$M$9,G1793,1)),"",IF((AND(FIND('112'!$M$9,G1793,1)&gt;=1,$B1793&gt;='112'!$N$8,$B1793&lt;='112'!$O$8,OR($L1793='112'!$I$6,$M1793='112'!$I$6))),"x",""))</f>
        <v/>
      </c>
      <c r="T1793" s="39" t="str">
        <f>IF(ISERROR(FIND('112'!$M$9,G1793,1)),"",IF((AND(LEFT(G1793,2)=LEFT('112'!$M$9,2),B1793&lt;'112'!$N$8,$L1793='112'!$I$6)),"x",""))</f>
        <v/>
      </c>
      <c r="U1793" s="39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39" t="str">
        <f>IF(OR(TH!L1793=TH!$W$7,M1793=TH!$W$7),"x","")</f>
        <v/>
      </c>
      <c r="X1793" s="39" t="str">
        <f>IF(AND(B1793&gt;='IN-NX'!$P$3,B1793&lt;='IN-NX'!$Q$3,'IN-NX'!$D$7=D1793,OR(LEFT(L1793,2)="15",AND(LEFT(M1793,2)&lt;&gt;"15",LEFT(M1793,2)&lt;&gt;"33"))),"x","")</f>
        <v/>
      </c>
      <c r="Y1793" s="39" t="str">
        <f>IF(AND(OR(LEFT(TH!L1793,2)="15",LEFT(TH!M1793,2)="15"),'152-CT'!$J$8=TH!F1793),"x","")</f>
        <v/>
      </c>
      <c r="Z1793" s="39" t="str">
        <f>IF(AND(OR(LEFT(TH!L1793,2)="15",LEFT(TH!M1793,2)="15"),TK!$E$7=TH!F1793),"x","")</f>
        <v/>
      </c>
      <c r="AA1793" s="39" t="str">
        <f>IF(AND(B1793&lt;=NKC!$N$8,B1793&gt;=NKC!$M$8),"x","")</f>
        <v/>
      </c>
      <c r="AB1793" s="821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100"/>
        <v/>
      </c>
      <c r="C1794" s="191"/>
      <c r="D1794" s="37"/>
      <c r="E1794" s="191"/>
      <c r="F1794" s="192"/>
      <c r="G1794" s="468"/>
      <c r="H1794" s="193"/>
      <c r="I1794" s="256"/>
      <c r="J1794" s="256"/>
      <c r="K1794" s="56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902" t="str">
        <f>IF(AND('341-CT'!$E$9=H1794,OR(LEFT(L1794,3)=$O$7,LEFT(M1794,3)=$O$7)),"x","")</f>
        <v/>
      </c>
      <c r="P1794" s="39" t="str">
        <f>IF(AND($B1794&gt;='111'!$N$11,$B1794&lt;='111'!$O$11,OR($L1794=$P$7,$M1794=$P$7)),"x","")</f>
        <v/>
      </c>
      <c r="Q1794" s="39" t="str">
        <f>IF(AND($L1794=$P$7,$B1794&lt;'111'!$N$11),"x","")</f>
        <v/>
      </c>
      <c r="R1794" s="39" t="str">
        <f>IF(AND($M1794=$P$7,$B1794&lt;'111'!$N$11),"x","")</f>
        <v/>
      </c>
      <c r="S1794" s="39" t="str">
        <f>IF(ISERROR(FIND('112'!$M$9,G1794,1)),"",IF((AND(FIND('112'!$M$9,G1794,1)&gt;=1,$B1794&gt;='112'!$N$8,$B1794&lt;='112'!$O$8,OR($L1794='112'!$I$6,$M1794='112'!$I$6))),"x",""))</f>
        <v/>
      </c>
      <c r="T1794" s="39" t="str">
        <f>IF(ISERROR(FIND('112'!$M$9,G1794,1)),"",IF((AND(LEFT(G1794,2)=LEFT('112'!$M$9,2),B1794&lt;'112'!$N$8,$L1794='112'!$I$6)),"x",""))</f>
        <v/>
      </c>
      <c r="U1794" s="39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39" t="str">
        <f>IF(OR(TH!L1794=TH!$W$7,M1794=TH!$W$7),"x","")</f>
        <v/>
      </c>
      <c r="X1794" s="39" t="str">
        <f>IF(AND(B1794&gt;='IN-NX'!$P$3,B1794&lt;='IN-NX'!$Q$3,'IN-NX'!$D$7=D1794,OR(LEFT(L1794,2)="15",AND(LEFT(M1794,2)&lt;&gt;"15",LEFT(M1794,2)&lt;&gt;"33"))),"x","")</f>
        <v/>
      </c>
      <c r="Y1794" s="39" t="str">
        <f>IF(AND(OR(LEFT(TH!L1794,2)="15",LEFT(TH!M1794,2)="15"),'152-CT'!$J$8=TH!F1794),"x","")</f>
        <v/>
      </c>
      <c r="Z1794" s="39" t="str">
        <f>IF(AND(OR(LEFT(TH!L1794,2)="15",LEFT(TH!M1794,2)="15"),TK!$E$7=TH!F1794),"x","")</f>
        <v/>
      </c>
      <c r="AA1794" s="39" t="str">
        <f>IF(AND(B1794&lt;=NKC!$N$8,B1794&gt;=NKC!$M$8),"x","")</f>
        <v/>
      </c>
      <c r="AB1794" s="821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100"/>
        <v/>
      </c>
      <c r="C1795" s="191"/>
      <c r="D1795" s="37"/>
      <c r="E1795" s="191"/>
      <c r="F1795" s="192"/>
      <c r="G1795" s="468"/>
      <c r="H1795" s="193"/>
      <c r="I1795" s="256"/>
      <c r="J1795" s="256"/>
      <c r="K1795" s="568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902" t="str">
        <f>IF(AND('341-CT'!$E$9=H1795,OR(LEFT(L1795,3)=$O$7,LEFT(M1795,3)=$O$7)),"x","")</f>
        <v/>
      </c>
      <c r="P1795" s="39" t="str">
        <f>IF(AND($B1795&gt;='111'!$N$11,$B1795&lt;='111'!$O$11,OR($L1795=$P$7,$M1795=$P$7)),"x","")</f>
        <v/>
      </c>
      <c r="Q1795" s="39" t="str">
        <f>IF(AND($L1795=$P$7,$B1795&lt;'111'!$N$11),"x","")</f>
        <v/>
      </c>
      <c r="R1795" s="39" t="str">
        <f>IF(AND($M1795=$P$7,$B1795&lt;'111'!$N$11),"x","")</f>
        <v/>
      </c>
      <c r="S1795" s="39" t="str">
        <f>IF(ISERROR(FIND('112'!$M$9,G1795,1)),"",IF((AND(FIND('112'!$M$9,G1795,1)&gt;=1,$B1795&gt;='112'!$N$8,$B1795&lt;='112'!$O$8,OR($L1795='112'!$I$6,$M1795='112'!$I$6))),"x",""))</f>
        <v/>
      </c>
      <c r="T1795" s="39" t="str">
        <f>IF(ISERROR(FIND('112'!$M$9,G1795,1)),"",IF((AND(LEFT(G1795,2)=LEFT('112'!$M$9,2),B1795&lt;'112'!$N$8,$L1795='112'!$I$6)),"x",""))</f>
        <v/>
      </c>
      <c r="U1795" s="39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39" t="str">
        <f>IF(OR(TH!L1795=TH!$W$7,M1795=TH!$W$7),"x","")</f>
        <v/>
      </c>
      <c r="X1795" s="39" t="str">
        <f>IF(AND(B1795&gt;='IN-NX'!$P$3,B1795&lt;='IN-NX'!$Q$3,'IN-NX'!$D$7=D1795,OR(LEFT(L1795,2)="15",AND(LEFT(M1795,2)&lt;&gt;"15",LEFT(M1795,2)&lt;&gt;"33"))),"x","")</f>
        <v/>
      </c>
      <c r="Y1795" s="39" t="str">
        <f>IF(AND(OR(LEFT(TH!L1795,2)="15",LEFT(TH!M1795,2)="15"),'152-CT'!$J$8=TH!F1795),"x","")</f>
        <v/>
      </c>
      <c r="Z1795" s="39" t="str">
        <f>IF(AND(OR(LEFT(TH!L1795,2)="15",LEFT(TH!M1795,2)="15"),TK!$E$7=TH!F1795),"x","")</f>
        <v/>
      </c>
      <c r="AA1795" s="39" t="str">
        <f>IF(AND(B1795&lt;=NKC!$N$8,B1795&gt;=NKC!$M$8),"x","")</f>
        <v/>
      </c>
      <c r="AB1795" s="821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100"/>
        <v/>
      </c>
      <c r="C1796" s="191"/>
      <c r="D1796" s="37"/>
      <c r="E1796" s="191"/>
      <c r="F1796" s="192"/>
      <c r="G1796" s="468"/>
      <c r="H1796" s="193"/>
      <c r="I1796" s="256"/>
      <c r="J1796" s="256"/>
      <c r="K1796" s="568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902" t="str">
        <f>IF(AND('341-CT'!$E$9=H1796,OR(LEFT(L1796,3)=$O$7,LEFT(M1796,3)=$O$7)),"x","")</f>
        <v/>
      </c>
      <c r="P1796" s="39" t="str">
        <f>IF(AND($B1796&gt;='111'!$N$11,$B1796&lt;='111'!$O$11,OR($L1796=$P$7,$M1796=$P$7)),"x","")</f>
        <v/>
      </c>
      <c r="Q1796" s="39" t="str">
        <f>IF(AND($L1796=$P$7,$B1796&lt;'111'!$N$11),"x","")</f>
        <v/>
      </c>
      <c r="R1796" s="39" t="str">
        <f>IF(AND($M1796=$P$7,$B1796&lt;'111'!$N$11),"x","")</f>
        <v/>
      </c>
      <c r="S1796" s="39" t="str">
        <f>IF(ISERROR(FIND('112'!$M$9,G1796,1)),"",IF((AND(FIND('112'!$M$9,G1796,1)&gt;=1,$B1796&gt;='112'!$N$8,$B1796&lt;='112'!$O$8,OR($L1796='112'!$I$6,$M1796='112'!$I$6))),"x",""))</f>
        <v/>
      </c>
      <c r="T1796" s="39" t="str">
        <f>IF(ISERROR(FIND('112'!$M$9,G1796,1)),"",IF((AND(LEFT(G1796,2)=LEFT('112'!$M$9,2),B1796&lt;'112'!$N$8,$L1796='112'!$I$6)),"x",""))</f>
        <v/>
      </c>
      <c r="U1796" s="39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39" t="str">
        <f>IF(OR(TH!L1796=TH!$W$7,M1796=TH!$W$7),"x","")</f>
        <v/>
      </c>
      <c r="X1796" s="39" t="str">
        <f>IF(AND(B1796&gt;='IN-NX'!$P$3,B1796&lt;='IN-NX'!$Q$3,'IN-NX'!$D$7=D1796,OR(LEFT(L1796,2)="15",AND(LEFT(M1796,2)&lt;&gt;"15",LEFT(M1796,2)&lt;&gt;"33"))),"x","")</f>
        <v/>
      </c>
      <c r="Y1796" s="39" t="str">
        <f>IF(AND(OR(LEFT(TH!L1796,2)="15",LEFT(TH!M1796,2)="15"),'152-CT'!$J$8=TH!F1796),"x","")</f>
        <v/>
      </c>
      <c r="Z1796" s="39" t="str">
        <f>IF(AND(OR(LEFT(TH!L1796,2)="15",LEFT(TH!M1796,2)="15"),TK!$E$7=TH!F1796),"x","")</f>
        <v/>
      </c>
      <c r="AA1796" s="39" t="str">
        <f>IF(AND(B1796&lt;=NKC!$N$8,B1796&gt;=NKC!$M$8),"x","")</f>
        <v/>
      </c>
      <c r="AB1796" s="821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100"/>
        <v/>
      </c>
      <c r="C1797" s="191"/>
      <c r="D1797" s="37"/>
      <c r="E1797" s="191"/>
      <c r="F1797" s="192"/>
      <c r="G1797" s="468"/>
      <c r="H1797" s="193"/>
      <c r="I1797" s="256"/>
      <c r="J1797" s="256"/>
      <c r="K1797" s="568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902" t="str">
        <f>IF(AND('341-CT'!$E$9=H1797,OR(LEFT(L1797,3)=$O$7,LEFT(M1797,3)=$O$7)),"x","")</f>
        <v/>
      </c>
      <c r="P1797" s="39" t="str">
        <f>IF(AND($B1797&gt;='111'!$N$11,$B1797&lt;='111'!$O$11,OR($L1797=$P$7,$M1797=$P$7)),"x","")</f>
        <v/>
      </c>
      <c r="Q1797" s="39" t="str">
        <f>IF(AND($L1797=$P$7,$B1797&lt;'111'!$N$11),"x","")</f>
        <v/>
      </c>
      <c r="R1797" s="39" t="str">
        <f>IF(AND($M1797=$P$7,$B1797&lt;'111'!$N$11),"x","")</f>
        <v/>
      </c>
      <c r="S1797" s="39" t="str">
        <f>IF(ISERROR(FIND('112'!$M$9,G1797,1)),"",IF((AND(FIND('112'!$M$9,G1797,1)&gt;=1,$B1797&gt;='112'!$N$8,$B1797&lt;='112'!$O$8,OR($L1797='112'!$I$6,$M1797='112'!$I$6))),"x",""))</f>
        <v/>
      </c>
      <c r="T1797" s="39" t="str">
        <f>IF(ISERROR(FIND('112'!$M$9,G1797,1)),"",IF((AND(LEFT(G1797,2)=LEFT('112'!$M$9,2),B1797&lt;'112'!$N$8,$L1797='112'!$I$6)),"x",""))</f>
        <v/>
      </c>
      <c r="U1797" s="39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39" t="str">
        <f>IF(OR(TH!L1797=TH!$W$7,M1797=TH!$W$7),"x","")</f>
        <v/>
      </c>
      <c r="X1797" s="39" t="str">
        <f>IF(AND(B1797&gt;='IN-NX'!$P$3,B1797&lt;='IN-NX'!$Q$3,'IN-NX'!$D$7=D1797,OR(LEFT(L1797,2)="15",AND(LEFT(M1797,2)&lt;&gt;"15",LEFT(M1797,2)&lt;&gt;"33"))),"x","")</f>
        <v/>
      </c>
      <c r="Y1797" s="39" t="str">
        <f>IF(AND(OR(LEFT(TH!L1797,2)="15",LEFT(TH!M1797,2)="15"),'152-CT'!$J$8=TH!F1797),"x","")</f>
        <v/>
      </c>
      <c r="Z1797" s="39" t="str">
        <f>IF(AND(OR(LEFT(TH!L1797,2)="15",LEFT(TH!M1797,2)="15"),TK!$E$7=TH!F1797),"x","")</f>
        <v/>
      </c>
      <c r="AA1797" s="39" t="str">
        <f>IF(AND(B1797&lt;=NKC!$N$8,B1797&gt;=NKC!$M$8),"x","")</f>
        <v/>
      </c>
      <c r="AB1797" s="821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100"/>
        <v/>
      </c>
      <c r="C1798" s="191"/>
      <c r="D1798" s="37"/>
      <c r="E1798" s="37"/>
      <c r="F1798" s="192"/>
      <c r="G1798" s="468"/>
      <c r="H1798" s="193"/>
      <c r="I1798" s="256"/>
      <c r="J1798" s="256"/>
      <c r="K1798" s="568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902" t="str">
        <f>IF(AND('341-CT'!$E$9=H1798,OR(LEFT(L1798,3)=$O$7,LEFT(M1798,3)=$O$7)),"x","")</f>
        <v/>
      </c>
      <c r="P1798" s="39" t="str">
        <f>IF(AND($B1798&gt;='111'!$N$11,$B1798&lt;='111'!$O$11,OR($L1798=$P$7,$M1798=$P$7)),"x","")</f>
        <v/>
      </c>
      <c r="Q1798" s="39" t="str">
        <f>IF(AND($L1798=$P$7,$B1798&lt;'111'!$N$11),"x","")</f>
        <v/>
      </c>
      <c r="R1798" s="39" t="str">
        <f>IF(AND($M1798=$P$7,$B1798&lt;'111'!$N$11),"x","")</f>
        <v/>
      </c>
      <c r="S1798" s="39" t="str">
        <f>IF(ISERROR(FIND('112'!$M$9,G1798,1)),"",IF((AND(FIND('112'!$M$9,G1798,1)&gt;=1,$B1798&gt;='112'!$N$8,$B1798&lt;='112'!$O$8,OR($L1798='112'!$I$6,$M1798='112'!$I$6))),"x",""))</f>
        <v/>
      </c>
      <c r="T1798" s="39" t="str">
        <f>IF(ISERROR(FIND('112'!$M$9,G1798,1)),"",IF((AND(LEFT(G1798,2)=LEFT('112'!$M$9,2),B1798&lt;'112'!$N$8,$L1798='112'!$I$6)),"x",""))</f>
        <v/>
      </c>
      <c r="U1798" s="39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39" t="str">
        <f>IF(OR(TH!L1798=TH!$W$7,M1798=TH!$W$7),"x","")</f>
        <v/>
      </c>
      <c r="X1798" s="39" t="str">
        <f>IF(AND(B1798&gt;='IN-NX'!$P$3,B1798&lt;='IN-NX'!$Q$3,'IN-NX'!$D$7=D1798,OR(LEFT(L1798,2)="15",AND(LEFT(M1798,2)&lt;&gt;"15",LEFT(M1798,2)&lt;&gt;"33"))),"x","")</f>
        <v/>
      </c>
      <c r="Y1798" s="39" t="str">
        <f>IF(AND(OR(LEFT(TH!L1798,2)="15",LEFT(TH!M1798,2)="15"),'152-CT'!$J$8=TH!F1798),"x","")</f>
        <v/>
      </c>
      <c r="Z1798" s="39" t="str">
        <f>IF(AND(OR(LEFT(TH!L1798,2)="15",LEFT(TH!M1798,2)="15"),TK!$E$7=TH!F1798),"x","")</f>
        <v/>
      </c>
      <c r="AA1798" s="39" t="str">
        <f>IF(AND(B1798&lt;=NKC!$N$8,B1798&gt;=NKC!$M$8),"x","")</f>
        <v/>
      </c>
      <c r="AB1798" s="821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100"/>
        <v/>
      </c>
      <c r="C1799" s="191"/>
      <c r="D1799" s="37"/>
      <c r="E1799" s="37"/>
      <c r="F1799" s="192"/>
      <c r="G1799" s="468"/>
      <c r="H1799" s="193"/>
      <c r="I1799" s="256"/>
      <c r="J1799" s="256"/>
      <c r="K1799" s="568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902" t="str">
        <f>IF(AND('341-CT'!$E$9=H1799,OR(LEFT(L1799,3)=$O$7,LEFT(M1799,3)=$O$7)),"x","")</f>
        <v/>
      </c>
      <c r="P1799" s="39" t="str">
        <f>IF(AND($B1799&gt;='111'!$N$11,$B1799&lt;='111'!$O$11,OR($L1799=$P$7,$M1799=$P$7)),"x","")</f>
        <v/>
      </c>
      <c r="Q1799" s="39" t="str">
        <f>IF(AND($L1799=$P$7,$B1799&lt;'111'!$N$11),"x","")</f>
        <v/>
      </c>
      <c r="R1799" s="39" t="str">
        <f>IF(AND($M1799=$P$7,$B1799&lt;'111'!$N$11),"x","")</f>
        <v/>
      </c>
      <c r="S1799" s="39" t="str">
        <f>IF(ISERROR(FIND('112'!$M$9,G1799,1)),"",IF((AND(FIND('112'!$M$9,G1799,1)&gt;=1,$B1799&gt;='112'!$N$8,$B1799&lt;='112'!$O$8,OR($L1799='112'!$I$6,$M1799='112'!$I$6))),"x",""))</f>
        <v/>
      </c>
      <c r="T1799" s="39" t="str">
        <f>IF(ISERROR(FIND('112'!$M$9,G1799,1)),"",IF((AND(LEFT(G1799,2)=LEFT('112'!$M$9,2),B1799&lt;'112'!$N$8,$L1799='112'!$I$6)),"x",""))</f>
        <v/>
      </c>
      <c r="U1799" s="39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39" t="str">
        <f>IF(OR(TH!L1799=TH!$W$7,M1799=TH!$W$7),"x","")</f>
        <v/>
      </c>
      <c r="X1799" s="39" t="str">
        <f>IF(AND(B1799&gt;='IN-NX'!$P$3,B1799&lt;='IN-NX'!$Q$3,'IN-NX'!$D$7=D1799,OR(LEFT(L1799,2)="15",AND(LEFT(M1799,2)&lt;&gt;"15",LEFT(M1799,2)&lt;&gt;"33"))),"x","")</f>
        <v/>
      </c>
      <c r="Y1799" s="39" t="str">
        <f>IF(AND(OR(LEFT(TH!L1799,2)="15",LEFT(TH!M1799,2)="15"),'152-CT'!$J$8=TH!F1799),"x","")</f>
        <v/>
      </c>
      <c r="Z1799" s="39" t="str">
        <f>IF(AND(OR(LEFT(TH!L1799,2)="15",LEFT(TH!M1799,2)="15"),TK!$E$7=TH!F1799),"x","")</f>
        <v/>
      </c>
      <c r="AA1799" s="39" t="str">
        <f>IF(AND(B1799&lt;=NKC!$N$8,B1799&gt;=NKC!$M$8),"x","")</f>
        <v/>
      </c>
      <c r="AB1799" s="821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100"/>
        <v/>
      </c>
      <c r="C1800" s="191"/>
      <c r="D1800" s="37"/>
      <c r="E1800" s="37"/>
      <c r="F1800" s="192"/>
      <c r="G1800" s="468"/>
      <c r="H1800" s="193"/>
      <c r="I1800" s="256"/>
      <c r="J1800" s="256"/>
      <c r="K1800" s="568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902" t="str">
        <f>IF(AND('341-CT'!$E$9=H1800,OR(LEFT(L1800,3)=$O$7,LEFT(M1800,3)=$O$7)),"x","")</f>
        <v/>
      </c>
      <c r="P1800" s="39" t="str">
        <f>IF(AND($B1800&gt;='111'!$N$11,$B1800&lt;='111'!$O$11,OR($L1800=$P$7,$M1800=$P$7)),"x","")</f>
        <v/>
      </c>
      <c r="Q1800" s="39" t="str">
        <f>IF(AND($L1800=$P$7,$B1800&lt;'111'!$N$11),"x","")</f>
        <v/>
      </c>
      <c r="R1800" s="39" t="str">
        <f>IF(AND($M1800=$P$7,$B1800&lt;'111'!$N$11),"x","")</f>
        <v/>
      </c>
      <c r="S1800" s="39" t="str">
        <f>IF(ISERROR(FIND('112'!$M$9,G1800,1)),"",IF((AND(FIND('112'!$M$9,G1800,1)&gt;=1,$B1800&gt;='112'!$N$8,$B1800&lt;='112'!$O$8,OR($L1800='112'!$I$6,$M1800='112'!$I$6))),"x",""))</f>
        <v/>
      </c>
      <c r="T1800" s="39" t="str">
        <f>IF(ISERROR(FIND('112'!$M$9,G1800,1)),"",IF((AND(LEFT(G1800,2)=LEFT('112'!$M$9,2),B1800&lt;'112'!$N$8,$L1800='112'!$I$6)),"x",""))</f>
        <v/>
      </c>
      <c r="U1800" s="39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39" t="str">
        <f>IF(OR(TH!L1800=TH!$W$7,M1800=TH!$W$7),"x","")</f>
        <v/>
      </c>
      <c r="X1800" s="39" t="str">
        <f>IF(AND(B1800&gt;='IN-NX'!$P$3,B1800&lt;='IN-NX'!$Q$3,'IN-NX'!$D$7=D1800,OR(LEFT(L1800,2)="15",AND(LEFT(M1800,2)&lt;&gt;"15",LEFT(M1800,2)&lt;&gt;"33"))),"x","")</f>
        <v/>
      </c>
      <c r="Y1800" s="39" t="str">
        <f>IF(AND(OR(LEFT(TH!L1800,2)="15",LEFT(TH!M1800,2)="15"),'152-CT'!$J$8=TH!F1800),"x","")</f>
        <v/>
      </c>
      <c r="Z1800" s="39" t="str">
        <f>IF(AND(OR(LEFT(TH!L1800,2)="15",LEFT(TH!M1800,2)="15"),TK!$E$7=TH!F1800),"x","")</f>
        <v/>
      </c>
      <c r="AA1800" s="39" t="str">
        <f>IF(AND(B1800&lt;=NKC!$N$8,B1800&gt;=NKC!$M$8),"x","")</f>
        <v/>
      </c>
      <c r="AB1800" s="821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100"/>
        <v/>
      </c>
      <c r="C1801" s="191"/>
      <c r="D1801" s="37"/>
      <c r="E1801" s="37"/>
      <c r="F1801" s="192"/>
      <c r="G1801" s="468"/>
      <c r="H1801" s="193"/>
      <c r="I1801" s="256"/>
      <c r="J1801" s="256"/>
      <c r="K1801" s="568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902" t="str">
        <f>IF(AND('341-CT'!$E$9=H1801,OR(LEFT(L1801,3)=$O$7,LEFT(M1801,3)=$O$7)),"x","")</f>
        <v/>
      </c>
      <c r="P1801" s="39" t="str">
        <f>IF(AND($B1801&gt;='111'!$N$11,$B1801&lt;='111'!$O$11,OR($L1801=$P$7,$M1801=$P$7)),"x","")</f>
        <v/>
      </c>
      <c r="Q1801" s="39" t="str">
        <f>IF(AND($L1801=$P$7,$B1801&lt;'111'!$N$11),"x","")</f>
        <v/>
      </c>
      <c r="R1801" s="39" t="str">
        <f>IF(AND($M1801=$P$7,$B1801&lt;'111'!$N$11),"x","")</f>
        <v/>
      </c>
      <c r="S1801" s="39" t="str">
        <f>IF(ISERROR(FIND('112'!$M$9,G1801,1)),"",IF((AND(FIND('112'!$M$9,G1801,1)&gt;=1,$B1801&gt;='112'!$N$8,$B1801&lt;='112'!$O$8,OR($L1801='112'!$I$6,$M1801='112'!$I$6))),"x",""))</f>
        <v/>
      </c>
      <c r="T1801" s="39" t="str">
        <f>IF(ISERROR(FIND('112'!$M$9,G1801,1)),"",IF((AND(LEFT(G1801,2)=LEFT('112'!$M$9,2),B1801&lt;'112'!$N$8,$L1801='112'!$I$6)),"x",""))</f>
        <v/>
      </c>
      <c r="U1801" s="39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39" t="str">
        <f>IF(OR(TH!L1801=TH!$W$7,M1801=TH!$W$7),"x","")</f>
        <v/>
      </c>
      <c r="X1801" s="39" t="str">
        <f>IF(AND(B1801&gt;='IN-NX'!$P$3,B1801&lt;='IN-NX'!$Q$3,'IN-NX'!$D$7=D1801,OR(LEFT(L1801,2)="15",AND(LEFT(M1801,2)&lt;&gt;"15",LEFT(M1801,2)&lt;&gt;"33"))),"x","")</f>
        <v/>
      </c>
      <c r="Y1801" s="39" t="str">
        <f>IF(AND(OR(LEFT(TH!L1801,2)="15",LEFT(TH!M1801,2)="15"),'152-CT'!$J$8=TH!F1801),"x","")</f>
        <v/>
      </c>
      <c r="Z1801" s="39" t="str">
        <f>IF(AND(OR(LEFT(TH!L1801,2)="15",LEFT(TH!M1801,2)="15"),TK!$E$7=TH!F1801),"x","")</f>
        <v/>
      </c>
      <c r="AA1801" s="39" t="str">
        <f>IF(AND(B1801&lt;=NKC!$N$8,B1801&gt;=NKC!$M$8),"x","")</f>
        <v/>
      </c>
      <c r="AB1801" s="821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100"/>
        <v/>
      </c>
      <c r="C1802" s="191"/>
      <c r="D1802" s="37"/>
      <c r="E1802" s="37"/>
      <c r="F1802" s="783"/>
      <c r="G1802" s="468"/>
      <c r="H1802" s="193"/>
      <c r="I1802" s="256"/>
      <c r="J1802" s="256"/>
      <c r="K1802" s="568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902" t="str">
        <f>IF(AND('341-CT'!$E$9=H1802,OR(LEFT(L1802,3)=$O$7,LEFT(M1802,3)=$O$7)),"x","")</f>
        <v/>
      </c>
      <c r="P1802" s="39" t="str">
        <f>IF(AND($B1802&gt;='111'!$N$11,$B1802&lt;='111'!$O$11,OR($L1802=$P$7,$M1802=$P$7)),"x","")</f>
        <v/>
      </c>
      <c r="Q1802" s="39" t="str">
        <f>IF(AND($L1802=$P$7,$B1802&lt;'111'!$N$11),"x","")</f>
        <v/>
      </c>
      <c r="R1802" s="39" t="str">
        <f>IF(AND($M1802=$P$7,$B1802&lt;'111'!$N$11),"x","")</f>
        <v/>
      </c>
      <c r="S1802" s="39" t="str">
        <f>IF(ISERROR(FIND('112'!$M$9,G1802,1)),"",IF((AND(FIND('112'!$M$9,G1802,1)&gt;=1,$B1802&gt;='112'!$N$8,$B1802&lt;='112'!$O$8,OR($L1802='112'!$I$6,$M1802='112'!$I$6))),"x",""))</f>
        <v/>
      </c>
      <c r="T1802" s="39" t="str">
        <f>IF(ISERROR(FIND('112'!$M$9,G1802,1)),"",IF((AND(LEFT(G1802,2)=LEFT('112'!$M$9,2),B1802&lt;'112'!$N$8,$L1802='112'!$I$6)),"x",""))</f>
        <v/>
      </c>
      <c r="U1802" s="39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39" t="str">
        <f>IF(OR(TH!L1802=TH!$W$7,M1802=TH!$W$7),"x","")</f>
        <v/>
      </c>
      <c r="X1802" s="39" t="str">
        <f>IF(AND(B1802&gt;='IN-NX'!$P$3,B1802&lt;='IN-NX'!$Q$3,'IN-NX'!$D$7=D1802,OR(LEFT(L1802,2)="15",AND(LEFT(M1802,2)&lt;&gt;"15",LEFT(M1802,2)&lt;&gt;"33"))),"x","")</f>
        <v/>
      </c>
      <c r="Y1802" s="39" t="str">
        <f>IF(AND(OR(LEFT(TH!L1802,2)="15",LEFT(TH!M1802,2)="15"),'152-CT'!$J$8=TH!F1802),"x","")</f>
        <v/>
      </c>
      <c r="Z1802" s="39" t="str">
        <f>IF(AND(OR(LEFT(TH!L1802,2)="15",LEFT(TH!M1802,2)="15"),TK!$E$7=TH!F1802),"x","")</f>
        <v/>
      </c>
      <c r="AA1802" s="39" t="str">
        <f>IF(AND(B1802&lt;=NKC!$N$8,B1802&gt;=NKC!$M$8),"x","")</f>
        <v/>
      </c>
      <c r="AB1802" s="821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100"/>
        <v/>
      </c>
      <c r="C1803" s="191"/>
      <c r="D1803" s="37"/>
      <c r="E1803" s="37"/>
      <c r="F1803" s="192"/>
      <c r="G1803" s="468"/>
      <c r="H1803" s="193"/>
      <c r="I1803" s="256"/>
      <c r="J1803" s="256"/>
      <c r="K1803" s="568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902" t="str">
        <f>IF(AND('341-CT'!$E$9=H1803,OR(LEFT(L1803,3)=$O$7,LEFT(M1803,3)=$O$7)),"x","")</f>
        <v/>
      </c>
      <c r="P1803" s="39" t="str">
        <f>IF(AND($B1803&gt;='111'!$N$11,$B1803&lt;='111'!$O$11,OR($L1803=$P$7,$M1803=$P$7)),"x","")</f>
        <v/>
      </c>
      <c r="Q1803" s="39" t="str">
        <f>IF(AND($L1803=$P$7,$B1803&lt;'111'!$N$11),"x","")</f>
        <v/>
      </c>
      <c r="R1803" s="39" t="str">
        <f>IF(AND($M1803=$P$7,$B1803&lt;'111'!$N$11),"x","")</f>
        <v/>
      </c>
      <c r="S1803" s="39" t="str">
        <f>IF(ISERROR(FIND('112'!$M$9,G1803,1)),"",IF((AND(FIND('112'!$M$9,G1803,1)&gt;=1,$B1803&gt;='112'!$N$8,$B1803&lt;='112'!$O$8,OR($L1803='112'!$I$6,$M1803='112'!$I$6))),"x",""))</f>
        <v/>
      </c>
      <c r="T1803" s="39" t="str">
        <f>IF(ISERROR(FIND('112'!$M$9,G1803,1)),"",IF((AND(LEFT(G1803,2)=LEFT('112'!$M$9,2),B1803&lt;'112'!$N$8,$L1803='112'!$I$6)),"x",""))</f>
        <v/>
      </c>
      <c r="U1803" s="39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39" t="str">
        <f>IF(OR(TH!L1803=TH!$W$7,M1803=TH!$W$7),"x","")</f>
        <v/>
      </c>
      <c r="X1803" s="39" t="str">
        <f>IF(AND(B1803&gt;='IN-NX'!$P$3,B1803&lt;='IN-NX'!$Q$3,'IN-NX'!$D$7=D1803,OR(LEFT(L1803,2)="15",AND(LEFT(M1803,2)&lt;&gt;"15",LEFT(M1803,2)&lt;&gt;"33"))),"x","")</f>
        <v/>
      </c>
      <c r="Y1803" s="39" t="str">
        <f>IF(AND(OR(LEFT(TH!L1803,2)="15",LEFT(TH!M1803,2)="15"),'152-CT'!$J$8=TH!F1803),"x","")</f>
        <v/>
      </c>
      <c r="Z1803" s="39" t="str">
        <f>IF(AND(OR(LEFT(TH!L1803,2)="15",LEFT(TH!M1803,2)="15"),TK!$E$7=TH!F1803),"x","")</f>
        <v/>
      </c>
      <c r="AA1803" s="39" t="str">
        <f>IF(AND(B1803&lt;=NKC!$N$8,B1803&gt;=NKC!$M$8),"x","")</f>
        <v/>
      </c>
      <c r="AB1803" s="821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100"/>
        <v/>
      </c>
      <c r="C1804" s="184"/>
      <c r="D1804" s="184"/>
      <c r="E1804" s="184"/>
      <c r="F1804" s="189"/>
      <c r="G1804" s="570"/>
      <c r="H1804" s="193"/>
      <c r="I1804" s="256"/>
      <c r="J1804" s="256"/>
      <c r="K1804" s="568"/>
      <c r="L1804" s="569"/>
      <c r="M1804" s="569"/>
      <c r="N1804" s="39" t="str">
        <f>IF(AND('331-CT'!$E$7=TH!H1804,OR(L1804="331",M1804="331")),"331",IF(AND(OR(L1804="131",M1804="131"),H1804='131-CT'!$E$7),"131",""))</f>
        <v/>
      </c>
      <c r="O1804" s="902" t="str">
        <f>IF(AND('341-CT'!$E$9=H1804,OR(LEFT(L1804,3)=$O$7,LEFT(M1804,3)=$O$7)),"x","")</f>
        <v/>
      </c>
      <c r="P1804" s="39" t="str">
        <f>IF(AND($B1804&gt;='111'!$N$11,$B1804&lt;='111'!$O$11,OR($L1804=$P$7,$M1804=$P$7)),"x","")</f>
        <v/>
      </c>
      <c r="Q1804" s="39" t="str">
        <f>IF(AND($L1804=$P$7,$B1804&lt;'111'!$N$11),"x","")</f>
        <v/>
      </c>
      <c r="R1804" s="39" t="str">
        <f>IF(AND($M1804=$P$7,$B1804&lt;'111'!$N$11),"x","")</f>
        <v/>
      </c>
      <c r="S1804" s="39" t="str">
        <f>IF(ISERROR(FIND('112'!$M$9,G1804,1)),"",IF((AND(FIND('112'!$M$9,G1804,1)&gt;=1,$B1804&gt;='112'!$N$8,$B1804&lt;='112'!$O$8,OR($L1804='112'!$I$6,$M1804='112'!$I$6))),"x",""))</f>
        <v/>
      </c>
      <c r="T1804" s="39" t="str">
        <f>IF(ISERROR(FIND('112'!$M$9,G1804,1)),"",IF((AND(LEFT(G1804,2)=LEFT('112'!$M$9,2),B1804&lt;'112'!$N$8,$L1804='112'!$I$6)),"x",""))</f>
        <v/>
      </c>
      <c r="U1804" s="39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39" t="str">
        <f>IF(OR(TH!L1804=TH!$W$7,M1804=TH!$W$7),"x","")</f>
        <v/>
      </c>
      <c r="X1804" s="39" t="str">
        <f>IF(AND(B1804&gt;='IN-NX'!$P$3,B1804&lt;='IN-NX'!$Q$3,'IN-NX'!$D$7=D1804,OR(LEFT(L1804,2)="15",AND(LEFT(M1804,2)&lt;&gt;"15",LEFT(M1804,2)&lt;&gt;"33"))),"x","")</f>
        <v/>
      </c>
      <c r="Y1804" s="39" t="str">
        <f>IF(AND(OR(LEFT(TH!L1804,2)="15",LEFT(TH!M1804,2)="15"),'152-CT'!$J$8=TH!F1804),"x","")</f>
        <v/>
      </c>
      <c r="Z1804" s="39" t="str">
        <f>IF(AND(OR(LEFT(TH!L1804,2)="15",LEFT(TH!M1804,2)="15"),TK!$E$7=TH!F1804),"x","")</f>
        <v/>
      </c>
      <c r="AA1804" s="39" t="str">
        <f>IF(AND(B1804&lt;=NKC!$N$8,B1804&gt;=NKC!$M$8),"x","")</f>
        <v/>
      </c>
      <c r="AB1804" s="821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100"/>
        <v/>
      </c>
      <c r="C1805" s="184"/>
      <c r="D1805" s="184"/>
      <c r="E1805" s="184"/>
      <c r="F1805" s="189"/>
      <c r="G1805" s="570"/>
      <c r="H1805" s="7"/>
      <c r="I1805" s="256"/>
      <c r="J1805" s="256"/>
      <c r="K1805" s="568"/>
      <c r="L1805" s="569"/>
      <c r="M1805" s="569"/>
      <c r="N1805" s="39" t="str">
        <f>IF(AND('331-CT'!$E$7=TH!H1805,OR(L1805="331",M1805="331")),"331",IF(AND(OR(L1805="131",M1805="131"),H1805='131-CT'!$E$7),"131",""))</f>
        <v/>
      </c>
      <c r="O1805" s="902" t="str">
        <f>IF(AND('341-CT'!$E$9=H1805,OR(LEFT(L1805,3)=$O$7,LEFT(M1805,3)=$O$7)),"x","")</f>
        <v/>
      </c>
      <c r="P1805" s="39" t="str">
        <f>IF(AND($B1805&gt;='111'!$N$11,$B1805&lt;='111'!$O$11,OR($L1805=$P$7,$M1805=$P$7)),"x","")</f>
        <v/>
      </c>
      <c r="Q1805" s="39" t="str">
        <f>IF(AND($L1805=$P$7,$B1805&lt;'111'!$N$11),"x","")</f>
        <v/>
      </c>
      <c r="R1805" s="39" t="str">
        <f>IF(AND($M1805=$P$7,$B1805&lt;'111'!$N$11),"x","")</f>
        <v/>
      </c>
      <c r="S1805" s="39" t="str">
        <f>IF(ISERROR(FIND('112'!$M$9,G1805,1)),"",IF((AND(FIND('112'!$M$9,G1805,1)&gt;=1,$B1805&gt;='112'!$N$8,$B1805&lt;='112'!$O$8,OR($L1805='112'!$I$6,$M1805='112'!$I$6))),"x",""))</f>
        <v/>
      </c>
      <c r="T1805" s="39" t="str">
        <f>IF(ISERROR(FIND('112'!$M$9,G1805,1)),"",IF((AND(LEFT(G1805,2)=LEFT('112'!$M$9,2),B1805&lt;'112'!$N$8,$L1805='112'!$I$6)),"x",""))</f>
        <v/>
      </c>
      <c r="U1805" s="39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39" t="str">
        <f>IF(OR(TH!L1805=TH!$W$7,M1805=TH!$W$7),"x","")</f>
        <v/>
      </c>
      <c r="X1805" s="39" t="str">
        <f>IF(AND(B1805&gt;='IN-NX'!$P$3,B1805&lt;='IN-NX'!$Q$3,'IN-NX'!$D$7=D1805,OR(LEFT(L1805,2)="15",AND(LEFT(M1805,2)&lt;&gt;"15",LEFT(M1805,2)&lt;&gt;"33"))),"x","")</f>
        <v/>
      </c>
      <c r="Y1805" s="39" t="str">
        <f>IF(AND(OR(LEFT(TH!L1805,2)="15",LEFT(TH!M1805,2)="15"),'152-CT'!$J$8=TH!F1805),"x","")</f>
        <v/>
      </c>
      <c r="Z1805" s="39" t="str">
        <f>IF(AND(OR(LEFT(TH!L1805,2)="15",LEFT(TH!M1805,2)="15"),TK!$E$7=TH!F1805),"x","")</f>
        <v/>
      </c>
      <c r="AA1805" s="39" t="str">
        <f>IF(AND(B1805&lt;=NKC!$N$8,B1805&gt;=NKC!$M$8),"x","")</f>
        <v/>
      </c>
      <c r="AB1805" s="821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100"/>
        <v/>
      </c>
      <c r="C1806" s="184"/>
      <c r="D1806" s="184"/>
      <c r="E1806" s="184"/>
      <c r="F1806" s="189"/>
      <c r="G1806" s="570"/>
      <c r="H1806" s="7"/>
      <c r="I1806" s="256"/>
      <c r="J1806" s="256"/>
      <c r="K1806" s="568"/>
      <c r="L1806" s="569"/>
      <c r="M1806" s="569"/>
      <c r="N1806" s="39" t="str">
        <f>IF(AND('331-CT'!$E$7=TH!H1806,OR(L1806="331",M1806="331")),"331",IF(AND(OR(L1806="131",M1806="131"),H1806='131-CT'!$E$7),"131",""))</f>
        <v/>
      </c>
      <c r="O1806" s="902" t="str">
        <f>IF(AND('341-CT'!$E$9=H1806,OR(LEFT(L1806,3)=$O$7,LEFT(M1806,3)=$O$7)),"x","")</f>
        <v/>
      </c>
      <c r="P1806" s="39" t="str">
        <f>IF(AND($B1806&gt;='111'!$N$11,$B1806&lt;='111'!$O$11,OR($L1806=$P$7,$M1806=$P$7)),"x","")</f>
        <v/>
      </c>
      <c r="Q1806" s="39" t="str">
        <f>IF(AND($L1806=$P$7,$B1806&lt;'111'!$N$11),"x","")</f>
        <v/>
      </c>
      <c r="R1806" s="39" t="str">
        <f>IF(AND($M1806=$P$7,$B1806&lt;'111'!$N$11),"x","")</f>
        <v/>
      </c>
      <c r="S1806" s="39" t="str">
        <f>IF(ISERROR(FIND('112'!$M$9,G1806,1)),"",IF((AND(FIND('112'!$M$9,G1806,1)&gt;=1,$B1806&gt;='112'!$N$8,$B1806&lt;='112'!$O$8,OR($L1806='112'!$I$6,$M1806='112'!$I$6))),"x",""))</f>
        <v/>
      </c>
      <c r="T1806" s="39" t="str">
        <f>IF(ISERROR(FIND('112'!$M$9,G1806,1)),"",IF((AND(LEFT(G1806,2)=LEFT('112'!$M$9,2),B1806&lt;'112'!$N$8,$L1806='112'!$I$6)),"x",""))</f>
        <v/>
      </c>
      <c r="U1806" s="39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39" t="str">
        <f>IF(OR(TH!L1806=TH!$W$7,M1806=TH!$W$7),"x","")</f>
        <v/>
      </c>
      <c r="X1806" s="39" t="str">
        <f>IF(AND(B1806&gt;='IN-NX'!$P$3,B1806&lt;='IN-NX'!$Q$3,'IN-NX'!$D$7=D1806,OR(LEFT(L1806,2)="15",AND(LEFT(M1806,2)&lt;&gt;"15",LEFT(M1806,2)&lt;&gt;"33"))),"x","")</f>
        <v/>
      </c>
      <c r="Y1806" s="39" t="str">
        <f>IF(AND(OR(LEFT(TH!L1806,2)="15",LEFT(TH!M1806,2)="15"),'152-CT'!$J$8=TH!F1806),"x","")</f>
        <v/>
      </c>
      <c r="Z1806" s="39" t="str">
        <f>IF(AND(OR(LEFT(TH!L1806,2)="15",LEFT(TH!M1806,2)="15"),TK!$E$7=TH!F1806),"x","")</f>
        <v/>
      </c>
      <c r="AA1806" s="39" t="str">
        <f>IF(AND(B1806&lt;=NKC!$N$8,B1806&gt;=NKC!$M$8),"x","")</f>
        <v/>
      </c>
      <c r="AB1806" s="821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100"/>
        <v/>
      </c>
      <c r="C1807" s="184"/>
      <c r="D1807" s="184"/>
      <c r="E1807" s="184"/>
      <c r="F1807" s="189"/>
      <c r="G1807" s="570"/>
      <c r="H1807" s="7"/>
      <c r="I1807" s="256"/>
      <c r="J1807" s="256"/>
      <c r="K1807" s="568"/>
      <c r="L1807" s="569"/>
      <c r="M1807" s="569"/>
      <c r="N1807" s="39" t="str">
        <f>IF(AND('331-CT'!$E$7=TH!H1807,OR(L1807="331",M1807="331")),"331",IF(AND(OR(L1807="131",M1807="131"),H1807='131-CT'!$E$7),"131",""))</f>
        <v/>
      </c>
      <c r="O1807" s="902" t="str">
        <f>IF(AND('341-CT'!$E$9=H1807,OR(LEFT(L1807,3)=$O$7,LEFT(M1807,3)=$O$7)),"x","")</f>
        <v/>
      </c>
      <c r="P1807" s="39" t="str">
        <f>IF(AND($B1807&gt;='111'!$N$11,$B1807&lt;='111'!$O$11,OR($L1807=$P$7,$M1807=$P$7)),"x","")</f>
        <v/>
      </c>
      <c r="Q1807" s="39" t="str">
        <f>IF(AND($L1807=$P$7,$B1807&lt;'111'!$N$11),"x","")</f>
        <v/>
      </c>
      <c r="R1807" s="39" t="str">
        <f>IF(AND($M1807=$P$7,$B1807&lt;'111'!$N$11),"x","")</f>
        <v/>
      </c>
      <c r="S1807" s="39" t="str">
        <f>IF(ISERROR(FIND('112'!$M$9,G1807,1)),"",IF((AND(FIND('112'!$M$9,G1807,1)&gt;=1,$B1807&gt;='112'!$N$8,$B1807&lt;='112'!$O$8,OR($L1807='112'!$I$6,$M1807='112'!$I$6))),"x",""))</f>
        <v/>
      </c>
      <c r="T1807" s="39" t="str">
        <f>IF(ISERROR(FIND('112'!$M$9,G1807,1)),"",IF((AND(LEFT(G1807,2)=LEFT('112'!$M$9,2),B1807&lt;'112'!$N$8,$L1807='112'!$I$6)),"x",""))</f>
        <v/>
      </c>
      <c r="U1807" s="39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39" t="str">
        <f>IF(OR(TH!L1807=TH!$W$7,M1807=TH!$W$7),"x","")</f>
        <v/>
      </c>
      <c r="X1807" s="39" t="str">
        <f>IF(AND(B1807&gt;='IN-NX'!$P$3,B1807&lt;='IN-NX'!$Q$3,'IN-NX'!$D$7=D1807,OR(LEFT(L1807,2)="15",AND(LEFT(M1807,2)&lt;&gt;"15",LEFT(M1807,2)&lt;&gt;"33"))),"x","")</f>
        <v/>
      </c>
      <c r="Y1807" s="39" t="str">
        <f>IF(AND(OR(LEFT(TH!L1807,2)="15",LEFT(TH!M1807,2)="15"),'152-CT'!$J$8=TH!F1807),"x","")</f>
        <v/>
      </c>
      <c r="Z1807" s="39" t="str">
        <f>IF(AND(OR(LEFT(TH!L1807,2)="15",LEFT(TH!M1807,2)="15"),TK!$E$7=TH!F1807),"x","")</f>
        <v/>
      </c>
      <c r="AA1807" s="39" t="str">
        <f>IF(AND(B1807&lt;=NKC!$N$8,B1807&gt;=NKC!$M$8),"x","")</f>
        <v/>
      </c>
      <c r="AB1807" s="821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100"/>
        <v/>
      </c>
      <c r="C1808" s="184"/>
      <c r="D1808" s="184"/>
      <c r="E1808" s="184"/>
      <c r="F1808" s="189"/>
      <c r="G1808" s="570"/>
      <c r="H1808" s="7"/>
      <c r="I1808" s="256"/>
      <c r="J1808" s="256"/>
      <c r="K1808" s="568"/>
      <c r="L1808" s="569"/>
      <c r="M1808" s="569"/>
      <c r="N1808" s="39" t="str">
        <f>IF(AND('331-CT'!$E$7=TH!H1808,OR(L1808="331",M1808="331")),"331",IF(AND(OR(L1808="131",M1808="131"),H1808='131-CT'!$E$7),"131",""))</f>
        <v/>
      </c>
      <c r="O1808" s="902" t="str">
        <f>IF(AND('341-CT'!$E$9=H1808,OR(LEFT(L1808,3)=$O$7,LEFT(M1808,3)=$O$7)),"x","")</f>
        <v/>
      </c>
      <c r="P1808" s="39" t="str">
        <f>IF(AND($B1808&gt;='111'!$N$11,$B1808&lt;='111'!$O$11,OR($L1808=$P$7,$M1808=$P$7)),"x","")</f>
        <v/>
      </c>
      <c r="Q1808" s="39" t="str">
        <f>IF(AND($L1808=$P$7,$B1808&lt;'111'!$N$11),"x","")</f>
        <v/>
      </c>
      <c r="R1808" s="39" t="str">
        <f>IF(AND($M1808=$P$7,$B1808&lt;'111'!$N$11),"x","")</f>
        <v/>
      </c>
      <c r="S1808" s="39" t="str">
        <f>IF(ISERROR(FIND('112'!$M$9,G1808,1)),"",IF((AND(FIND('112'!$M$9,G1808,1)&gt;=1,$B1808&gt;='112'!$N$8,$B1808&lt;='112'!$O$8,OR($L1808='112'!$I$6,$M1808='112'!$I$6))),"x",""))</f>
        <v/>
      </c>
      <c r="T1808" s="39" t="str">
        <f>IF(ISERROR(FIND('112'!$M$9,G1808,1)),"",IF((AND(LEFT(G1808,2)=LEFT('112'!$M$9,2),B1808&lt;'112'!$N$8,$L1808='112'!$I$6)),"x",""))</f>
        <v/>
      </c>
      <c r="U1808" s="39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39" t="str">
        <f>IF(OR(TH!L1808=TH!$W$7,M1808=TH!$W$7),"x","")</f>
        <v/>
      </c>
      <c r="X1808" s="39" t="str">
        <f>IF(AND(B1808&gt;='IN-NX'!$P$3,B1808&lt;='IN-NX'!$Q$3,'IN-NX'!$D$7=D1808,OR(LEFT(L1808,2)="15",AND(LEFT(M1808,2)&lt;&gt;"15",LEFT(M1808,2)&lt;&gt;"33"))),"x","")</f>
        <v/>
      </c>
      <c r="Y1808" s="39" t="str">
        <f>IF(AND(OR(LEFT(TH!L1808,2)="15",LEFT(TH!M1808,2)="15"),'152-CT'!$J$8=TH!F1808),"x","")</f>
        <v/>
      </c>
      <c r="Z1808" s="39" t="str">
        <f>IF(AND(OR(LEFT(TH!L1808,2)="15",LEFT(TH!M1808,2)="15"),TK!$E$7=TH!F1808),"x","")</f>
        <v/>
      </c>
      <c r="AA1808" s="39" t="str">
        <f>IF(AND(B1808&lt;=NKC!$N$8,B1808&gt;=NKC!$M$8),"x","")</f>
        <v/>
      </c>
      <c r="AB1808" s="821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100"/>
        <v/>
      </c>
      <c r="C1809" s="184"/>
      <c r="D1809" s="184"/>
      <c r="E1809" s="184"/>
      <c r="F1809" s="189"/>
      <c r="G1809" s="570"/>
      <c r="H1809" s="7"/>
      <c r="I1809" s="256"/>
      <c r="J1809" s="256"/>
      <c r="K1809" s="568"/>
      <c r="L1809" s="569"/>
      <c r="M1809" s="569"/>
      <c r="N1809" s="39" t="str">
        <f>IF(AND('331-CT'!$E$7=TH!H1809,OR(L1809="331",M1809="331")),"331",IF(AND(OR(L1809="131",M1809="131"),H1809='131-CT'!$E$7),"131",""))</f>
        <v/>
      </c>
      <c r="O1809" s="902" t="str">
        <f>IF(AND('341-CT'!$E$9=H1809,OR(LEFT(L1809,3)=$O$7,LEFT(M1809,3)=$O$7)),"x","")</f>
        <v/>
      </c>
      <c r="P1809" s="39" t="str">
        <f>IF(AND($B1809&gt;='111'!$N$11,$B1809&lt;='111'!$O$11,OR($L1809=$P$7,$M1809=$P$7)),"x","")</f>
        <v/>
      </c>
      <c r="Q1809" s="39" t="str">
        <f>IF(AND($L1809=$P$7,$B1809&lt;'111'!$N$11),"x","")</f>
        <v/>
      </c>
      <c r="R1809" s="39" t="str">
        <f>IF(AND($M1809=$P$7,$B1809&lt;'111'!$N$11),"x","")</f>
        <v/>
      </c>
      <c r="S1809" s="39" t="str">
        <f>IF(ISERROR(FIND('112'!$M$9,G1809,1)),"",IF((AND(FIND('112'!$M$9,G1809,1)&gt;=1,$B1809&gt;='112'!$N$8,$B1809&lt;='112'!$O$8,OR($L1809='112'!$I$6,$M1809='112'!$I$6))),"x",""))</f>
        <v/>
      </c>
      <c r="T1809" s="39" t="str">
        <f>IF(ISERROR(FIND('112'!$M$9,G1809,1)),"",IF((AND(LEFT(G1809,2)=LEFT('112'!$M$9,2),B1809&lt;'112'!$N$8,$L1809='112'!$I$6)),"x",""))</f>
        <v/>
      </c>
      <c r="U1809" s="39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39" t="str">
        <f>IF(OR(TH!L1809=TH!$W$7,M1809=TH!$W$7),"x","")</f>
        <v/>
      </c>
      <c r="X1809" s="39" t="str">
        <f>IF(AND(B1809&gt;='IN-NX'!$P$3,B1809&lt;='IN-NX'!$Q$3,'IN-NX'!$D$7=D1809,OR(LEFT(L1809,2)="15",AND(LEFT(M1809,2)&lt;&gt;"15",LEFT(M1809,2)&lt;&gt;"33"))),"x","")</f>
        <v/>
      </c>
      <c r="Y1809" s="39" t="str">
        <f>IF(AND(OR(LEFT(TH!L1809,2)="15",LEFT(TH!M1809,2)="15"),'152-CT'!$J$8=TH!F1809),"x","")</f>
        <v/>
      </c>
      <c r="Z1809" s="39" t="str">
        <f>IF(AND(OR(LEFT(TH!L1809,2)="15",LEFT(TH!M1809,2)="15"),TK!$E$7=TH!F1809),"x","")</f>
        <v/>
      </c>
      <c r="AA1809" s="39" t="str">
        <f>IF(AND(B1809&lt;=NKC!$N$8,B1809&gt;=NKC!$M$8),"x","")</f>
        <v/>
      </c>
      <c r="AB1809" s="821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100"/>
        <v/>
      </c>
      <c r="C1810" s="191"/>
      <c r="D1810" s="191"/>
      <c r="E1810" s="191"/>
      <c r="F1810" s="192"/>
      <c r="G1810" s="468"/>
      <c r="H1810" s="7"/>
      <c r="I1810" s="256"/>
      <c r="J1810" s="256"/>
      <c r="K1810" s="568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902" t="str">
        <f>IF(AND('341-CT'!$E$9=H1810,OR(LEFT(L1810,3)=$O$7,LEFT(M1810,3)=$O$7)),"x","")</f>
        <v/>
      </c>
      <c r="P1810" s="39" t="str">
        <f>IF(AND($B1810&gt;='111'!$N$11,$B1810&lt;='111'!$O$11,OR($L1810=$P$7,$M1810=$P$7)),"x","")</f>
        <v/>
      </c>
      <c r="Q1810" s="39" t="str">
        <f>IF(AND($L1810=$P$7,$B1810&lt;'111'!$N$11),"x","")</f>
        <v/>
      </c>
      <c r="R1810" s="39" t="str">
        <f>IF(AND($M1810=$P$7,$B1810&lt;'111'!$N$11),"x","")</f>
        <v/>
      </c>
      <c r="S1810" s="39" t="str">
        <f>IF(ISERROR(FIND('112'!$M$9,G1810,1)),"",IF((AND(FIND('112'!$M$9,G1810,1)&gt;=1,$B1810&gt;='112'!$N$8,$B1810&lt;='112'!$O$8,OR($L1810='112'!$I$6,$M1810='112'!$I$6))),"x",""))</f>
        <v/>
      </c>
      <c r="T1810" s="39" t="str">
        <f>IF(ISERROR(FIND('112'!$M$9,G1810,1)),"",IF((AND(LEFT(G1810,2)=LEFT('112'!$M$9,2),B1810&lt;'112'!$N$8,$L1810='112'!$I$6)),"x",""))</f>
        <v/>
      </c>
      <c r="U1810" s="39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39" t="str">
        <f>IF(OR(TH!L1810=TH!$W$7,M1810=TH!$W$7),"x","")</f>
        <v/>
      </c>
      <c r="X1810" s="39" t="str">
        <f>IF(AND(B1810&gt;='IN-NX'!$P$3,B1810&lt;='IN-NX'!$Q$3,'IN-NX'!$D$7=D1810,OR(LEFT(L1810,2)="15",AND(LEFT(M1810,2)&lt;&gt;"15",LEFT(M1810,2)&lt;&gt;"33"))),"x","")</f>
        <v/>
      </c>
      <c r="Y1810" s="39" t="str">
        <f>IF(AND(OR(LEFT(TH!L1810,2)="15",LEFT(TH!M1810,2)="15"),'152-CT'!$J$8=TH!F1810),"x","")</f>
        <v/>
      </c>
      <c r="Z1810" s="39" t="str">
        <f>IF(AND(OR(LEFT(TH!L1810,2)="15",LEFT(TH!M1810,2)="15"),TK!$E$7=TH!F1810),"x","")</f>
        <v/>
      </c>
      <c r="AA1810" s="39" t="str">
        <f>IF(AND(B1810&lt;=NKC!$N$8,B1810&gt;=NKC!$M$8),"x","")</f>
        <v/>
      </c>
      <c r="AB1810" s="821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100"/>
        <v/>
      </c>
      <c r="C1811" s="191"/>
      <c r="D1811" s="191"/>
      <c r="E1811" s="191"/>
      <c r="F1811" s="192"/>
      <c r="G1811" s="468"/>
      <c r="H1811" s="7"/>
      <c r="I1811" s="256"/>
      <c r="J1811" s="256"/>
      <c r="K1811" s="38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902" t="str">
        <f>IF(AND('341-CT'!$E$9=H1811,OR(LEFT(L1811,3)=$O$7,LEFT(M1811,3)=$O$7)),"x","")</f>
        <v/>
      </c>
      <c r="P1811" s="39" t="str">
        <f>IF(AND($B1811&gt;='111'!$N$11,$B1811&lt;='111'!$O$11,OR($L1811=$P$7,$M1811=$P$7)),"x","")</f>
        <v/>
      </c>
      <c r="Q1811" s="39" t="str">
        <f>IF(AND($L1811=$P$7,$B1811&lt;'111'!$N$11),"x","")</f>
        <v/>
      </c>
      <c r="R1811" s="39" t="str">
        <f>IF(AND($M1811=$P$7,$B1811&lt;'111'!$N$11),"x","")</f>
        <v/>
      </c>
      <c r="S1811" s="39" t="str">
        <f>IF(ISERROR(FIND('112'!$M$9,G1811,1)),"",IF((AND(FIND('112'!$M$9,G1811,1)&gt;=1,$B1811&gt;='112'!$N$8,$B1811&lt;='112'!$O$8,OR($L1811='112'!$I$6,$M1811='112'!$I$6))),"x",""))</f>
        <v/>
      </c>
      <c r="T1811" s="39" t="str">
        <f>IF(ISERROR(FIND('112'!$M$9,G1811,1)),"",IF((AND(LEFT(G1811,2)=LEFT('112'!$M$9,2),B1811&lt;'112'!$N$8,$L1811='112'!$I$6)),"x",""))</f>
        <v/>
      </c>
      <c r="U1811" s="39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39" t="str">
        <f>IF(OR(TH!L1811=TH!$W$7,M1811=TH!$W$7),"x","")</f>
        <v/>
      </c>
      <c r="X1811" s="39" t="str">
        <f>IF(AND(B1811&gt;='IN-NX'!$P$3,B1811&lt;='IN-NX'!$Q$3,'IN-NX'!$D$7=D1811,OR(LEFT(L1811,2)="15",AND(LEFT(M1811,2)&lt;&gt;"15",LEFT(M1811,2)&lt;&gt;"33"))),"x","")</f>
        <v/>
      </c>
      <c r="Y1811" s="39" t="str">
        <f>IF(AND(OR(LEFT(TH!L1811,2)="15",LEFT(TH!M1811,2)="15"),'152-CT'!$J$8=TH!F1811),"x","")</f>
        <v/>
      </c>
      <c r="Z1811" s="39" t="str">
        <f>IF(AND(OR(LEFT(TH!L1811,2)="15",LEFT(TH!M1811,2)="15"),TK!$E$7=TH!F1811),"x","")</f>
        <v/>
      </c>
      <c r="AA1811" s="39" t="str">
        <f>IF(AND(B1811&lt;=NKC!$N$8,B1811&gt;=NKC!$M$8),"x","")</f>
        <v/>
      </c>
      <c r="AB1811" s="821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 t="str">
        <f t="shared" si="100"/>
        <v/>
      </c>
      <c r="C1812" s="191"/>
      <c r="D1812" s="191"/>
      <c r="E1812" s="191"/>
      <c r="F1812" s="192"/>
      <c r="G1812" s="468"/>
      <c r="H1812" s="7"/>
      <c r="I1812" s="256"/>
      <c r="J1812" s="256"/>
      <c r="K1812" s="568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902" t="str">
        <f>IF(AND('341-CT'!$E$9=H1812,OR(LEFT(L1812,3)=$O$7,LEFT(M1812,3)=$O$7)),"x","")</f>
        <v/>
      </c>
      <c r="P1812" s="39" t="str">
        <f>IF(AND($B1812&gt;='111'!$N$11,$B1812&lt;='111'!$O$11,OR($L1812=$P$7,$M1812=$P$7)),"x","")</f>
        <v/>
      </c>
      <c r="Q1812" s="39" t="str">
        <f>IF(AND($L1812=$P$7,$B1812&lt;'111'!$N$11),"x","")</f>
        <v/>
      </c>
      <c r="R1812" s="39" t="str">
        <f>IF(AND($M1812=$P$7,$B1812&lt;'111'!$N$11),"x","")</f>
        <v/>
      </c>
      <c r="S1812" s="39" t="str">
        <f>IF(ISERROR(FIND('112'!$M$9,G1812,1)),"",IF((AND(FIND('112'!$M$9,G1812,1)&gt;=1,$B1812&gt;='112'!$N$8,$B1812&lt;='112'!$O$8,OR($L1812='112'!$I$6,$M1812='112'!$I$6))),"x",""))</f>
        <v/>
      </c>
      <c r="T1812" s="39" t="str">
        <f>IF(ISERROR(FIND('112'!$M$9,G1812,1)),"",IF((AND(LEFT(G1812,2)=LEFT('112'!$M$9,2),B1812&lt;'112'!$N$8,$L1812='112'!$I$6)),"x",""))</f>
        <v/>
      </c>
      <c r="U1812" s="39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39" t="str">
        <f>IF(OR(TH!L1812=TH!$W$7,M1812=TH!$W$7),"x","")</f>
        <v/>
      </c>
      <c r="X1812" s="39" t="str">
        <f>IF(AND(B1812&gt;='IN-NX'!$P$3,B1812&lt;='IN-NX'!$Q$3,'IN-NX'!$D$7=D1812,OR(LEFT(L1812,2)="15",AND(LEFT(M1812,2)&lt;&gt;"15",LEFT(M1812,2)&lt;&gt;"33"))),"x","")</f>
        <v/>
      </c>
      <c r="Y1812" s="39" t="str">
        <f>IF(AND(OR(LEFT(TH!L1812,2)="15",LEFT(TH!M1812,2)="15"),'152-CT'!$J$8=TH!F1812),"x","")</f>
        <v/>
      </c>
      <c r="Z1812" s="39" t="str">
        <f>IF(AND(OR(LEFT(TH!L1812,2)="15",LEFT(TH!M1812,2)="15"),TK!$E$7=TH!F1812),"x","")</f>
        <v/>
      </c>
      <c r="AA1812" s="39" t="str">
        <f>IF(AND(B1812&lt;=NKC!$N$8,B1812&gt;=NKC!$M$8),"x","")</f>
        <v/>
      </c>
      <c r="AB1812" s="821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 t="str">
        <f t="shared" si="100"/>
        <v/>
      </c>
      <c r="C1813" s="191"/>
      <c r="D1813" s="191"/>
      <c r="E1813" s="191"/>
      <c r="F1813" s="192"/>
      <c r="G1813" s="468"/>
      <c r="H1813" s="7"/>
      <c r="I1813" s="256"/>
      <c r="J1813" s="256"/>
      <c r="K1813" s="38"/>
      <c r="L1813" s="194"/>
      <c r="M1813" s="194"/>
      <c r="N1813" s="39" t="str">
        <f>IF(AND('331-CT'!$E$7=TH!H1813,OR(L1813="331",M1813="331")),"331",IF(AND(OR(L1813="131",M1813="131"),H1813='131-CT'!$E$7),"131",""))</f>
        <v/>
      </c>
      <c r="O1813" s="902" t="str">
        <f>IF(AND('341-CT'!$E$9=H1813,OR(LEFT(L1813,3)=$O$7,LEFT(M1813,3)=$O$7)),"x","")</f>
        <v/>
      </c>
      <c r="P1813" s="39" t="str">
        <f>IF(AND($B1813&gt;='111'!$N$11,$B1813&lt;='111'!$O$11,OR($L1813=$P$7,$M1813=$P$7)),"x","")</f>
        <v/>
      </c>
      <c r="Q1813" s="39" t="str">
        <f>IF(AND($L1813=$P$7,$B1813&lt;'111'!$N$11),"x","")</f>
        <v/>
      </c>
      <c r="R1813" s="39" t="str">
        <f>IF(AND($M1813=$P$7,$B1813&lt;'111'!$N$11),"x","")</f>
        <v/>
      </c>
      <c r="S1813" s="39" t="str">
        <f>IF(ISERROR(FIND('112'!$M$9,G1813,1)),"",IF((AND(FIND('112'!$M$9,G1813,1)&gt;=1,$B1813&gt;='112'!$N$8,$B1813&lt;='112'!$O$8,OR($L1813='112'!$I$6,$M1813='112'!$I$6))),"x",""))</f>
        <v/>
      </c>
      <c r="T1813" s="39" t="str">
        <f>IF(ISERROR(FIND('112'!$M$9,G1813,1)),"",IF((AND(LEFT(G1813,2)=LEFT('112'!$M$9,2),B1813&lt;'112'!$N$8,$L1813='112'!$I$6)),"x",""))</f>
        <v/>
      </c>
      <c r="U1813" s="39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39" t="str">
        <f>IF(OR(TH!L1813=TH!$W$7,M1813=TH!$W$7),"x","")</f>
        <v/>
      </c>
      <c r="X1813" s="39" t="str">
        <f>IF(AND(B1813&gt;='IN-NX'!$P$3,B1813&lt;='IN-NX'!$Q$3,'IN-NX'!$D$7=D1813,OR(LEFT(L1813,2)="15",AND(LEFT(M1813,2)&lt;&gt;"15",LEFT(M1813,2)&lt;&gt;"33"))),"x","")</f>
        <v/>
      </c>
      <c r="Y1813" s="39" t="str">
        <f>IF(AND(OR(LEFT(TH!L1813,2)="15",LEFT(TH!M1813,2)="15"),'152-CT'!$J$8=TH!F1813),"x","")</f>
        <v/>
      </c>
      <c r="Z1813" s="39" t="str">
        <f>IF(AND(OR(LEFT(TH!L1813,2)="15",LEFT(TH!M1813,2)="15"),TK!$E$7=TH!F1813),"x","")</f>
        <v/>
      </c>
      <c r="AA1813" s="39" t="str">
        <f>IF(AND(B1813&lt;=NKC!$N$8,B1813&gt;=NKC!$M$8),"x","")</f>
        <v/>
      </c>
      <c r="AB1813" s="821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 t="str">
        <f t="shared" si="100"/>
        <v/>
      </c>
      <c r="C1814" s="191"/>
      <c r="D1814" s="191"/>
      <c r="E1814" s="191"/>
      <c r="F1814" s="192"/>
      <c r="G1814" s="468"/>
      <c r="H1814" s="193"/>
      <c r="I1814" s="256"/>
      <c r="J1814" s="256"/>
      <c r="K1814" s="38"/>
      <c r="L1814" s="194"/>
      <c r="M1814" s="569"/>
      <c r="N1814" s="39" t="str">
        <f>IF(AND('331-CT'!$E$7=TH!H1814,OR(L1814="331",M1814="331")),"331",IF(AND(OR(L1814="131",M1814="131"),H1814='131-CT'!$E$7),"131",""))</f>
        <v/>
      </c>
      <c r="O1814" s="902" t="str">
        <f>IF(AND('341-CT'!$E$9=H1814,OR(LEFT(L1814,3)=$O$7,LEFT(M1814,3)=$O$7)),"x","")</f>
        <v/>
      </c>
      <c r="P1814" s="39" t="str">
        <f>IF(AND($B1814&gt;='111'!$N$11,$B1814&lt;='111'!$O$11,OR($L1814=$P$7,$M1814=$P$7)),"x","")</f>
        <v/>
      </c>
      <c r="Q1814" s="39" t="str">
        <f>IF(AND($L1814=$P$7,$B1814&lt;'111'!$N$11),"x","")</f>
        <v/>
      </c>
      <c r="R1814" s="39" t="str">
        <f>IF(AND($M1814=$P$7,$B1814&lt;'111'!$N$11),"x","")</f>
        <v/>
      </c>
      <c r="S1814" s="39" t="str">
        <f>IF(ISERROR(FIND('112'!$M$9,G1814,1)),"",IF((AND(FIND('112'!$M$9,G1814,1)&gt;=1,$B1814&gt;='112'!$N$8,$B1814&lt;='112'!$O$8,OR($L1814='112'!$I$6,$M1814='112'!$I$6))),"x",""))</f>
        <v/>
      </c>
      <c r="T1814" s="39" t="str">
        <f>IF(ISERROR(FIND('112'!$M$9,G1814,1)),"",IF((AND(LEFT(G1814,2)=LEFT('112'!$M$9,2),B1814&lt;'112'!$N$8,$L1814='112'!$I$6)),"x",""))</f>
        <v/>
      </c>
      <c r="U1814" s="39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39" t="str">
        <f>IF(OR(TH!L1814=TH!$W$7,M1814=TH!$W$7),"x","")</f>
        <v/>
      </c>
      <c r="X1814" s="39" t="str">
        <f>IF(AND(B1814&gt;='IN-NX'!$P$3,B1814&lt;='IN-NX'!$Q$3,'IN-NX'!$D$7=D1814,OR(LEFT(L1814,2)="15",AND(LEFT(M1814,2)&lt;&gt;"15",LEFT(M1814,2)&lt;&gt;"33"))),"x","")</f>
        <v/>
      </c>
      <c r="Y1814" s="39" t="str">
        <f>IF(AND(OR(LEFT(TH!L1814,2)="15",LEFT(TH!M1814,2)="15"),'152-CT'!$J$8=TH!F1814),"x","")</f>
        <v/>
      </c>
      <c r="Z1814" s="39" t="str">
        <f>IF(AND(OR(LEFT(TH!L1814,2)="15",LEFT(TH!M1814,2)="15"),TK!$E$7=TH!F1814),"x","")</f>
        <v/>
      </c>
      <c r="AA1814" s="39" t="str">
        <f>IF(AND(B1814&lt;=NKC!$N$8,B1814&gt;=NKC!$M$8),"x","")</f>
        <v/>
      </c>
      <c r="AB1814" s="821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 t="str">
        <f t="shared" si="100"/>
        <v/>
      </c>
      <c r="C1815" s="191"/>
      <c r="D1815" s="191"/>
      <c r="E1815" s="191"/>
      <c r="F1815" s="192"/>
      <c r="G1815" s="468"/>
      <c r="H1815" s="193"/>
      <c r="I1815" s="256"/>
      <c r="J1815" s="256"/>
      <c r="K1815" s="568"/>
      <c r="L1815" s="194"/>
      <c r="M1815" s="194"/>
      <c r="N1815" s="39" t="str">
        <f>IF(AND('331-CT'!$E$7=TH!H1815,OR(L1815="331",M1815="331")),"331",IF(AND(OR(L1815="131",M1815="131"),H1815='131-CT'!$E$7),"131",""))</f>
        <v/>
      </c>
      <c r="O1815" s="902" t="str">
        <f>IF(AND('341-CT'!$E$9=H1815,OR(LEFT(L1815,3)=$O$7,LEFT(M1815,3)=$O$7)),"x","")</f>
        <v/>
      </c>
      <c r="P1815" s="39" t="str">
        <f>IF(AND($B1815&gt;='111'!$N$11,$B1815&lt;='111'!$O$11,OR($L1815=$P$7,$M1815=$P$7)),"x","")</f>
        <v/>
      </c>
      <c r="Q1815" s="39" t="str">
        <f>IF(AND($L1815=$P$7,$B1815&lt;'111'!$N$11),"x","")</f>
        <v/>
      </c>
      <c r="R1815" s="39" t="str">
        <f>IF(AND($M1815=$P$7,$B1815&lt;'111'!$N$11),"x","")</f>
        <v/>
      </c>
      <c r="S1815" s="39" t="str">
        <f>IF(ISERROR(FIND('112'!$M$9,G1815,1)),"",IF((AND(FIND('112'!$M$9,G1815,1)&gt;=1,$B1815&gt;='112'!$N$8,$B1815&lt;='112'!$O$8,OR($L1815='112'!$I$6,$M1815='112'!$I$6))),"x",""))</f>
        <v/>
      </c>
      <c r="T1815" s="39" t="str">
        <f>IF(ISERROR(FIND('112'!$M$9,G1815,1)),"",IF((AND(LEFT(G1815,2)=LEFT('112'!$M$9,2),B1815&lt;'112'!$N$8,$L1815='112'!$I$6)),"x",""))</f>
        <v/>
      </c>
      <c r="U1815" s="39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39" t="str">
        <f>IF(OR(TH!L1815=TH!$W$7,M1815=TH!$W$7),"x","")</f>
        <v/>
      </c>
      <c r="X1815" s="39" t="str">
        <f>IF(AND(B1815&gt;='IN-NX'!$P$3,B1815&lt;='IN-NX'!$Q$3,'IN-NX'!$D$7=D1815,OR(LEFT(L1815,2)="15",AND(LEFT(M1815,2)&lt;&gt;"15",LEFT(M1815,2)&lt;&gt;"33"))),"x","")</f>
        <v/>
      </c>
      <c r="Y1815" s="39" t="str">
        <f>IF(AND(OR(LEFT(TH!L1815,2)="15",LEFT(TH!M1815,2)="15"),'152-CT'!$J$8=TH!F1815),"x","")</f>
        <v/>
      </c>
      <c r="Z1815" s="39" t="str">
        <f>IF(AND(OR(LEFT(TH!L1815,2)="15",LEFT(TH!M1815,2)="15"),TK!$E$7=TH!F1815),"x","")</f>
        <v/>
      </c>
      <c r="AA1815" s="39" t="str">
        <f>IF(AND(B1815&lt;=NKC!$N$8,B1815&gt;=NKC!$M$8),"x","")</f>
        <v/>
      </c>
      <c r="AB1815" s="821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 t="str">
        <f t="shared" si="100"/>
        <v/>
      </c>
      <c r="C1816" s="191"/>
      <c r="D1816" s="191"/>
      <c r="E1816" s="191"/>
      <c r="F1816" s="192"/>
      <c r="G1816" s="468"/>
      <c r="H1816" s="193"/>
      <c r="I1816" s="256"/>
      <c r="J1816" s="256"/>
      <c r="K1816" s="568"/>
      <c r="L1816" s="194"/>
      <c r="M1816" s="194"/>
      <c r="N1816" s="39" t="str">
        <f>IF(AND('331-CT'!$E$7=TH!H1816,OR(L1816="331",M1816="331")),"331",IF(AND(OR(L1816="131",M1816="131"),H1816='131-CT'!$E$7),"131",""))</f>
        <v/>
      </c>
      <c r="O1816" s="902" t="str">
        <f>IF(AND('341-CT'!$E$9=H1816,OR(LEFT(L1816,3)=$O$7,LEFT(M1816,3)=$O$7)),"x","")</f>
        <v/>
      </c>
      <c r="P1816" s="39" t="str">
        <f>IF(AND($B1816&gt;='111'!$N$11,$B1816&lt;='111'!$O$11,OR($L1816=$P$7,$M1816=$P$7)),"x","")</f>
        <v/>
      </c>
      <c r="Q1816" s="39" t="str">
        <f>IF(AND($L1816=$P$7,$B1816&lt;'111'!$N$11),"x","")</f>
        <v/>
      </c>
      <c r="R1816" s="39" t="str">
        <f>IF(AND($M1816=$P$7,$B1816&lt;'111'!$N$11),"x","")</f>
        <v/>
      </c>
      <c r="S1816" s="39" t="str">
        <f>IF(ISERROR(FIND('112'!$M$9,G1816,1)),"",IF((AND(FIND('112'!$M$9,G1816,1)&gt;=1,$B1816&gt;='112'!$N$8,$B1816&lt;='112'!$O$8,OR($L1816='112'!$I$6,$M1816='112'!$I$6))),"x",""))</f>
        <v/>
      </c>
      <c r="T1816" s="39" t="str">
        <f>IF(ISERROR(FIND('112'!$M$9,G1816,1)),"",IF((AND(LEFT(G1816,2)=LEFT('112'!$M$9,2),B1816&lt;'112'!$N$8,$L1816='112'!$I$6)),"x",""))</f>
        <v/>
      </c>
      <c r="U1816" s="39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39" t="str">
        <f>IF(OR(TH!L1816=TH!$W$7,M1816=TH!$W$7),"x","")</f>
        <v/>
      </c>
      <c r="X1816" s="39" t="str">
        <f>IF(AND(B1816&gt;='IN-NX'!$P$3,B1816&lt;='IN-NX'!$Q$3,'IN-NX'!$D$7=D1816,OR(LEFT(L1816,2)="15",AND(LEFT(M1816,2)&lt;&gt;"15",LEFT(M1816,2)&lt;&gt;"33"))),"x","")</f>
        <v/>
      </c>
      <c r="Y1816" s="39" t="str">
        <f>IF(AND(OR(LEFT(TH!L1816,2)="15",LEFT(TH!M1816,2)="15"),'152-CT'!$J$8=TH!F1816),"x","")</f>
        <v/>
      </c>
      <c r="Z1816" s="39" t="str">
        <f>IF(AND(OR(LEFT(TH!L1816,2)="15",LEFT(TH!M1816,2)="15"),TK!$E$7=TH!F1816),"x","")</f>
        <v/>
      </c>
      <c r="AA1816" s="39" t="str">
        <f>IF(AND(B1816&lt;=NKC!$N$8,B1816&gt;=NKC!$M$8),"x","")</f>
        <v/>
      </c>
      <c r="AB1816" s="821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 t="str">
        <f t="shared" si="100"/>
        <v/>
      </c>
      <c r="C1817" s="191"/>
      <c r="D1817" s="191"/>
      <c r="E1817" s="191"/>
      <c r="F1817" s="192"/>
      <c r="G1817" s="468"/>
      <c r="H1817" s="193"/>
      <c r="I1817" s="256"/>
      <c r="J1817" s="256"/>
      <c r="K1817" s="568"/>
      <c r="L1817" s="194"/>
      <c r="M1817" s="194"/>
      <c r="N1817" s="39" t="str">
        <f>IF(AND('331-CT'!$E$7=TH!H1817,OR(L1817="331",M1817="331")),"331",IF(AND(OR(L1817="131",M1817="131"),H1817='131-CT'!$E$7),"131",""))</f>
        <v/>
      </c>
      <c r="O1817" s="902" t="str">
        <f>IF(AND('341-CT'!$E$9=H1817,OR(LEFT(L1817,3)=$O$7,LEFT(M1817,3)=$O$7)),"x","")</f>
        <v/>
      </c>
      <c r="P1817" s="39" t="str">
        <f>IF(AND($B1817&gt;='111'!$N$11,$B1817&lt;='111'!$O$11,OR($L1817=$P$7,$M1817=$P$7)),"x","")</f>
        <v/>
      </c>
      <c r="Q1817" s="39" t="str">
        <f>IF(AND($L1817=$P$7,$B1817&lt;'111'!$N$11),"x","")</f>
        <v/>
      </c>
      <c r="R1817" s="39" t="str">
        <f>IF(AND($M1817=$P$7,$B1817&lt;'111'!$N$11),"x","")</f>
        <v/>
      </c>
      <c r="S1817" s="39" t="str">
        <f>IF(ISERROR(FIND('112'!$M$9,G1817,1)),"",IF((AND(FIND('112'!$M$9,G1817,1)&gt;=1,$B1817&gt;='112'!$N$8,$B1817&lt;='112'!$O$8,OR($L1817='112'!$I$6,$M1817='112'!$I$6))),"x",""))</f>
        <v/>
      </c>
      <c r="T1817" s="39" t="str">
        <f>IF(ISERROR(FIND('112'!$M$9,G1817,1)),"",IF((AND(LEFT(G1817,2)=LEFT('112'!$M$9,2),B1817&lt;'112'!$N$8,$L1817='112'!$I$6)),"x",""))</f>
        <v/>
      </c>
      <c r="U1817" s="39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39" t="str">
        <f>IF(OR(TH!L1817=TH!$W$7,M1817=TH!$W$7),"x","")</f>
        <v/>
      </c>
      <c r="X1817" s="39" t="str">
        <f>IF(AND(B1817&gt;='IN-NX'!$P$3,B1817&lt;='IN-NX'!$Q$3,'IN-NX'!$D$7=D1817,OR(LEFT(L1817,2)="15",AND(LEFT(M1817,2)&lt;&gt;"15",LEFT(M1817,2)&lt;&gt;"33"))),"x","")</f>
        <v/>
      </c>
      <c r="Y1817" s="39" t="str">
        <f>IF(AND(OR(LEFT(TH!L1817,2)="15",LEFT(TH!M1817,2)="15"),'152-CT'!$J$8=TH!F1817),"x","")</f>
        <v/>
      </c>
      <c r="Z1817" s="39" t="str">
        <f>IF(AND(OR(LEFT(TH!L1817,2)="15",LEFT(TH!M1817,2)="15"),TK!$E$7=TH!F1817),"x","")</f>
        <v/>
      </c>
      <c r="AA1817" s="39" t="str">
        <f>IF(AND(B1817&lt;=NKC!$N$8,B1817&gt;=NKC!$M$8),"x","")</f>
        <v/>
      </c>
      <c r="AB1817" s="821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 t="str">
        <f t="shared" si="100"/>
        <v/>
      </c>
      <c r="C1818" s="191"/>
      <c r="D1818" s="191"/>
      <c r="E1818" s="191"/>
      <c r="F1818" s="192"/>
      <c r="G1818" s="468"/>
      <c r="H1818" s="193"/>
      <c r="I1818" s="256"/>
      <c r="J1818" s="256"/>
      <c r="K1818" s="568"/>
      <c r="L1818" s="194"/>
      <c r="M1818" s="194"/>
      <c r="N1818" s="39" t="str">
        <f>IF(AND('331-CT'!$E$7=TH!H1818,OR(L1818="331",M1818="331")),"331",IF(AND(OR(L1818="131",M1818="131"),H1818='131-CT'!$E$7),"131",""))</f>
        <v/>
      </c>
      <c r="O1818" s="902" t="str">
        <f>IF(AND('341-CT'!$E$9=H1818,OR(LEFT(L1818,3)=$O$7,LEFT(M1818,3)=$O$7)),"x","")</f>
        <v/>
      </c>
      <c r="P1818" s="39" t="str">
        <f>IF(AND($B1818&gt;='111'!$N$11,$B1818&lt;='111'!$O$11,OR($L1818=$P$7,$M1818=$P$7)),"x","")</f>
        <v/>
      </c>
      <c r="Q1818" s="39" t="str">
        <f>IF(AND($L1818=$P$7,$B1818&lt;'111'!$N$11),"x","")</f>
        <v/>
      </c>
      <c r="R1818" s="39" t="str">
        <f>IF(AND($M1818=$P$7,$B1818&lt;'111'!$N$11),"x","")</f>
        <v/>
      </c>
      <c r="S1818" s="39" t="str">
        <f>IF(ISERROR(FIND('112'!$M$9,G1818,1)),"",IF((AND(FIND('112'!$M$9,G1818,1)&gt;=1,$B1818&gt;='112'!$N$8,$B1818&lt;='112'!$O$8,OR($L1818='112'!$I$6,$M1818='112'!$I$6))),"x",""))</f>
        <v/>
      </c>
      <c r="T1818" s="39" t="str">
        <f>IF(ISERROR(FIND('112'!$M$9,G1818,1)),"",IF((AND(LEFT(G1818,2)=LEFT('112'!$M$9,2),B1818&lt;'112'!$N$8,$L1818='112'!$I$6)),"x",""))</f>
        <v/>
      </c>
      <c r="U1818" s="39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39" t="str">
        <f>IF(OR(TH!L1818=TH!$W$7,M1818=TH!$W$7),"x","")</f>
        <v/>
      </c>
      <c r="X1818" s="39" t="str">
        <f>IF(AND(B1818&gt;='IN-NX'!$P$3,B1818&lt;='IN-NX'!$Q$3,'IN-NX'!$D$7=D1818,OR(LEFT(L1818,2)="15",AND(LEFT(M1818,2)&lt;&gt;"15",LEFT(M1818,2)&lt;&gt;"33"))),"x","")</f>
        <v/>
      </c>
      <c r="Y1818" s="39" t="str">
        <f>IF(AND(OR(LEFT(TH!L1818,2)="15",LEFT(TH!M1818,2)="15"),'152-CT'!$J$8=TH!F1818),"x","")</f>
        <v/>
      </c>
      <c r="Z1818" s="39" t="str">
        <f>IF(AND(OR(LEFT(TH!L1818,2)="15",LEFT(TH!M1818,2)="15"),TK!$E$7=TH!F1818),"x","")</f>
        <v/>
      </c>
      <c r="AA1818" s="39" t="str">
        <f>IF(AND(B1818&lt;=NKC!$N$8,B1818&gt;=NKC!$M$8),"x","")</f>
        <v/>
      </c>
      <c r="AB1818" s="821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 t="str">
        <f t="shared" si="100"/>
        <v/>
      </c>
      <c r="C1819" s="191"/>
      <c r="D1819" s="191"/>
      <c r="E1819" s="191"/>
      <c r="F1819" s="192"/>
      <c r="G1819" s="468"/>
      <c r="H1819" s="193"/>
      <c r="I1819" s="256"/>
      <c r="J1819" s="256"/>
      <c r="K1819" s="568"/>
      <c r="L1819" s="194"/>
      <c r="M1819" s="194"/>
      <c r="N1819" s="39" t="str">
        <f>IF(AND('331-CT'!$E$7=TH!H1819,OR(L1819="331",M1819="331")),"331",IF(AND(OR(L1819="131",M1819="131"),H1819='131-CT'!$E$7),"131",""))</f>
        <v/>
      </c>
      <c r="O1819" s="902" t="str">
        <f>IF(AND('341-CT'!$E$9=H1819,OR(LEFT(L1819,3)=$O$7,LEFT(M1819,3)=$O$7)),"x","")</f>
        <v/>
      </c>
      <c r="P1819" s="39" t="str">
        <f>IF(AND($B1819&gt;='111'!$N$11,$B1819&lt;='111'!$O$11,OR($L1819=$P$7,$M1819=$P$7)),"x","")</f>
        <v/>
      </c>
      <c r="Q1819" s="39" t="str">
        <f>IF(AND($L1819=$P$7,$B1819&lt;'111'!$N$11),"x","")</f>
        <v/>
      </c>
      <c r="R1819" s="39" t="str">
        <f>IF(AND($M1819=$P$7,$B1819&lt;'111'!$N$11),"x","")</f>
        <v/>
      </c>
      <c r="S1819" s="39" t="str">
        <f>IF(ISERROR(FIND('112'!$M$9,G1819,1)),"",IF((AND(FIND('112'!$M$9,G1819,1)&gt;=1,$B1819&gt;='112'!$N$8,$B1819&lt;='112'!$O$8,OR($L1819='112'!$I$6,$M1819='112'!$I$6))),"x",""))</f>
        <v/>
      </c>
      <c r="T1819" s="39" t="str">
        <f>IF(ISERROR(FIND('112'!$M$9,G1819,1)),"",IF((AND(LEFT(G1819,2)=LEFT('112'!$M$9,2),B1819&lt;'112'!$N$8,$L1819='112'!$I$6)),"x",""))</f>
        <v/>
      </c>
      <c r="U1819" s="39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39" t="str">
        <f>IF(OR(TH!L1819=TH!$W$7,M1819=TH!$W$7),"x","")</f>
        <v/>
      </c>
      <c r="X1819" s="39" t="str">
        <f>IF(AND(B1819&gt;='IN-NX'!$P$3,B1819&lt;='IN-NX'!$Q$3,'IN-NX'!$D$7=D1819,OR(LEFT(L1819,2)="15",AND(LEFT(M1819,2)&lt;&gt;"15",LEFT(M1819,2)&lt;&gt;"33"))),"x","")</f>
        <v/>
      </c>
      <c r="Y1819" s="39" t="str">
        <f>IF(AND(OR(LEFT(TH!L1819,2)="15",LEFT(TH!M1819,2)="15"),'152-CT'!$J$8=TH!F1819),"x","")</f>
        <v/>
      </c>
      <c r="Z1819" s="39" t="str">
        <f>IF(AND(OR(LEFT(TH!L1819,2)="15",LEFT(TH!M1819,2)="15"),TK!$E$7=TH!F1819),"x","")</f>
        <v/>
      </c>
      <c r="AA1819" s="39" t="str">
        <f>IF(AND(B1819&lt;=NKC!$N$8,B1819&gt;=NKC!$M$8),"x","")</f>
        <v/>
      </c>
      <c r="AB1819" s="821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 t="str">
        <f t="shared" si="100"/>
        <v/>
      </c>
      <c r="C1820" s="191"/>
      <c r="D1820" s="191"/>
      <c r="E1820" s="191"/>
      <c r="F1820" s="192"/>
      <c r="G1820" s="468"/>
      <c r="H1820" s="193"/>
      <c r="I1820" s="256"/>
      <c r="J1820" s="256"/>
      <c r="K1820" s="568"/>
      <c r="L1820" s="194"/>
      <c r="M1820" s="194"/>
      <c r="N1820" s="39" t="str">
        <f>IF(AND('331-CT'!$E$7=TH!H1820,OR(L1820="331",M1820="331")),"331",IF(AND(OR(L1820="131",M1820="131"),H1820='131-CT'!$E$7),"131",""))</f>
        <v/>
      </c>
      <c r="O1820" s="902" t="str">
        <f>IF(AND('341-CT'!$E$9=H1820,OR(LEFT(L1820,3)=$O$7,LEFT(M1820,3)=$O$7)),"x","")</f>
        <v/>
      </c>
      <c r="P1820" s="39" t="str">
        <f>IF(AND($B1820&gt;='111'!$N$11,$B1820&lt;='111'!$O$11,OR($L1820=$P$7,$M1820=$P$7)),"x","")</f>
        <v/>
      </c>
      <c r="Q1820" s="39" t="str">
        <f>IF(AND($L1820=$P$7,$B1820&lt;'111'!$N$11),"x","")</f>
        <v/>
      </c>
      <c r="R1820" s="39" t="str">
        <f>IF(AND($M1820=$P$7,$B1820&lt;'111'!$N$11),"x","")</f>
        <v/>
      </c>
      <c r="S1820" s="39" t="str">
        <f>IF(ISERROR(FIND('112'!$M$9,G1820,1)),"",IF((AND(FIND('112'!$M$9,G1820,1)&gt;=1,$B1820&gt;='112'!$N$8,$B1820&lt;='112'!$O$8,OR($L1820='112'!$I$6,$M1820='112'!$I$6))),"x",""))</f>
        <v/>
      </c>
      <c r="T1820" s="39" t="str">
        <f>IF(ISERROR(FIND('112'!$M$9,G1820,1)),"",IF((AND(LEFT(G1820,2)=LEFT('112'!$M$9,2),B1820&lt;'112'!$N$8,$L1820='112'!$I$6)),"x",""))</f>
        <v/>
      </c>
      <c r="U1820" s="39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39" t="str">
        <f>IF(OR(TH!L1820=TH!$W$7,M1820=TH!$W$7),"x","")</f>
        <v/>
      </c>
      <c r="X1820" s="39" t="str">
        <f>IF(AND(B1820&gt;='IN-NX'!$P$3,B1820&lt;='IN-NX'!$Q$3,'IN-NX'!$D$7=D1820,OR(LEFT(L1820,2)="15",AND(LEFT(M1820,2)&lt;&gt;"15",LEFT(M1820,2)&lt;&gt;"33"))),"x","")</f>
        <v/>
      </c>
      <c r="Y1820" s="39" t="str">
        <f>IF(AND(OR(LEFT(TH!L1820,2)="15",LEFT(TH!M1820,2)="15"),'152-CT'!$J$8=TH!F1820),"x","")</f>
        <v/>
      </c>
      <c r="Z1820" s="39" t="str">
        <f>IF(AND(OR(LEFT(TH!L1820,2)="15",LEFT(TH!M1820,2)="15"),TK!$E$7=TH!F1820),"x","")</f>
        <v/>
      </c>
      <c r="AA1820" s="39" t="str">
        <f>IF(AND(B1820&lt;=NKC!$N$8,B1820&gt;=NKC!$M$8),"x","")</f>
        <v/>
      </c>
      <c r="AB1820" s="821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 t="str">
        <f t="shared" si="100"/>
        <v/>
      </c>
      <c r="C1821" s="191"/>
      <c r="D1821" s="191"/>
      <c r="E1821" s="191"/>
      <c r="F1821" s="192"/>
      <c r="G1821" s="468"/>
      <c r="H1821" s="193"/>
      <c r="I1821" s="256"/>
      <c r="J1821" s="256"/>
      <c r="K1821" s="568"/>
      <c r="L1821" s="194"/>
      <c r="M1821" s="194"/>
      <c r="N1821" s="39" t="str">
        <f>IF(AND('331-CT'!$E$7=TH!H1821,OR(L1821="331",M1821="331")),"331",IF(AND(OR(L1821="131",M1821="131"),H1821='131-CT'!$E$7),"131",""))</f>
        <v/>
      </c>
      <c r="O1821" s="902" t="str">
        <f>IF(AND('341-CT'!$E$9=H1821,OR(LEFT(L1821,3)=$O$7,LEFT(M1821,3)=$O$7)),"x","")</f>
        <v/>
      </c>
      <c r="P1821" s="39" t="str">
        <f>IF(AND($B1821&gt;='111'!$N$11,$B1821&lt;='111'!$O$11,OR($L1821=$P$7,$M1821=$P$7)),"x","")</f>
        <v/>
      </c>
      <c r="Q1821" s="39" t="str">
        <f>IF(AND($L1821=$P$7,$B1821&lt;'111'!$N$11),"x","")</f>
        <v/>
      </c>
      <c r="R1821" s="39" t="str">
        <f>IF(AND($M1821=$P$7,$B1821&lt;'111'!$N$11),"x","")</f>
        <v/>
      </c>
      <c r="S1821" s="39" t="str">
        <f>IF(ISERROR(FIND('112'!$M$9,G1821,1)),"",IF((AND(FIND('112'!$M$9,G1821,1)&gt;=1,$B1821&gt;='112'!$N$8,$B1821&lt;='112'!$O$8,OR($L1821='112'!$I$6,$M1821='112'!$I$6))),"x",""))</f>
        <v/>
      </c>
      <c r="T1821" s="39" t="str">
        <f>IF(ISERROR(FIND('112'!$M$9,G1821,1)),"",IF((AND(LEFT(G1821,2)=LEFT('112'!$M$9,2),B1821&lt;'112'!$N$8,$L1821='112'!$I$6)),"x",""))</f>
        <v/>
      </c>
      <c r="U1821" s="39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39" t="str">
        <f>IF(OR(TH!L1821=TH!$W$7,M1821=TH!$W$7),"x","")</f>
        <v/>
      </c>
      <c r="X1821" s="39" t="str">
        <f>IF(AND(B1821&gt;='IN-NX'!$P$3,B1821&lt;='IN-NX'!$Q$3,'IN-NX'!$D$7=D1821,OR(LEFT(L1821,2)="15",AND(LEFT(M1821,2)&lt;&gt;"15",LEFT(M1821,2)&lt;&gt;"33"))),"x","")</f>
        <v/>
      </c>
      <c r="Y1821" s="39" t="str">
        <f>IF(AND(OR(LEFT(TH!L1821,2)="15",LEFT(TH!M1821,2)="15"),'152-CT'!$J$8=TH!F1821),"x","")</f>
        <v/>
      </c>
      <c r="Z1821" s="39" t="str">
        <f>IF(AND(OR(LEFT(TH!L1821,2)="15",LEFT(TH!M1821,2)="15"),TK!$E$7=TH!F1821),"x","")</f>
        <v/>
      </c>
      <c r="AA1821" s="39" t="str">
        <f>IF(AND(B1821&lt;=NKC!$N$8,B1821&gt;=NKC!$M$8),"x","")</f>
        <v/>
      </c>
      <c r="AB1821" s="821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 t="str">
        <f t="shared" si="100"/>
        <v/>
      </c>
      <c r="C1822" s="191"/>
      <c r="D1822" s="191"/>
      <c r="E1822" s="191"/>
      <c r="F1822" s="192"/>
      <c r="G1822" s="468"/>
      <c r="H1822" s="193"/>
      <c r="I1822" s="256"/>
      <c r="J1822" s="256"/>
      <c r="K1822" s="568"/>
      <c r="L1822" s="194"/>
      <c r="M1822" s="194"/>
      <c r="N1822" s="39" t="str">
        <f>IF(AND('331-CT'!$E$7=TH!H1822,OR(L1822="331",M1822="331")),"331",IF(AND(OR(L1822="131",M1822="131"),H1822='131-CT'!$E$7),"131",""))</f>
        <v/>
      </c>
      <c r="O1822" s="902" t="str">
        <f>IF(AND('341-CT'!$E$9=H1822,OR(LEFT(L1822,3)=$O$7,LEFT(M1822,3)=$O$7)),"x","")</f>
        <v/>
      </c>
      <c r="P1822" s="39" t="str">
        <f>IF(AND($B1822&gt;='111'!$N$11,$B1822&lt;='111'!$O$11,OR($L1822=$P$7,$M1822=$P$7)),"x","")</f>
        <v/>
      </c>
      <c r="Q1822" s="39" t="str">
        <f>IF(AND($L1822=$P$7,$B1822&lt;'111'!$N$11),"x","")</f>
        <v/>
      </c>
      <c r="R1822" s="39" t="str">
        <f>IF(AND($M1822=$P$7,$B1822&lt;'111'!$N$11),"x","")</f>
        <v/>
      </c>
      <c r="S1822" s="39" t="str">
        <f>IF(ISERROR(FIND('112'!$M$9,G1822,1)),"",IF((AND(FIND('112'!$M$9,G1822,1)&gt;=1,$B1822&gt;='112'!$N$8,$B1822&lt;='112'!$O$8,OR($L1822='112'!$I$6,$M1822='112'!$I$6))),"x",""))</f>
        <v/>
      </c>
      <c r="T1822" s="39" t="str">
        <f>IF(ISERROR(FIND('112'!$M$9,G1822,1)),"",IF((AND(LEFT(G1822,2)=LEFT('112'!$M$9,2),B1822&lt;'112'!$N$8,$L1822='112'!$I$6)),"x",""))</f>
        <v/>
      </c>
      <c r="U1822" s="39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39" t="str">
        <f>IF(OR(TH!L1822=TH!$W$7,M1822=TH!$W$7),"x","")</f>
        <v/>
      </c>
      <c r="X1822" s="39" t="str">
        <f>IF(AND(B1822&gt;='IN-NX'!$P$3,B1822&lt;='IN-NX'!$Q$3,'IN-NX'!$D$7=D1822,OR(LEFT(L1822,2)="15",AND(LEFT(M1822,2)&lt;&gt;"15",LEFT(M1822,2)&lt;&gt;"33"))),"x","")</f>
        <v/>
      </c>
      <c r="Y1822" s="39" t="str">
        <f>IF(AND(OR(LEFT(TH!L1822,2)="15",LEFT(TH!M1822,2)="15"),'152-CT'!$J$8=TH!F1822),"x","")</f>
        <v/>
      </c>
      <c r="Z1822" s="39" t="str">
        <f>IF(AND(OR(LEFT(TH!L1822,2)="15",LEFT(TH!M1822,2)="15"),TK!$E$7=TH!F1822),"x","")</f>
        <v/>
      </c>
      <c r="AA1822" s="39" t="str">
        <f>IF(AND(B1822&lt;=NKC!$N$8,B1822&gt;=NKC!$M$8),"x","")</f>
        <v/>
      </c>
      <c r="AB1822" s="821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 t="str">
        <f t="shared" si="100"/>
        <v/>
      </c>
      <c r="C1823" s="191"/>
      <c r="D1823" s="191"/>
      <c r="E1823" s="191"/>
      <c r="F1823" s="192"/>
      <c r="G1823" s="468"/>
      <c r="H1823" s="193"/>
      <c r="I1823" s="256"/>
      <c r="J1823" s="256"/>
      <c r="K1823" s="568"/>
      <c r="L1823" s="194"/>
      <c r="M1823" s="194"/>
      <c r="N1823" s="39" t="str">
        <f>IF(AND('331-CT'!$E$7=TH!H1823,OR(L1823="331",M1823="331")),"331",IF(AND(OR(L1823="131",M1823="131"),H1823='131-CT'!$E$7),"131",""))</f>
        <v/>
      </c>
      <c r="O1823" s="902" t="str">
        <f>IF(AND('341-CT'!$E$9=H1823,OR(LEFT(L1823,3)=$O$7,LEFT(M1823,3)=$O$7)),"x","")</f>
        <v/>
      </c>
      <c r="P1823" s="39" t="str">
        <f>IF(AND($B1823&gt;='111'!$N$11,$B1823&lt;='111'!$O$11,OR($L1823=$P$7,$M1823=$P$7)),"x","")</f>
        <v/>
      </c>
      <c r="Q1823" s="39" t="str">
        <f>IF(AND($L1823=$P$7,$B1823&lt;'111'!$N$11),"x","")</f>
        <v/>
      </c>
      <c r="R1823" s="39" t="str">
        <f>IF(AND($M1823=$P$7,$B1823&lt;'111'!$N$11),"x","")</f>
        <v/>
      </c>
      <c r="S1823" s="39" t="str">
        <f>IF(ISERROR(FIND('112'!$M$9,G1823,1)),"",IF((AND(FIND('112'!$M$9,G1823,1)&gt;=1,$B1823&gt;='112'!$N$8,$B1823&lt;='112'!$O$8,OR($L1823='112'!$I$6,$M1823='112'!$I$6))),"x",""))</f>
        <v/>
      </c>
      <c r="T1823" s="39" t="str">
        <f>IF(ISERROR(FIND('112'!$M$9,G1823,1)),"",IF((AND(LEFT(G1823,2)=LEFT('112'!$M$9,2),B1823&lt;'112'!$N$8,$L1823='112'!$I$6)),"x",""))</f>
        <v/>
      </c>
      <c r="U1823" s="39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39" t="str">
        <f>IF(OR(TH!L1823=TH!$W$7,M1823=TH!$W$7),"x","")</f>
        <v/>
      </c>
      <c r="X1823" s="39" t="str">
        <f>IF(AND(B1823&gt;='IN-NX'!$P$3,B1823&lt;='IN-NX'!$Q$3,'IN-NX'!$D$7=D1823,OR(LEFT(L1823,2)="15",AND(LEFT(M1823,2)&lt;&gt;"15",LEFT(M1823,2)&lt;&gt;"33"))),"x","")</f>
        <v/>
      </c>
      <c r="Y1823" s="39" t="str">
        <f>IF(AND(OR(LEFT(TH!L1823,2)="15",LEFT(TH!M1823,2)="15"),'152-CT'!$J$8=TH!F1823),"x","")</f>
        <v/>
      </c>
      <c r="Z1823" s="39" t="str">
        <f>IF(AND(OR(LEFT(TH!L1823,2)="15",LEFT(TH!M1823,2)="15"),TK!$E$7=TH!F1823),"x","")</f>
        <v/>
      </c>
      <c r="AA1823" s="39" t="str">
        <f>IF(AND(B1823&lt;=NKC!$N$8,B1823&gt;=NKC!$M$8),"x","")</f>
        <v/>
      </c>
      <c r="AB1823" s="821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100"/>
        <v/>
      </c>
      <c r="C1824" s="191"/>
      <c r="D1824" s="191"/>
      <c r="E1824" s="191"/>
      <c r="F1824" s="192"/>
      <c r="G1824" s="468"/>
      <c r="H1824" s="193"/>
      <c r="I1824" s="256"/>
      <c r="J1824" s="256"/>
      <c r="K1824" s="568"/>
      <c r="L1824" s="194"/>
      <c r="M1824" s="194"/>
      <c r="N1824" s="39" t="str">
        <f>IF(AND('331-CT'!$E$7=TH!H1824,OR(L1824="331",M1824="331")),"331",IF(AND(OR(L1824="131",M1824="131"),H1824='131-CT'!$E$7),"131",""))</f>
        <v/>
      </c>
      <c r="O1824" s="902" t="str">
        <f>IF(AND('341-CT'!$E$9=H1824,OR(LEFT(L1824,3)=$O$7,LEFT(M1824,3)=$O$7)),"x","")</f>
        <v/>
      </c>
      <c r="P1824" s="39" t="str">
        <f>IF(AND($B1824&gt;='111'!$N$11,$B1824&lt;='111'!$O$11,OR($L1824=$P$7,$M1824=$P$7)),"x","")</f>
        <v/>
      </c>
      <c r="Q1824" s="39" t="str">
        <f>IF(AND($L1824=$P$7,$B1824&lt;'111'!$N$11),"x","")</f>
        <v/>
      </c>
      <c r="R1824" s="39" t="str">
        <f>IF(AND($M1824=$P$7,$B1824&lt;'111'!$N$11),"x","")</f>
        <v/>
      </c>
      <c r="S1824" s="39" t="str">
        <f>IF(ISERROR(FIND('112'!$M$9,G1824,1)),"",IF((AND(FIND('112'!$M$9,G1824,1)&gt;=1,$B1824&gt;='112'!$N$8,$B1824&lt;='112'!$O$8,OR($L1824='112'!$I$6,$M1824='112'!$I$6))),"x",""))</f>
        <v/>
      </c>
      <c r="T1824" s="39" t="str">
        <f>IF(ISERROR(FIND('112'!$M$9,G1824,1)),"",IF((AND(LEFT(G1824,2)=LEFT('112'!$M$9,2),B1824&lt;'112'!$N$8,$L1824='112'!$I$6)),"x",""))</f>
        <v/>
      </c>
      <c r="U1824" s="39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39" t="str">
        <f>IF(OR(TH!L1824=TH!$W$7,M1824=TH!$W$7),"x","")</f>
        <v/>
      </c>
      <c r="X1824" s="39" t="str">
        <f>IF(AND(B1824&gt;='IN-NX'!$P$3,B1824&lt;='IN-NX'!$Q$3,'IN-NX'!$D$7=D1824,OR(LEFT(L1824,2)="15",AND(LEFT(M1824,2)&lt;&gt;"15",LEFT(M1824,2)&lt;&gt;"33"))),"x","")</f>
        <v/>
      </c>
      <c r="Y1824" s="39" t="str">
        <f>IF(AND(OR(LEFT(TH!L1824,2)="15",LEFT(TH!M1824,2)="15"),'152-CT'!$J$8=TH!F1824),"x","")</f>
        <v/>
      </c>
      <c r="Z1824" s="39" t="str">
        <f>IF(AND(OR(LEFT(TH!L1824,2)="15",LEFT(TH!M1824,2)="15"),TK!$E$7=TH!F1824),"x","")</f>
        <v/>
      </c>
      <c r="AA1824" s="39" t="str">
        <f>IF(AND(B1824&lt;=NKC!$N$8,B1824&gt;=NKC!$M$8),"x","")</f>
        <v/>
      </c>
      <c r="AB1824" s="821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100"/>
        <v/>
      </c>
      <c r="C1825" s="191"/>
      <c r="D1825" s="191"/>
      <c r="E1825" s="191"/>
      <c r="F1825" s="192"/>
      <c r="G1825" s="468"/>
      <c r="H1825" s="193"/>
      <c r="I1825" s="256"/>
      <c r="J1825" s="256"/>
      <c r="K1825" s="568"/>
      <c r="L1825" s="194"/>
      <c r="M1825" s="194"/>
      <c r="N1825" s="39" t="str">
        <f>IF(AND('331-CT'!$E$7=TH!H1825,OR(L1825="331",M1825="331")),"331",IF(AND(OR(L1825="131",M1825="131"),H1825='131-CT'!$E$7),"131",""))</f>
        <v/>
      </c>
      <c r="O1825" s="902" t="str">
        <f>IF(AND('341-CT'!$E$9=H1825,OR(LEFT(L1825,3)=$O$7,LEFT(M1825,3)=$O$7)),"x","")</f>
        <v/>
      </c>
      <c r="P1825" s="39" t="str">
        <f>IF(AND($B1825&gt;='111'!$N$11,$B1825&lt;='111'!$O$11,OR($L1825=$P$7,$M1825=$P$7)),"x","")</f>
        <v/>
      </c>
      <c r="Q1825" s="39" t="str">
        <f>IF(AND($L1825=$P$7,$B1825&lt;'111'!$N$11),"x","")</f>
        <v/>
      </c>
      <c r="R1825" s="39" t="str">
        <f>IF(AND($M1825=$P$7,$B1825&lt;'111'!$N$11),"x","")</f>
        <v/>
      </c>
      <c r="S1825" s="39" t="str">
        <f>IF(ISERROR(FIND('112'!$M$9,G1825,1)),"",IF((AND(FIND('112'!$M$9,G1825,1)&gt;=1,$B1825&gt;='112'!$N$8,$B1825&lt;='112'!$O$8,OR($L1825='112'!$I$6,$M1825='112'!$I$6))),"x",""))</f>
        <v/>
      </c>
      <c r="T1825" s="39" t="str">
        <f>IF(ISERROR(FIND('112'!$M$9,G1825,1)),"",IF((AND(LEFT(G1825,2)=LEFT('112'!$M$9,2),B1825&lt;'112'!$N$8,$L1825='112'!$I$6)),"x",""))</f>
        <v/>
      </c>
      <c r="U1825" s="39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39" t="str">
        <f>IF(OR(TH!L1825=TH!$W$7,M1825=TH!$W$7),"x","")</f>
        <v/>
      </c>
      <c r="X1825" s="39" t="str">
        <f>IF(AND(B1825&gt;='IN-NX'!$P$3,B1825&lt;='IN-NX'!$Q$3,'IN-NX'!$D$7=D1825,OR(LEFT(L1825,2)="15",AND(LEFT(M1825,2)&lt;&gt;"15",LEFT(M1825,2)&lt;&gt;"33"))),"x","")</f>
        <v/>
      </c>
      <c r="Y1825" s="39" t="str">
        <f>IF(AND(OR(LEFT(TH!L1825,2)="15",LEFT(TH!M1825,2)="15"),'152-CT'!$J$8=TH!F1825),"x","")</f>
        <v/>
      </c>
      <c r="Z1825" s="39" t="str">
        <f>IF(AND(OR(LEFT(TH!L1825,2)="15",LEFT(TH!M1825,2)="15"),TK!$E$7=TH!F1825),"x","")</f>
        <v/>
      </c>
      <c r="AA1825" s="39" t="str">
        <f>IF(AND(B1825&lt;=NKC!$N$8,B1825&gt;=NKC!$M$8),"x","")</f>
        <v/>
      </c>
      <c r="AB1825" s="821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100"/>
        <v/>
      </c>
      <c r="C1826" s="191"/>
      <c r="D1826" s="191"/>
      <c r="E1826" s="191"/>
      <c r="F1826" s="192"/>
      <c r="G1826" s="468"/>
      <c r="H1826" s="193"/>
      <c r="I1826" s="256"/>
      <c r="J1826" s="256"/>
      <c r="K1826" s="568"/>
      <c r="L1826" s="194"/>
      <c r="M1826" s="194"/>
      <c r="N1826" s="39" t="str">
        <f>IF(AND('331-CT'!$E$7=TH!H1826,OR(L1826="331",M1826="331")),"331",IF(AND(OR(L1826="131",M1826="131"),H1826='131-CT'!$E$7),"131",""))</f>
        <v/>
      </c>
      <c r="O1826" s="902" t="str">
        <f>IF(AND('341-CT'!$E$9=H1826,OR(LEFT(L1826,3)=$O$7,LEFT(M1826,3)=$O$7)),"x","")</f>
        <v/>
      </c>
      <c r="P1826" s="39" t="str">
        <f>IF(AND($B1826&gt;='111'!$N$11,$B1826&lt;='111'!$O$11,OR($L1826=$P$7,$M1826=$P$7)),"x","")</f>
        <v/>
      </c>
      <c r="Q1826" s="39" t="str">
        <f>IF(AND($L1826=$P$7,$B1826&lt;'111'!$N$11),"x","")</f>
        <v/>
      </c>
      <c r="R1826" s="39" t="str">
        <f>IF(AND($M1826=$P$7,$B1826&lt;'111'!$N$11),"x","")</f>
        <v/>
      </c>
      <c r="S1826" s="39" t="str">
        <f>IF(ISERROR(FIND('112'!$M$9,G1826,1)),"",IF((AND(FIND('112'!$M$9,G1826,1)&gt;=1,$B1826&gt;='112'!$N$8,$B1826&lt;='112'!$O$8,OR($L1826='112'!$I$6,$M1826='112'!$I$6))),"x",""))</f>
        <v/>
      </c>
      <c r="T1826" s="39" t="str">
        <f>IF(ISERROR(FIND('112'!$M$9,G1826,1)),"",IF((AND(LEFT(G1826,2)=LEFT('112'!$M$9,2),B1826&lt;'112'!$N$8,$L1826='112'!$I$6)),"x",""))</f>
        <v/>
      </c>
      <c r="U1826" s="39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39" t="str">
        <f>IF(OR(TH!L1826=TH!$W$7,M1826=TH!$W$7),"x","")</f>
        <v/>
      </c>
      <c r="X1826" s="39" t="str">
        <f>IF(AND(B1826&gt;='IN-NX'!$P$3,B1826&lt;='IN-NX'!$Q$3,'IN-NX'!$D$7=D1826,OR(LEFT(L1826,2)="15",AND(LEFT(M1826,2)&lt;&gt;"15",LEFT(M1826,2)&lt;&gt;"33"))),"x","")</f>
        <v/>
      </c>
      <c r="Y1826" s="39" t="str">
        <f>IF(AND(OR(LEFT(TH!L1826,2)="15",LEFT(TH!M1826,2)="15"),'152-CT'!$J$8=TH!F1826),"x","")</f>
        <v/>
      </c>
      <c r="Z1826" s="39" t="str">
        <f>IF(AND(OR(LEFT(TH!L1826,2)="15",LEFT(TH!M1826,2)="15"),TK!$E$7=TH!F1826),"x","")</f>
        <v/>
      </c>
      <c r="AA1826" s="39" t="str">
        <f>IF(AND(B1826&lt;=NKC!$N$8,B1826&gt;=NKC!$M$8),"x","")</f>
        <v/>
      </c>
      <c r="AB1826" s="821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100"/>
        <v/>
      </c>
      <c r="C1827" s="191"/>
      <c r="D1827" s="191"/>
      <c r="E1827" s="191"/>
      <c r="F1827" s="192"/>
      <c r="G1827" s="468"/>
      <c r="H1827" s="193"/>
      <c r="I1827" s="256"/>
      <c r="J1827" s="256"/>
      <c r="K1827" s="568"/>
      <c r="L1827" s="194"/>
      <c r="M1827" s="194"/>
      <c r="N1827" s="39" t="str">
        <f>IF(AND('331-CT'!$E$7=TH!H1827,OR(L1827="331",M1827="331")),"331",IF(AND(OR(L1827="131",M1827="131"),H1827='131-CT'!$E$7),"131",""))</f>
        <v/>
      </c>
      <c r="O1827" s="902" t="str">
        <f>IF(AND('341-CT'!$E$9=H1827,OR(LEFT(L1827,3)=$O$7,LEFT(M1827,3)=$O$7)),"x","")</f>
        <v/>
      </c>
      <c r="P1827" s="39" t="str">
        <f>IF(AND($B1827&gt;='111'!$N$11,$B1827&lt;='111'!$O$11,OR($L1827=$P$7,$M1827=$P$7)),"x","")</f>
        <v/>
      </c>
      <c r="Q1827" s="39" t="str">
        <f>IF(AND($L1827=$P$7,$B1827&lt;'111'!$N$11),"x","")</f>
        <v/>
      </c>
      <c r="R1827" s="39" t="str">
        <f>IF(AND($M1827=$P$7,$B1827&lt;'111'!$N$11),"x","")</f>
        <v/>
      </c>
      <c r="S1827" s="39" t="str">
        <f>IF(ISERROR(FIND('112'!$M$9,G1827,1)),"",IF((AND(FIND('112'!$M$9,G1827,1)&gt;=1,$B1827&gt;='112'!$N$8,$B1827&lt;='112'!$O$8,OR($L1827='112'!$I$6,$M1827='112'!$I$6))),"x",""))</f>
        <v/>
      </c>
      <c r="T1827" s="39" t="str">
        <f>IF(ISERROR(FIND('112'!$M$9,G1827,1)),"",IF((AND(LEFT(G1827,2)=LEFT('112'!$M$9,2),B1827&lt;'112'!$N$8,$L1827='112'!$I$6)),"x",""))</f>
        <v/>
      </c>
      <c r="U1827" s="39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39" t="str">
        <f>IF(OR(TH!L1827=TH!$W$7,M1827=TH!$W$7),"x","")</f>
        <v/>
      </c>
      <c r="X1827" s="39" t="str">
        <f>IF(AND(B1827&gt;='IN-NX'!$P$3,B1827&lt;='IN-NX'!$Q$3,'IN-NX'!$D$7=D1827,OR(LEFT(L1827,2)="15",AND(LEFT(M1827,2)&lt;&gt;"15",LEFT(M1827,2)&lt;&gt;"33"))),"x","")</f>
        <v/>
      </c>
      <c r="Y1827" s="39" t="str">
        <f>IF(AND(OR(LEFT(TH!L1827,2)="15",LEFT(TH!M1827,2)="15"),'152-CT'!$J$8=TH!F1827),"x","")</f>
        <v/>
      </c>
      <c r="Z1827" s="39" t="str">
        <f>IF(AND(OR(LEFT(TH!L1827,2)="15",LEFT(TH!M1827,2)="15"),TK!$E$7=TH!F1827),"x","")</f>
        <v/>
      </c>
      <c r="AA1827" s="39" t="str">
        <f>IF(AND(B1827&lt;=NKC!$N$8,B1827&gt;=NKC!$M$8),"x","")</f>
        <v/>
      </c>
      <c r="AB1827" s="821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100"/>
        <v/>
      </c>
      <c r="C1828" s="191"/>
      <c r="D1828" s="191"/>
      <c r="E1828" s="191"/>
      <c r="F1828" s="192"/>
      <c r="G1828" s="468"/>
      <c r="H1828" s="193"/>
      <c r="I1828" s="256"/>
      <c r="J1828" s="256"/>
      <c r="K1828" s="568"/>
      <c r="L1828" s="194"/>
      <c r="M1828" s="194"/>
      <c r="N1828" s="39" t="str">
        <f>IF(AND('331-CT'!$E$7=TH!H1828,OR(L1828="331",M1828="331")),"331",IF(AND(OR(L1828="131",M1828="131"),H1828='131-CT'!$E$7),"131",""))</f>
        <v/>
      </c>
      <c r="O1828" s="902" t="str">
        <f>IF(AND('341-CT'!$E$9=H1828,OR(LEFT(L1828,3)=$O$7,LEFT(M1828,3)=$O$7)),"x","")</f>
        <v/>
      </c>
      <c r="P1828" s="39" t="str">
        <f>IF(AND($B1828&gt;='111'!$N$11,$B1828&lt;='111'!$O$11,OR($L1828=$P$7,$M1828=$P$7)),"x","")</f>
        <v/>
      </c>
      <c r="Q1828" s="39" t="str">
        <f>IF(AND($L1828=$P$7,$B1828&lt;'111'!$N$11),"x","")</f>
        <v/>
      </c>
      <c r="R1828" s="39" t="str">
        <f>IF(AND($M1828=$P$7,$B1828&lt;'111'!$N$11),"x","")</f>
        <v/>
      </c>
      <c r="S1828" s="39" t="str">
        <f>IF(ISERROR(FIND('112'!$M$9,G1828,1)),"",IF((AND(FIND('112'!$M$9,G1828,1)&gt;=1,$B1828&gt;='112'!$N$8,$B1828&lt;='112'!$O$8,OR($L1828='112'!$I$6,$M1828='112'!$I$6))),"x",""))</f>
        <v/>
      </c>
      <c r="T1828" s="39" t="str">
        <f>IF(ISERROR(FIND('112'!$M$9,G1828,1)),"",IF((AND(LEFT(G1828,2)=LEFT('112'!$M$9,2),B1828&lt;'112'!$N$8,$L1828='112'!$I$6)),"x",""))</f>
        <v/>
      </c>
      <c r="U1828" s="39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39" t="str">
        <f>IF(OR(TH!L1828=TH!$W$7,M1828=TH!$W$7),"x","")</f>
        <v/>
      </c>
      <c r="X1828" s="39" t="str">
        <f>IF(AND(B1828&gt;='IN-NX'!$P$3,B1828&lt;='IN-NX'!$Q$3,'IN-NX'!$D$7=D1828,OR(LEFT(L1828,2)="15",AND(LEFT(M1828,2)&lt;&gt;"15",LEFT(M1828,2)&lt;&gt;"33"))),"x","")</f>
        <v/>
      </c>
      <c r="Y1828" s="39" t="str">
        <f>IF(AND(OR(LEFT(TH!L1828,2)="15",LEFT(TH!M1828,2)="15"),'152-CT'!$J$8=TH!F1828),"x","")</f>
        <v/>
      </c>
      <c r="Z1828" s="39" t="str">
        <f>IF(AND(OR(LEFT(TH!L1828,2)="15",LEFT(TH!M1828,2)="15"),TK!$E$7=TH!F1828),"x","")</f>
        <v/>
      </c>
      <c r="AA1828" s="39" t="str">
        <f>IF(AND(B1828&lt;=NKC!$N$8,B1828&gt;=NKC!$M$8),"x","")</f>
        <v/>
      </c>
      <c r="AB1828" s="821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100"/>
        <v/>
      </c>
      <c r="C1829" s="191"/>
      <c r="D1829" s="191"/>
      <c r="E1829" s="191"/>
      <c r="F1829" s="192"/>
      <c r="G1829" s="468"/>
      <c r="H1829" s="193"/>
      <c r="I1829" s="256"/>
      <c r="J1829" s="256"/>
      <c r="K1829" s="568"/>
      <c r="L1829" s="194"/>
      <c r="M1829" s="194"/>
      <c r="N1829" s="39" t="str">
        <f>IF(AND('331-CT'!$E$7=TH!H1829,OR(L1829="331",M1829="331")),"331",IF(AND(OR(L1829="131",M1829="131"),H1829='131-CT'!$E$7),"131",""))</f>
        <v/>
      </c>
      <c r="O1829" s="902" t="str">
        <f>IF(AND('341-CT'!$E$9=H1829,OR(LEFT(L1829,3)=$O$7,LEFT(M1829,3)=$O$7)),"x","")</f>
        <v/>
      </c>
      <c r="P1829" s="39" t="str">
        <f>IF(AND($B1829&gt;='111'!$N$11,$B1829&lt;='111'!$O$11,OR($L1829=$P$7,$M1829=$P$7)),"x","")</f>
        <v/>
      </c>
      <c r="Q1829" s="39" t="str">
        <f>IF(AND($L1829=$P$7,$B1829&lt;'111'!$N$11),"x","")</f>
        <v/>
      </c>
      <c r="R1829" s="39" t="str">
        <f>IF(AND($M1829=$P$7,$B1829&lt;'111'!$N$11),"x","")</f>
        <v/>
      </c>
      <c r="S1829" s="39" t="str">
        <f>IF(ISERROR(FIND('112'!$M$9,G1829,1)),"",IF((AND(FIND('112'!$M$9,G1829,1)&gt;=1,$B1829&gt;='112'!$N$8,$B1829&lt;='112'!$O$8,OR($L1829='112'!$I$6,$M1829='112'!$I$6))),"x",""))</f>
        <v/>
      </c>
      <c r="T1829" s="39" t="str">
        <f>IF(ISERROR(FIND('112'!$M$9,G1829,1)),"",IF((AND(LEFT(G1829,2)=LEFT('112'!$M$9,2),B1829&lt;'112'!$N$8,$L1829='112'!$I$6)),"x",""))</f>
        <v/>
      </c>
      <c r="U1829" s="39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39" t="str">
        <f>IF(OR(TH!L1829=TH!$W$7,M1829=TH!$W$7),"x","")</f>
        <v/>
      </c>
      <c r="X1829" s="39" t="str">
        <f>IF(AND(B1829&gt;='IN-NX'!$P$3,B1829&lt;='IN-NX'!$Q$3,'IN-NX'!$D$7=D1829,OR(LEFT(L1829,2)="15",AND(LEFT(M1829,2)&lt;&gt;"15",LEFT(M1829,2)&lt;&gt;"33"))),"x","")</f>
        <v/>
      </c>
      <c r="Y1829" s="39" t="str">
        <f>IF(AND(OR(LEFT(TH!L1829,2)="15",LEFT(TH!M1829,2)="15"),'152-CT'!$J$8=TH!F1829),"x","")</f>
        <v/>
      </c>
      <c r="Z1829" s="39" t="str">
        <f>IF(AND(OR(LEFT(TH!L1829,2)="15",LEFT(TH!M1829,2)="15"),TK!$E$7=TH!F1829),"x","")</f>
        <v/>
      </c>
      <c r="AA1829" s="39" t="str">
        <f>IF(AND(B1829&lt;=NKC!$N$8,B1829&gt;=NKC!$M$8),"x","")</f>
        <v/>
      </c>
      <c r="AB1829" s="821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100"/>
        <v/>
      </c>
      <c r="C1830" s="191"/>
      <c r="D1830" s="191"/>
      <c r="E1830" s="37"/>
      <c r="F1830" s="40"/>
      <c r="G1830" s="40"/>
      <c r="H1830" s="7"/>
      <c r="I1830" s="256"/>
      <c r="J1830" s="256"/>
      <c r="K1830" s="56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902" t="str">
        <f>IF(AND('341-CT'!$E$9=H1830,OR(LEFT(L1830,3)=$O$7,LEFT(M1830,3)=$O$7)),"x","")</f>
        <v/>
      </c>
      <c r="P1830" s="39" t="str">
        <f>IF(AND($B1830&gt;='111'!$N$11,$B1830&lt;='111'!$O$11,OR($L1830=$P$7,$M1830=$P$7)),"x","")</f>
        <v/>
      </c>
      <c r="Q1830" s="39" t="str">
        <f>IF(AND($L1830=$P$7,$B1830&lt;'111'!$N$11),"x","")</f>
        <v/>
      </c>
      <c r="R1830" s="39" t="str">
        <f>IF(AND($M1830=$P$7,$B1830&lt;'111'!$N$11),"x","")</f>
        <v/>
      </c>
      <c r="S1830" s="39" t="str">
        <f>IF(ISERROR(FIND('112'!$M$9,G1830,1)),"",IF((AND(FIND('112'!$M$9,G1830,1)&gt;=1,$B1830&gt;='112'!$N$8,$B1830&lt;='112'!$O$8,OR($L1830='112'!$I$6,$M1830='112'!$I$6))),"x",""))</f>
        <v/>
      </c>
      <c r="T1830" s="39" t="str">
        <f>IF(ISERROR(FIND('112'!$M$9,G1830,1)),"",IF((AND(LEFT(G1830,2)=LEFT('112'!$M$9,2),B1830&lt;'112'!$N$8,$L1830='112'!$I$6)),"x",""))</f>
        <v/>
      </c>
      <c r="U1830" s="39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39" t="str">
        <f>IF(OR(TH!L1830=TH!$W$7,M1830=TH!$W$7),"x","")</f>
        <v/>
      </c>
      <c r="X1830" s="39" t="str">
        <f>IF(AND(B1830&gt;='IN-NX'!$P$3,B1830&lt;='IN-NX'!$Q$3,'IN-NX'!$D$7=D1830,OR(LEFT(L1830,2)="15",AND(LEFT(M1830,2)&lt;&gt;"15",LEFT(M1830,2)&lt;&gt;"33"))),"x","")</f>
        <v/>
      </c>
      <c r="Y1830" s="39" t="str">
        <f>IF(AND(OR(LEFT(TH!L1830,2)="15",LEFT(TH!M1830,2)="15"),'152-CT'!$J$8=TH!F1830),"x","")</f>
        <v/>
      </c>
      <c r="Z1830" s="39" t="str">
        <f>IF(AND(OR(LEFT(TH!L1830,2)="15",LEFT(TH!M1830,2)="15"),TK!$E$7=TH!F1830),"x","")</f>
        <v/>
      </c>
      <c r="AA1830" s="39" t="str">
        <f>IF(AND(B1830&lt;=NKC!$N$8,B1830&gt;=NKC!$M$8),"x","")</f>
        <v/>
      </c>
      <c r="AB1830" s="821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100"/>
        <v/>
      </c>
      <c r="C1831" s="191"/>
      <c r="D1831" s="191"/>
      <c r="E1831" s="37"/>
      <c r="F1831" s="40"/>
      <c r="G1831" s="40"/>
      <c r="H1831" s="7"/>
      <c r="I1831" s="256"/>
      <c r="J1831" s="256"/>
      <c r="K1831" s="56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902" t="str">
        <f>IF(AND('341-CT'!$E$9=H1831,OR(LEFT(L1831,3)=$O$7,LEFT(M1831,3)=$O$7)),"x","")</f>
        <v/>
      </c>
      <c r="P1831" s="39" t="str">
        <f>IF(AND($B1831&gt;='111'!$N$11,$B1831&lt;='111'!$O$11,OR($L1831=$P$7,$M1831=$P$7)),"x","")</f>
        <v/>
      </c>
      <c r="Q1831" s="39" t="str">
        <f>IF(AND($L1831=$P$7,$B1831&lt;'111'!$N$11),"x","")</f>
        <v/>
      </c>
      <c r="R1831" s="39" t="str">
        <f>IF(AND($M1831=$P$7,$B1831&lt;'111'!$N$11),"x","")</f>
        <v/>
      </c>
      <c r="S1831" s="39" t="str">
        <f>IF(ISERROR(FIND('112'!$M$9,G1831,1)),"",IF((AND(FIND('112'!$M$9,G1831,1)&gt;=1,$B1831&gt;='112'!$N$8,$B1831&lt;='112'!$O$8,OR($L1831='112'!$I$6,$M1831='112'!$I$6))),"x",""))</f>
        <v/>
      </c>
      <c r="T1831" s="39" t="str">
        <f>IF(ISERROR(FIND('112'!$M$9,G1831,1)),"",IF((AND(LEFT(G1831,2)=LEFT('112'!$M$9,2),B1831&lt;'112'!$N$8,$L1831='112'!$I$6)),"x",""))</f>
        <v/>
      </c>
      <c r="U1831" s="39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39" t="str">
        <f>IF(OR(TH!L1831=TH!$W$7,M1831=TH!$W$7),"x","")</f>
        <v/>
      </c>
      <c r="X1831" s="39" t="str">
        <f>IF(AND(B1831&gt;='IN-NX'!$P$3,B1831&lt;='IN-NX'!$Q$3,'IN-NX'!$D$7=D1831,OR(LEFT(L1831,2)="15",AND(LEFT(M1831,2)&lt;&gt;"15",LEFT(M1831,2)&lt;&gt;"33"))),"x","")</f>
        <v/>
      </c>
      <c r="Y1831" s="39" t="str">
        <f>IF(AND(OR(LEFT(TH!L1831,2)="15",LEFT(TH!M1831,2)="15"),'152-CT'!$J$8=TH!F1831),"x","")</f>
        <v/>
      </c>
      <c r="Z1831" s="39" t="str">
        <f>IF(AND(OR(LEFT(TH!L1831,2)="15",LEFT(TH!M1831,2)="15"),TK!$E$7=TH!F1831),"x","")</f>
        <v/>
      </c>
      <c r="AA1831" s="39" t="str">
        <f>IF(AND(B1831&lt;=NKC!$N$8,B1831&gt;=NKC!$M$8),"x","")</f>
        <v/>
      </c>
      <c r="AB1831" s="821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100"/>
        <v/>
      </c>
      <c r="C1832" s="191"/>
      <c r="D1832" s="37"/>
      <c r="E1832" s="37"/>
      <c r="F1832" s="296"/>
      <c r="G1832" s="40"/>
      <c r="H1832" s="7"/>
      <c r="I1832" s="256"/>
      <c r="J1832" s="256"/>
      <c r="K1832" s="56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902" t="str">
        <f>IF(AND('341-CT'!$E$9=H1832,OR(LEFT(L1832,3)=$O$7,LEFT(M1832,3)=$O$7)),"x","")</f>
        <v/>
      </c>
      <c r="P1832" s="39" t="str">
        <f>IF(AND($B1832&gt;='111'!$N$11,$B1832&lt;='111'!$O$11,OR($L1832=$P$7,$M1832=$P$7)),"x","")</f>
        <v/>
      </c>
      <c r="Q1832" s="39" t="str">
        <f>IF(AND($L1832=$P$7,$B1832&lt;'111'!$N$11),"x","")</f>
        <v/>
      </c>
      <c r="R1832" s="39" t="str">
        <f>IF(AND($M1832=$P$7,$B1832&lt;'111'!$N$11),"x","")</f>
        <v/>
      </c>
      <c r="S1832" s="39" t="str">
        <f>IF(ISERROR(FIND('112'!$M$9,G1832,1)),"",IF((AND(FIND('112'!$M$9,G1832,1)&gt;=1,$B1832&gt;='112'!$N$8,$B1832&lt;='112'!$O$8,OR($L1832='112'!$I$6,$M1832='112'!$I$6))),"x",""))</f>
        <v/>
      </c>
      <c r="T1832" s="39" t="str">
        <f>IF(ISERROR(FIND('112'!$M$9,G1832,1)),"",IF((AND(LEFT(G1832,2)=LEFT('112'!$M$9,2),B1832&lt;'112'!$N$8,$L1832='112'!$I$6)),"x",""))</f>
        <v/>
      </c>
      <c r="U1832" s="39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39" t="str">
        <f>IF(OR(TH!L1832=TH!$W$7,M1832=TH!$W$7),"x","")</f>
        <v/>
      </c>
      <c r="X1832" s="39" t="str">
        <f>IF(AND(B1832&gt;='IN-NX'!$P$3,B1832&lt;='IN-NX'!$Q$3,'IN-NX'!$D$7=D1832,OR(LEFT(L1832,2)="15",AND(LEFT(M1832,2)&lt;&gt;"15",LEFT(M1832,2)&lt;&gt;"33"))),"x","")</f>
        <v/>
      </c>
      <c r="Y1832" s="39" t="str">
        <f>IF(AND(OR(LEFT(TH!L1832,2)="15",LEFT(TH!M1832,2)="15"),'152-CT'!$J$8=TH!F1832),"x","")</f>
        <v/>
      </c>
      <c r="Z1832" s="39" t="str">
        <f>IF(AND(OR(LEFT(TH!L1832,2)="15",LEFT(TH!M1832,2)="15"),TK!$E$7=TH!F1832),"x","")</f>
        <v/>
      </c>
      <c r="AA1832" s="39" t="str">
        <f>IF(AND(B1832&lt;=NKC!$N$8,B1832&gt;=NKC!$M$8),"x","")</f>
        <v/>
      </c>
      <c r="AB1832" s="821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100"/>
        <v/>
      </c>
      <c r="C1833" s="191"/>
      <c r="D1833" s="37"/>
      <c r="E1833" s="37"/>
      <c r="F1833" s="296"/>
      <c r="G1833" s="40"/>
      <c r="H1833" s="7"/>
      <c r="I1833" s="256"/>
      <c r="J1833" s="256"/>
      <c r="K1833" s="56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902" t="str">
        <f>IF(AND('341-CT'!$E$9=H1833,OR(LEFT(L1833,3)=$O$7,LEFT(M1833,3)=$O$7)),"x","")</f>
        <v/>
      </c>
      <c r="P1833" s="39" t="str">
        <f>IF(AND($B1833&gt;='111'!$N$11,$B1833&lt;='111'!$O$11,OR($L1833=$P$7,$M1833=$P$7)),"x","")</f>
        <v/>
      </c>
      <c r="Q1833" s="39" t="str">
        <f>IF(AND($L1833=$P$7,$B1833&lt;'111'!$N$11),"x","")</f>
        <v/>
      </c>
      <c r="R1833" s="39" t="str">
        <f>IF(AND($M1833=$P$7,$B1833&lt;'111'!$N$11),"x","")</f>
        <v/>
      </c>
      <c r="S1833" s="39" t="str">
        <f>IF(ISERROR(FIND('112'!$M$9,G1833,1)),"",IF((AND(FIND('112'!$M$9,G1833,1)&gt;=1,$B1833&gt;='112'!$N$8,$B1833&lt;='112'!$O$8,OR($L1833='112'!$I$6,$M1833='112'!$I$6))),"x",""))</f>
        <v/>
      </c>
      <c r="T1833" s="39" t="str">
        <f>IF(ISERROR(FIND('112'!$M$9,G1833,1)),"",IF((AND(LEFT(G1833,2)=LEFT('112'!$M$9,2),B1833&lt;'112'!$N$8,$L1833='112'!$I$6)),"x",""))</f>
        <v/>
      </c>
      <c r="U1833" s="39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39" t="str">
        <f>IF(OR(TH!L1833=TH!$W$7,M1833=TH!$W$7),"x","")</f>
        <v/>
      </c>
      <c r="X1833" s="39" t="str">
        <f>IF(AND(B1833&gt;='IN-NX'!$P$3,B1833&lt;='IN-NX'!$Q$3,'IN-NX'!$D$7=D1833,OR(LEFT(L1833,2)="15",AND(LEFT(M1833,2)&lt;&gt;"15",LEFT(M1833,2)&lt;&gt;"33"))),"x","")</f>
        <v/>
      </c>
      <c r="Y1833" s="39" t="str">
        <f>IF(AND(OR(LEFT(TH!L1833,2)="15",LEFT(TH!M1833,2)="15"),'152-CT'!$J$8=TH!F1833),"x","")</f>
        <v/>
      </c>
      <c r="Z1833" s="39" t="str">
        <f>IF(AND(OR(LEFT(TH!L1833,2)="15",LEFT(TH!M1833,2)="15"),TK!$E$7=TH!F1833),"x","")</f>
        <v/>
      </c>
      <c r="AA1833" s="39" t="str">
        <f>IF(AND(B1833&lt;=NKC!$N$8,B1833&gt;=NKC!$M$8),"x","")</f>
        <v/>
      </c>
      <c r="AB1833" s="821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100"/>
        <v/>
      </c>
      <c r="C1834" s="191"/>
      <c r="D1834" s="37"/>
      <c r="E1834" s="37"/>
      <c r="F1834" s="296"/>
      <c r="G1834" s="40"/>
      <c r="H1834" s="7"/>
      <c r="I1834" s="256"/>
      <c r="J1834" s="256"/>
      <c r="K1834" s="56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902" t="str">
        <f>IF(AND('341-CT'!$E$9=H1834,OR(LEFT(L1834,3)=$O$7,LEFT(M1834,3)=$O$7)),"x","")</f>
        <v/>
      </c>
      <c r="P1834" s="39" t="str">
        <f>IF(AND($B1834&gt;='111'!$N$11,$B1834&lt;='111'!$O$11,OR($L1834=$P$7,$M1834=$P$7)),"x","")</f>
        <v/>
      </c>
      <c r="Q1834" s="39" t="str">
        <f>IF(AND($L1834=$P$7,$B1834&lt;'111'!$N$11),"x","")</f>
        <v/>
      </c>
      <c r="R1834" s="39" t="str">
        <f>IF(AND($M1834=$P$7,$B1834&lt;'111'!$N$11),"x","")</f>
        <v/>
      </c>
      <c r="S1834" s="39" t="str">
        <f>IF(ISERROR(FIND('112'!$M$9,G1834,1)),"",IF((AND(FIND('112'!$M$9,G1834,1)&gt;=1,$B1834&gt;='112'!$N$8,$B1834&lt;='112'!$O$8,OR($L1834='112'!$I$6,$M1834='112'!$I$6))),"x",""))</f>
        <v/>
      </c>
      <c r="T1834" s="39" t="str">
        <f>IF(ISERROR(FIND('112'!$M$9,G1834,1)),"",IF((AND(LEFT(G1834,2)=LEFT('112'!$M$9,2),B1834&lt;'112'!$N$8,$L1834='112'!$I$6)),"x",""))</f>
        <v/>
      </c>
      <c r="U1834" s="39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39" t="str">
        <f>IF(OR(TH!L1834=TH!$W$7,M1834=TH!$W$7),"x","")</f>
        <v/>
      </c>
      <c r="X1834" s="39" t="str">
        <f>IF(AND(B1834&gt;='IN-NX'!$P$3,B1834&lt;='IN-NX'!$Q$3,'IN-NX'!$D$7=D1834,OR(LEFT(L1834,2)="15",AND(LEFT(M1834,2)&lt;&gt;"15",LEFT(M1834,2)&lt;&gt;"33"))),"x","")</f>
        <v/>
      </c>
      <c r="Y1834" s="39" t="str">
        <f>IF(AND(OR(LEFT(TH!L1834,2)="15",LEFT(TH!M1834,2)="15"),'152-CT'!$J$8=TH!F1834),"x","")</f>
        <v/>
      </c>
      <c r="Z1834" s="39" t="str">
        <f>IF(AND(OR(LEFT(TH!L1834,2)="15",LEFT(TH!M1834,2)="15"),TK!$E$7=TH!F1834),"x","")</f>
        <v/>
      </c>
      <c r="AA1834" s="39" t="str">
        <f>IF(AND(B1834&lt;=NKC!$N$8,B1834&gt;=NKC!$M$8),"x","")</f>
        <v/>
      </c>
      <c r="AB1834" s="821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100"/>
        <v/>
      </c>
      <c r="C1835" s="191"/>
      <c r="D1835" s="37"/>
      <c r="E1835" s="37"/>
      <c r="F1835" s="296"/>
      <c r="G1835" s="40"/>
      <c r="H1835" s="7"/>
      <c r="I1835" s="256"/>
      <c r="J1835" s="256"/>
      <c r="K1835" s="56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902" t="str">
        <f>IF(AND('341-CT'!$E$9=H1835,OR(LEFT(L1835,3)=$O$7,LEFT(M1835,3)=$O$7)),"x","")</f>
        <v/>
      </c>
      <c r="P1835" s="39" t="str">
        <f>IF(AND($B1835&gt;='111'!$N$11,$B1835&lt;='111'!$O$11,OR($L1835=$P$7,$M1835=$P$7)),"x","")</f>
        <v/>
      </c>
      <c r="Q1835" s="39" t="str">
        <f>IF(AND($L1835=$P$7,$B1835&lt;'111'!$N$11),"x","")</f>
        <v/>
      </c>
      <c r="R1835" s="39" t="str">
        <f>IF(AND($M1835=$P$7,$B1835&lt;'111'!$N$11),"x","")</f>
        <v/>
      </c>
      <c r="S1835" s="39" t="str">
        <f>IF(ISERROR(FIND('112'!$M$9,G1835,1)),"",IF((AND(FIND('112'!$M$9,G1835,1)&gt;=1,$B1835&gt;='112'!$N$8,$B1835&lt;='112'!$O$8,OR($L1835='112'!$I$6,$M1835='112'!$I$6))),"x",""))</f>
        <v/>
      </c>
      <c r="T1835" s="39" t="str">
        <f>IF(ISERROR(FIND('112'!$M$9,G1835,1)),"",IF((AND(LEFT(G1835,2)=LEFT('112'!$M$9,2),B1835&lt;'112'!$N$8,$L1835='112'!$I$6)),"x",""))</f>
        <v/>
      </c>
      <c r="U1835" s="39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39" t="str">
        <f>IF(OR(TH!L1835=TH!$W$7,M1835=TH!$W$7),"x","")</f>
        <v/>
      </c>
      <c r="X1835" s="39" t="str">
        <f>IF(AND(B1835&gt;='IN-NX'!$P$3,B1835&lt;='IN-NX'!$Q$3,'IN-NX'!$D$7=D1835,OR(LEFT(L1835,2)="15",AND(LEFT(M1835,2)&lt;&gt;"15",LEFT(M1835,2)&lt;&gt;"33"))),"x","")</f>
        <v/>
      </c>
      <c r="Y1835" s="39" t="str">
        <f>IF(AND(OR(LEFT(TH!L1835,2)="15",LEFT(TH!M1835,2)="15"),'152-CT'!$J$8=TH!F1835),"x","")</f>
        <v/>
      </c>
      <c r="Z1835" s="39" t="str">
        <f>IF(AND(OR(LEFT(TH!L1835,2)="15",LEFT(TH!M1835,2)="15"),TK!$E$7=TH!F1835),"x","")</f>
        <v/>
      </c>
      <c r="AA1835" s="39" t="str">
        <f>IF(AND(B1835&lt;=NKC!$N$8,B1835&gt;=NKC!$M$8),"x","")</f>
        <v/>
      </c>
      <c r="AB1835" s="821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100"/>
        <v/>
      </c>
      <c r="C1836" s="191"/>
      <c r="D1836" s="37"/>
      <c r="E1836" s="37"/>
      <c r="F1836" s="296"/>
      <c r="G1836" s="40"/>
      <c r="H1836" s="7"/>
      <c r="I1836" s="256"/>
      <c r="J1836" s="256"/>
      <c r="K1836" s="56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902" t="str">
        <f>IF(AND('341-CT'!$E$9=H1836,OR(LEFT(L1836,3)=$O$7,LEFT(M1836,3)=$O$7)),"x","")</f>
        <v/>
      </c>
      <c r="P1836" s="39" t="str">
        <f>IF(AND($B1836&gt;='111'!$N$11,$B1836&lt;='111'!$O$11,OR($L1836=$P$7,$M1836=$P$7)),"x","")</f>
        <v/>
      </c>
      <c r="Q1836" s="39" t="str">
        <f>IF(AND($L1836=$P$7,$B1836&lt;'111'!$N$11),"x","")</f>
        <v/>
      </c>
      <c r="R1836" s="39" t="str">
        <f>IF(AND($M1836=$P$7,$B1836&lt;'111'!$N$11),"x","")</f>
        <v/>
      </c>
      <c r="S1836" s="39" t="str">
        <f>IF(ISERROR(FIND('112'!$M$9,G1836,1)),"",IF((AND(FIND('112'!$M$9,G1836,1)&gt;=1,$B1836&gt;='112'!$N$8,$B1836&lt;='112'!$O$8,OR($L1836='112'!$I$6,$M1836='112'!$I$6))),"x",""))</f>
        <v/>
      </c>
      <c r="T1836" s="39" t="str">
        <f>IF(ISERROR(FIND('112'!$M$9,G1836,1)),"",IF((AND(LEFT(G1836,2)=LEFT('112'!$M$9,2),B1836&lt;'112'!$N$8,$L1836='112'!$I$6)),"x",""))</f>
        <v/>
      </c>
      <c r="U1836" s="39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39" t="str">
        <f>IF(OR(TH!L1836=TH!$W$7,M1836=TH!$W$7),"x","")</f>
        <v/>
      </c>
      <c r="X1836" s="39" t="str">
        <f>IF(AND(B1836&gt;='IN-NX'!$P$3,B1836&lt;='IN-NX'!$Q$3,'IN-NX'!$D$7=D1836,OR(LEFT(L1836,2)="15",AND(LEFT(M1836,2)&lt;&gt;"15",LEFT(M1836,2)&lt;&gt;"33"))),"x","")</f>
        <v/>
      </c>
      <c r="Y1836" s="39" t="str">
        <f>IF(AND(OR(LEFT(TH!L1836,2)="15",LEFT(TH!M1836,2)="15"),'152-CT'!$J$8=TH!F1836),"x","")</f>
        <v/>
      </c>
      <c r="Z1836" s="39" t="str">
        <f>IF(AND(OR(LEFT(TH!L1836,2)="15",LEFT(TH!M1836,2)="15"),TK!$E$7=TH!F1836),"x","")</f>
        <v/>
      </c>
      <c r="AA1836" s="39" t="str">
        <f>IF(AND(B1836&lt;=NKC!$N$8,B1836&gt;=NKC!$M$8),"x","")</f>
        <v/>
      </c>
      <c r="AB1836" s="821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100"/>
        <v/>
      </c>
      <c r="C1837" s="191"/>
      <c r="D1837" s="37"/>
      <c r="E1837" s="37"/>
      <c r="F1837" s="296"/>
      <c r="G1837" s="40"/>
      <c r="H1837" s="7"/>
      <c r="I1837" s="256"/>
      <c r="J1837" s="256"/>
      <c r="K1837" s="56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902" t="str">
        <f>IF(AND('341-CT'!$E$9=H1837,OR(LEFT(L1837,3)=$O$7,LEFT(M1837,3)=$O$7)),"x","")</f>
        <v/>
      </c>
      <c r="P1837" s="39" t="str">
        <f>IF(AND($B1837&gt;='111'!$N$11,$B1837&lt;='111'!$O$11,OR($L1837=$P$7,$M1837=$P$7)),"x","")</f>
        <v/>
      </c>
      <c r="Q1837" s="39" t="str">
        <f>IF(AND($L1837=$P$7,$B1837&lt;'111'!$N$11),"x","")</f>
        <v/>
      </c>
      <c r="R1837" s="39" t="str">
        <f>IF(AND($M1837=$P$7,$B1837&lt;'111'!$N$11),"x","")</f>
        <v/>
      </c>
      <c r="S1837" s="39" t="str">
        <f>IF(ISERROR(FIND('112'!$M$9,G1837,1)),"",IF((AND(FIND('112'!$M$9,G1837,1)&gt;=1,$B1837&gt;='112'!$N$8,$B1837&lt;='112'!$O$8,OR($L1837='112'!$I$6,$M1837='112'!$I$6))),"x",""))</f>
        <v/>
      </c>
      <c r="T1837" s="39" t="str">
        <f>IF(ISERROR(FIND('112'!$M$9,G1837,1)),"",IF((AND(LEFT(G1837,2)=LEFT('112'!$M$9,2),B1837&lt;'112'!$N$8,$L1837='112'!$I$6)),"x",""))</f>
        <v/>
      </c>
      <c r="U1837" s="39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39" t="str">
        <f>IF(OR(TH!L1837=TH!$W$7,M1837=TH!$W$7),"x","")</f>
        <v/>
      </c>
      <c r="X1837" s="39" t="str">
        <f>IF(AND(B1837&gt;='IN-NX'!$P$3,B1837&lt;='IN-NX'!$Q$3,'IN-NX'!$D$7=D1837,OR(LEFT(L1837,2)="15",AND(LEFT(M1837,2)&lt;&gt;"15",LEFT(M1837,2)&lt;&gt;"33"))),"x","")</f>
        <v/>
      </c>
      <c r="Y1837" s="39" t="str">
        <f>IF(AND(OR(LEFT(TH!L1837,2)="15",LEFT(TH!M1837,2)="15"),'152-CT'!$J$8=TH!F1837),"x","")</f>
        <v/>
      </c>
      <c r="Z1837" s="39" t="str">
        <f>IF(AND(OR(LEFT(TH!L1837,2)="15",LEFT(TH!M1837,2)="15"),TK!$E$7=TH!F1837),"x","")</f>
        <v/>
      </c>
      <c r="AA1837" s="39" t="str">
        <f>IF(AND(B1837&lt;=NKC!$N$8,B1837&gt;=NKC!$M$8),"x","")</f>
        <v/>
      </c>
      <c r="AB1837" s="821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100"/>
        <v/>
      </c>
      <c r="C1838" s="191"/>
      <c r="D1838" s="37"/>
      <c r="E1838" s="37"/>
      <c r="F1838" s="296"/>
      <c r="G1838" s="40"/>
      <c r="H1838" s="7"/>
      <c r="I1838" s="256"/>
      <c r="J1838" s="256"/>
      <c r="K1838" s="56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902" t="str">
        <f>IF(AND('341-CT'!$E$9=H1838,OR(LEFT(L1838,3)=$O$7,LEFT(M1838,3)=$O$7)),"x","")</f>
        <v/>
      </c>
      <c r="P1838" s="39" t="str">
        <f>IF(AND($B1838&gt;='111'!$N$11,$B1838&lt;='111'!$O$11,OR($L1838=$P$7,$M1838=$P$7)),"x","")</f>
        <v/>
      </c>
      <c r="Q1838" s="39" t="str">
        <f>IF(AND($L1838=$P$7,$B1838&lt;'111'!$N$11),"x","")</f>
        <v/>
      </c>
      <c r="R1838" s="39" t="str">
        <f>IF(AND($M1838=$P$7,$B1838&lt;'111'!$N$11),"x","")</f>
        <v/>
      </c>
      <c r="S1838" s="39" t="str">
        <f>IF(ISERROR(FIND('112'!$M$9,G1838,1)),"",IF((AND(FIND('112'!$M$9,G1838,1)&gt;=1,$B1838&gt;='112'!$N$8,$B1838&lt;='112'!$O$8,OR($L1838='112'!$I$6,$M1838='112'!$I$6))),"x",""))</f>
        <v/>
      </c>
      <c r="T1838" s="39" t="str">
        <f>IF(ISERROR(FIND('112'!$M$9,G1838,1)),"",IF((AND(LEFT(G1838,2)=LEFT('112'!$M$9,2),B1838&lt;'112'!$N$8,$L1838='112'!$I$6)),"x",""))</f>
        <v/>
      </c>
      <c r="U1838" s="39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39" t="str">
        <f>IF(OR(TH!L1838=TH!$W$7,M1838=TH!$W$7),"x","")</f>
        <v/>
      </c>
      <c r="X1838" s="39" t="str">
        <f>IF(AND(B1838&gt;='IN-NX'!$P$3,B1838&lt;='IN-NX'!$Q$3,'IN-NX'!$D$7=D1838,OR(LEFT(L1838,2)="15",AND(LEFT(M1838,2)&lt;&gt;"15",LEFT(M1838,2)&lt;&gt;"33"))),"x","")</f>
        <v/>
      </c>
      <c r="Y1838" s="39" t="str">
        <f>IF(AND(OR(LEFT(TH!L1838,2)="15",LEFT(TH!M1838,2)="15"),'152-CT'!$J$8=TH!F1838),"x","")</f>
        <v/>
      </c>
      <c r="Z1838" s="39" t="str">
        <f>IF(AND(OR(LEFT(TH!L1838,2)="15",LEFT(TH!M1838,2)="15"),TK!$E$7=TH!F1838),"x","")</f>
        <v/>
      </c>
      <c r="AA1838" s="39" t="str">
        <f>IF(AND(B1838&lt;=NKC!$N$8,B1838&gt;=NKC!$M$8),"x","")</f>
        <v/>
      </c>
      <c r="AB1838" s="821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100"/>
        <v/>
      </c>
      <c r="C1839" s="191"/>
      <c r="D1839" s="37"/>
      <c r="E1839" s="37"/>
      <c r="F1839" s="296"/>
      <c r="G1839" s="40"/>
      <c r="H1839" s="7"/>
      <c r="I1839" s="256"/>
      <c r="J1839" s="256"/>
      <c r="K1839" s="56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902" t="str">
        <f>IF(AND('341-CT'!$E$9=H1839,OR(LEFT(L1839,3)=$O$7,LEFT(M1839,3)=$O$7)),"x","")</f>
        <v/>
      </c>
      <c r="P1839" s="39" t="str">
        <f>IF(AND($B1839&gt;='111'!$N$11,$B1839&lt;='111'!$O$11,OR($L1839=$P$7,$M1839=$P$7)),"x","")</f>
        <v/>
      </c>
      <c r="Q1839" s="39" t="str">
        <f>IF(AND($L1839=$P$7,$B1839&lt;'111'!$N$11),"x","")</f>
        <v/>
      </c>
      <c r="R1839" s="39" t="str">
        <f>IF(AND($M1839=$P$7,$B1839&lt;'111'!$N$11),"x","")</f>
        <v/>
      </c>
      <c r="S1839" s="39" t="str">
        <f>IF(ISERROR(FIND('112'!$M$9,G1839,1)),"",IF((AND(FIND('112'!$M$9,G1839,1)&gt;=1,$B1839&gt;='112'!$N$8,$B1839&lt;='112'!$O$8,OR($L1839='112'!$I$6,$M1839='112'!$I$6))),"x",""))</f>
        <v/>
      </c>
      <c r="T1839" s="39" t="str">
        <f>IF(ISERROR(FIND('112'!$M$9,G1839,1)),"",IF((AND(LEFT(G1839,2)=LEFT('112'!$M$9,2),B1839&lt;'112'!$N$8,$L1839='112'!$I$6)),"x",""))</f>
        <v/>
      </c>
      <c r="U1839" s="39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39" t="str">
        <f>IF(OR(TH!L1839=TH!$W$7,M1839=TH!$W$7),"x","")</f>
        <v/>
      </c>
      <c r="X1839" s="39" t="str">
        <f>IF(AND(B1839&gt;='IN-NX'!$P$3,B1839&lt;='IN-NX'!$Q$3,'IN-NX'!$D$7=D1839,OR(LEFT(L1839,2)="15",AND(LEFT(M1839,2)&lt;&gt;"15",LEFT(M1839,2)&lt;&gt;"33"))),"x","")</f>
        <v/>
      </c>
      <c r="Y1839" s="39" t="str">
        <f>IF(AND(OR(LEFT(TH!L1839,2)="15",LEFT(TH!M1839,2)="15"),'152-CT'!$J$8=TH!F1839),"x","")</f>
        <v/>
      </c>
      <c r="Z1839" s="39" t="str">
        <f>IF(AND(OR(LEFT(TH!L1839,2)="15",LEFT(TH!M1839,2)="15"),TK!$E$7=TH!F1839),"x","")</f>
        <v/>
      </c>
      <c r="AA1839" s="39" t="str">
        <f>IF(AND(B1839&lt;=NKC!$N$8,B1839&gt;=NKC!$M$8),"x","")</f>
        <v/>
      </c>
      <c r="AB1839" s="821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100"/>
        <v/>
      </c>
      <c r="C1840" s="191"/>
      <c r="D1840" s="37"/>
      <c r="E1840" s="37"/>
      <c r="F1840" s="296"/>
      <c r="G1840" s="40"/>
      <c r="H1840" s="7"/>
      <c r="I1840" s="256"/>
      <c r="J1840" s="256"/>
      <c r="K1840" s="56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902" t="str">
        <f>IF(AND('341-CT'!$E$9=H1840,OR(LEFT(L1840,3)=$O$7,LEFT(M1840,3)=$O$7)),"x","")</f>
        <v/>
      </c>
      <c r="P1840" s="39" t="str">
        <f>IF(AND($B1840&gt;='111'!$N$11,$B1840&lt;='111'!$O$11,OR($L1840=$P$7,$M1840=$P$7)),"x","")</f>
        <v/>
      </c>
      <c r="Q1840" s="39" t="str">
        <f>IF(AND($L1840=$P$7,$B1840&lt;'111'!$N$11),"x","")</f>
        <v/>
      </c>
      <c r="R1840" s="39" t="str">
        <f>IF(AND($M1840=$P$7,$B1840&lt;'111'!$N$11),"x","")</f>
        <v/>
      </c>
      <c r="S1840" s="39" t="str">
        <f>IF(ISERROR(FIND('112'!$M$9,G1840,1)),"",IF((AND(FIND('112'!$M$9,G1840,1)&gt;=1,$B1840&gt;='112'!$N$8,$B1840&lt;='112'!$O$8,OR($L1840='112'!$I$6,$M1840='112'!$I$6))),"x",""))</f>
        <v/>
      </c>
      <c r="T1840" s="39" t="str">
        <f>IF(ISERROR(FIND('112'!$M$9,G1840,1)),"",IF((AND(LEFT(G1840,2)=LEFT('112'!$M$9,2),B1840&lt;'112'!$N$8,$L1840='112'!$I$6)),"x",""))</f>
        <v/>
      </c>
      <c r="U1840" s="39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39" t="str">
        <f>IF(OR(TH!L1840=TH!$W$7,M1840=TH!$W$7),"x","")</f>
        <v/>
      </c>
      <c r="X1840" s="39" t="str">
        <f>IF(AND(B1840&gt;='IN-NX'!$P$3,B1840&lt;='IN-NX'!$Q$3,'IN-NX'!$D$7=D1840,OR(LEFT(L1840,2)="15",AND(LEFT(M1840,2)&lt;&gt;"15",LEFT(M1840,2)&lt;&gt;"33"))),"x","")</f>
        <v/>
      </c>
      <c r="Y1840" s="39" t="str">
        <f>IF(AND(OR(LEFT(TH!L1840,2)="15",LEFT(TH!M1840,2)="15"),'152-CT'!$J$8=TH!F1840),"x","")</f>
        <v/>
      </c>
      <c r="Z1840" s="39" t="str">
        <f>IF(AND(OR(LEFT(TH!L1840,2)="15",LEFT(TH!M1840,2)="15"),TK!$E$7=TH!F1840),"x","")</f>
        <v/>
      </c>
      <c r="AA1840" s="39" t="str">
        <f>IF(AND(B1840&lt;=NKC!$N$8,B1840&gt;=NKC!$M$8),"x","")</f>
        <v/>
      </c>
      <c r="AB1840" s="821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100"/>
        <v/>
      </c>
      <c r="C1841" s="191"/>
      <c r="D1841" s="37"/>
      <c r="E1841" s="37"/>
      <c r="F1841" s="296"/>
      <c r="G1841" s="40"/>
      <c r="H1841" s="7"/>
      <c r="I1841" s="256"/>
      <c r="J1841" s="256"/>
      <c r="K1841" s="56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902" t="str">
        <f>IF(AND('341-CT'!$E$9=H1841,OR(LEFT(L1841,3)=$O$7,LEFT(M1841,3)=$O$7)),"x","")</f>
        <v/>
      </c>
      <c r="P1841" s="39" t="str">
        <f>IF(AND($B1841&gt;='111'!$N$11,$B1841&lt;='111'!$O$11,OR($L1841=$P$7,$M1841=$P$7)),"x","")</f>
        <v/>
      </c>
      <c r="Q1841" s="39" t="str">
        <f>IF(AND($L1841=$P$7,$B1841&lt;'111'!$N$11),"x","")</f>
        <v/>
      </c>
      <c r="R1841" s="39" t="str">
        <f>IF(AND($M1841=$P$7,$B1841&lt;'111'!$N$11),"x","")</f>
        <v/>
      </c>
      <c r="S1841" s="39" t="str">
        <f>IF(ISERROR(FIND('112'!$M$9,G1841,1)),"",IF((AND(FIND('112'!$M$9,G1841,1)&gt;=1,$B1841&gt;='112'!$N$8,$B1841&lt;='112'!$O$8,OR($L1841='112'!$I$6,$M1841='112'!$I$6))),"x",""))</f>
        <v/>
      </c>
      <c r="T1841" s="39" t="str">
        <f>IF(ISERROR(FIND('112'!$M$9,G1841,1)),"",IF((AND(LEFT(G1841,2)=LEFT('112'!$M$9,2),B1841&lt;'112'!$N$8,$L1841='112'!$I$6)),"x",""))</f>
        <v/>
      </c>
      <c r="U1841" s="39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39" t="str">
        <f>IF(OR(TH!L1841=TH!$W$7,M1841=TH!$W$7),"x","")</f>
        <v/>
      </c>
      <c r="X1841" s="39" t="str">
        <f>IF(AND(B1841&gt;='IN-NX'!$P$3,B1841&lt;='IN-NX'!$Q$3,'IN-NX'!$D$7=D1841,OR(LEFT(L1841,2)="15",AND(LEFT(M1841,2)&lt;&gt;"15",LEFT(M1841,2)&lt;&gt;"33"))),"x","")</f>
        <v/>
      </c>
      <c r="Y1841" s="39" t="str">
        <f>IF(AND(OR(LEFT(TH!L1841,2)="15",LEFT(TH!M1841,2)="15"),'152-CT'!$J$8=TH!F1841),"x","")</f>
        <v/>
      </c>
      <c r="Z1841" s="39" t="str">
        <f>IF(AND(OR(LEFT(TH!L1841,2)="15",LEFT(TH!M1841,2)="15"),TK!$E$7=TH!F1841),"x","")</f>
        <v/>
      </c>
      <c r="AA1841" s="39" t="str">
        <f>IF(AND(B1841&lt;=NKC!$N$8,B1841&gt;=NKC!$M$8),"x","")</f>
        <v/>
      </c>
      <c r="AB1841" s="821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100"/>
        <v/>
      </c>
      <c r="C1842" s="191"/>
      <c r="D1842" s="37"/>
      <c r="E1842" s="37"/>
      <c r="F1842" s="296"/>
      <c r="G1842" s="40"/>
      <c r="H1842" s="7"/>
      <c r="I1842" s="256"/>
      <c r="J1842" s="256"/>
      <c r="K1842" s="568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902" t="str">
        <f>IF(AND('341-CT'!$E$9=H1842,OR(LEFT(L1842,3)=$O$7,LEFT(M1842,3)=$O$7)),"x","")</f>
        <v/>
      </c>
      <c r="P1842" s="39" t="str">
        <f>IF(AND($B1842&gt;='111'!$N$11,$B1842&lt;='111'!$O$11,OR($L1842=$P$7,$M1842=$P$7)),"x","")</f>
        <v/>
      </c>
      <c r="Q1842" s="39" t="str">
        <f>IF(AND($L1842=$P$7,$B1842&lt;'111'!$N$11),"x","")</f>
        <v/>
      </c>
      <c r="R1842" s="39" t="str">
        <f>IF(AND($M1842=$P$7,$B1842&lt;'111'!$N$11),"x","")</f>
        <v/>
      </c>
      <c r="S1842" s="39" t="str">
        <f>IF(ISERROR(FIND('112'!$M$9,G1842,1)),"",IF((AND(FIND('112'!$M$9,G1842,1)&gt;=1,$B1842&gt;='112'!$N$8,$B1842&lt;='112'!$O$8,OR($L1842='112'!$I$6,$M1842='112'!$I$6))),"x",""))</f>
        <v/>
      </c>
      <c r="T1842" s="39" t="str">
        <f>IF(ISERROR(FIND('112'!$M$9,G1842,1)),"",IF((AND(LEFT(G1842,2)=LEFT('112'!$M$9,2),B1842&lt;'112'!$N$8,$L1842='112'!$I$6)),"x",""))</f>
        <v/>
      </c>
      <c r="U1842" s="39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39" t="str">
        <f>IF(OR(TH!L1842=TH!$W$7,M1842=TH!$W$7),"x","")</f>
        <v/>
      </c>
      <c r="X1842" s="39" t="str">
        <f>IF(AND(B1842&gt;='IN-NX'!$P$3,B1842&lt;='IN-NX'!$Q$3,'IN-NX'!$D$7=D1842,OR(LEFT(L1842,2)="15",AND(LEFT(M1842,2)&lt;&gt;"15",LEFT(M1842,2)&lt;&gt;"33"))),"x","")</f>
        <v/>
      </c>
      <c r="Y1842" s="39" t="str">
        <f>IF(AND(OR(LEFT(TH!L1842,2)="15",LEFT(TH!M1842,2)="15"),'152-CT'!$J$8=TH!F1842),"x","")</f>
        <v/>
      </c>
      <c r="Z1842" s="39" t="str">
        <f>IF(AND(OR(LEFT(TH!L1842,2)="15",LEFT(TH!M1842,2)="15"),TK!$E$7=TH!F1842),"x","")</f>
        <v/>
      </c>
      <c r="AA1842" s="39" t="str">
        <f>IF(AND(B1842&lt;=NKC!$N$8,B1842&gt;=NKC!$M$8),"x","")</f>
        <v/>
      </c>
      <c r="AB1842" s="821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100"/>
        <v/>
      </c>
      <c r="C1843" s="191"/>
      <c r="D1843" s="37"/>
      <c r="E1843" s="37"/>
      <c r="F1843" s="296"/>
      <c r="G1843" s="40"/>
      <c r="H1843" s="7"/>
      <c r="I1843" s="256"/>
      <c r="J1843" s="256"/>
      <c r="K1843" s="568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902" t="str">
        <f>IF(AND('341-CT'!$E$9=H1843,OR(LEFT(L1843,3)=$O$7,LEFT(M1843,3)=$O$7)),"x","")</f>
        <v/>
      </c>
      <c r="P1843" s="39" t="str">
        <f>IF(AND($B1843&gt;='111'!$N$11,$B1843&lt;='111'!$O$11,OR($L1843=$P$7,$M1843=$P$7)),"x","")</f>
        <v/>
      </c>
      <c r="Q1843" s="39" t="str">
        <f>IF(AND($L1843=$P$7,$B1843&lt;'111'!$N$11),"x","")</f>
        <v/>
      </c>
      <c r="R1843" s="39" t="str">
        <f>IF(AND($M1843=$P$7,$B1843&lt;'111'!$N$11),"x","")</f>
        <v/>
      </c>
      <c r="S1843" s="39" t="str">
        <f>IF(ISERROR(FIND('112'!$M$9,G1843,1)),"",IF((AND(FIND('112'!$M$9,G1843,1)&gt;=1,$B1843&gt;='112'!$N$8,$B1843&lt;='112'!$O$8,OR($L1843='112'!$I$6,$M1843='112'!$I$6))),"x",""))</f>
        <v/>
      </c>
      <c r="T1843" s="39" t="str">
        <f>IF(ISERROR(FIND('112'!$M$9,G1843,1)),"",IF((AND(LEFT(G1843,2)=LEFT('112'!$M$9,2),B1843&lt;'112'!$N$8,$L1843='112'!$I$6)),"x",""))</f>
        <v/>
      </c>
      <c r="U1843" s="39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39" t="str">
        <f>IF(OR(TH!L1843=TH!$W$7,M1843=TH!$W$7),"x","")</f>
        <v/>
      </c>
      <c r="X1843" s="39" t="str">
        <f>IF(AND(B1843&gt;='IN-NX'!$P$3,B1843&lt;='IN-NX'!$Q$3,'IN-NX'!$D$7=D1843,OR(LEFT(L1843,2)="15",AND(LEFT(M1843,2)&lt;&gt;"15",LEFT(M1843,2)&lt;&gt;"33"))),"x","")</f>
        <v/>
      </c>
      <c r="Y1843" s="39" t="str">
        <f>IF(AND(OR(LEFT(TH!L1843,2)="15",LEFT(TH!M1843,2)="15"),'152-CT'!$J$8=TH!F1843),"x","")</f>
        <v/>
      </c>
      <c r="Z1843" s="39" t="str">
        <f>IF(AND(OR(LEFT(TH!L1843,2)="15",LEFT(TH!M1843,2)="15"),TK!$E$7=TH!F1843),"x","")</f>
        <v/>
      </c>
      <c r="AA1843" s="39" t="str">
        <f>IF(AND(B1843&lt;=NKC!$N$8,B1843&gt;=NKC!$M$8),"x","")</f>
        <v/>
      </c>
      <c r="AB1843" s="821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si="100"/>
        <v/>
      </c>
      <c r="C1844" s="191"/>
      <c r="D1844" s="37"/>
      <c r="E1844" s="37"/>
      <c r="F1844" s="296"/>
      <c r="G1844" s="40"/>
      <c r="H1844" s="7"/>
      <c r="I1844" s="256"/>
      <c r="J1844" s="256"/>
      <c r="K1844" s="568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902" t="str">
        <f>IF(AND('341-CT'!$E$9=H1844,OR(LEFT(L1844,3)=$O$7,LEFT(M1844,3)=$O$7)),"x","")</f>
        <v/>
      </c>
      <c r="P1844" s="39" t="str">
        <f>IF(AND($B1844&gt;='111'!$N$11,$B1844&lt;='111'!$O$11,OR($L1844=$P$7,$M1844=$P$7)),"x","")</f>
        <v/>
      </c>
      <c r="Q1844" s="39" t="str">
        <f>IF(AND($L1844=$P$7,$B1844&lt;'111'!$N$11),"x","")</f>
        <v/>
      </c>
      <c r="R1844" s="39" t="str">
        <f>IF(AND($M1844=$P$7,$B1844&lt;'111'!$N$11),"x","")</f>
        <v/>
      </c>
      <c r="S1844" s="39" t="str">
        <f>IF(ISERROR(FIND('112'!$M$9,G1844,1)),"",IF((AND(FIND('112'!$M$9,G1844,1)&gt;=1,$B1844&gt;='112'!$N$8,$B1844&lt;='112'!$O$8,OR($L1844='112'!$I$6,$M1844='112'!$I$6))),"x",""))</f>
        <v/>
      </c>
      <c r="T1844" s="39" t="str">
        <f>IF(ISERROR(FIND('112'!$M$9,G1844,1)),"",IF((AND(LEFT(G1844,2)=LEFT('112'!$M$9,2),B1844&lt;'112'!$N$8,$L1844='112'!$I$6)),"x",""))</f>
        <v/>
      </c>
      <c r="U1844" s="39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39" t="str">
        <f>IF(OR(TH!L1844=TH!$W$7,M1844=TH!$W$7),"x","")</f>
        <v/>
      </c>
      <c r="X1844" s="39" t="str">
        <f>IF(AND(B1844&gt;='IN-NX'!$P$3,B1844&lt;='IN-NX'!$Q$3,'IN-NX'!$D$7=D1844,OR(LEFT(L1844,2)="15",AND(LEFT(M1844,2)&lt;&gt;"15",LEFT(M1844,2)&lt;&gt;"33"))),"x","")</f>
        <v/>
      </c>
      <c r="Y1844" s="39" t="str">
        <f>IF(AND(OR(LEFT(TH!L1844,2)="15",LEFT(TH!M1844,2)="15"),'152-CT'!$J$8=TH!F1844),"x","")</f>
        <v/>
      </c>
      <c r="Z1844" s="39" t="str">
        <f>IF(AND(OR(LEFT(TH!L1844,2)="15",LEFT(TH!M1844,2)="15"),TK!$E$7=TH!F1844),"x","")</f>
        <v/>
      </c>
      <c r="AA1844" s="39" t="str">
        <f>IF(AND(B1844&lt;=NKC!$N$8,B1844&gt;=NKC!$M$8),"x","")</f>
        <v/>
      </c>
      <c r="AB1844" s="821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100"/>
        <v/>
      </c>
      <c r="C1845" s="191"/>
      <c r="D1845" s="37"/>
      <c r="E1845" s="37"/>
      <c r="F1845" s="296"/>
      <c r="G1845" s="40"/>
      <c r="H1845" s="7"/>
      <c r="I1845" s="256"/>
      <c r="J1845" s="256"/>
      <c r="K1845" s="568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902" t="str">
        <f>IF(AND('341-CT'!$E$9=H1845,OR(LEFT(L1845,3)=$O$7,LEFT(M1845,3)=$O$7)),"x","")</f>
        <v/>
      </c>
      <c r="P1845" s="39" t="str">
        <f>IF(AND($B1845&gt;='111'!$N$11,$B1845&lt;='111'!$O$11,OR($L1845=$P$7,$M1845=$P$7)),"x","")</f>
        <v/>
      </c>
      <c r="Q1845" s="39" t="str">
        <f>IF(AND($L1845=$P$7,$B1845&lt;'111'!$N$11),"x","")</f>
        <v/>
      </c>
      <c r="R1845" s="39" t="str">
        <f>IF(AND($M1845=$P$7,$B1845&lt;'111'!$N$11),"x","")</f>
        <v/>
      </c>
      <c r="S1845" s="39" t="str">
        <f>IF(ISERROR(FIND('112'!$M$9,G1845,1)),"",IF((AND(FIND('112'!$M$9,G1845,1)&gt;=1,$B1845&gt;='112'!$N$8,$B1845&lt;='112'!$O$8,OR($L1845='112'!$I$6,$M1845='112'!$I$6))),"x",""))</f>
        <v/>
      </c>
      <c r="T1845" s="39" t="str">
        <f>IF(ISERROR(FIND('112'!$M$9,G1845,1)),"",IF((AND(LEFT(G1845,2)=LEFT('112'!$M$9,2),B1845&lt;'112'!$N$8,$L1845='112'!$I$6)),"x",""))</f>
        <v/>
      </c>
      <c r="U1845" s="39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39" t="str">
        <f>IF(OR(TH!L1845=TH!$W$7,M1845=TH!$W$7),"x","")</f>
        <v/>
      </c>
      <c r="X1845" s="39" t="str">
        <f>IF(AND(B1845&gt;='IN-NX'!$P$3,B1845&lt;='IN-NX'!$Q$3,'IN-NX'!$D$7=D1845,OR(LEFT(L1845,2)="15",AND(LEFT(M1845,2)&lt;&gt;"15",LEFT(M1845,2)&lt;&gt;"33"))),"x","")</f>
        <v/>
      </c>
      <c r="Y1845" s="39" t="str">
        <f>IF(AND(OR(LEFT(TH!L1845,2)="15",LEFT(TH!M1845,2)="15"),'152-CT'!$J$8=TH!F1845),"x","")</f>
        <v/>
      </c>
      <c r="Z1845" s="39" t="str">
        <f>IF(AND(OR(LEFT(TH!L1845,2)="15",LEFT(TH!M1845,2)="15"),TK!$E$7=TH!F1845),"x","")</f>
        <v/>
      </c>
      <c r="AA1845" s="39" t="str">
        <f>IF(AND(B1845&lt;=NKC!$N$8,B1845&gt;=NKC!$M$8),"x","")</f>
        <v/>
      </c>
      <c r="AB1845" s="821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100"/>
        <v/>
      </c>
      <c r="C1846" s="191"/>
      <c r="D1846" s="37"/>
      <c r="E1846" s="37"/>
      <c r="F1846" s="192"/>
      <c r="G1846" s="468"/>
      <c r="H1846" s="193"/>
      <c r="I1846" s="256"/>
      <c r="J1846" s="256"/>
      <c r="K1846" s="568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902" t="str">
        <f>IF(AND('341-CT'!$E$9=H1846,OR(LEFT(L1846,3)=$O$7,LEFT(M1846,3)=$O$7)),"x","")</f>
        <v/>
      </c>
      <c r="P1846" s="39" t="str">
        <f>IF(AND($B1846&gt;='111'!$N$11,$B1846&lt;='111'!$O$11,OR($L1846=$P$7,$M1846=$P$7)),"x","")</f>
        <v/>
      </c>
      <c r="Q1846" s="39" t="str">
        <f>IF(AND($L1846=$P$7,$B1846&lt;'111'!$N$11),"x","")</f>
        <v/>
      </c>
      <c r="R1846" s="39" t="str">
        <f>IF(AND($M1846=$P$7,$B1846&lt;'111'!$N$11),"x","")</f>
        <v/>
      </c>
      <c r="S1846" s="39" t="str">
        <f>IF(ISERROR(FIND('112'!$M$9,G1846,1)),"",IF((AND(FIND('112'!$M$9,G1846,1)&gt;=1,$B1846&gt;='112'!$N$8,$B1846&lt;='112'!$O$8,OR($L1846='112'!$I$6,$M1846='112'!$I$6))),"x",""))</f>
        <v/>
      </c>
      <c r="T1846" s="39" t="str">
        <f>IF(ISERROR(FIND('112'!$M$9,G1846,1)),"",IF((AND(LEFT(G1846,2)=LEFT('112'!$M$9,2),B1846&lt;'112'!$N$8,$L1846='112'!$I$6)),"x",""))</f>
        <v/>
      </c>
      <c r="U1846" s="39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39" t="str">
        <f>IF(OR(TH!L1846=TH!$W$7,M1846=TH!$W$7),"x","")</f>
        <v/>
      </c>
      <c r="X1846" s="39" t="str">
        <f>IF(AND(B1846&gt;='IN-NX'!$P$3,B1846&lt;='IN-NX'!$Q$3,'IN-NX'!$D$7=D1846,OR(LEFT(L1846,2)="15",AND(LEFT(M1846,2)&lt;&gt;"15",LEFT(M1846,2)&lt;&gt;"33"))),"x","")</f>
        <v/>
      </c>
      <c r="Y1846" s="39" t="str">
        <f>IF(AND(OR(LEFT(TH!L1846,2)="15",LEFT(TH!M1846,2)="15"),'152-CT'!$J$8=TH!F1846),"x","")</f>
        <v/>
      </c>
      <c r="Z1846" s="39" t="str">
        <f>IF(AND(OR(LEFT(TH!L1846,2)="15",LEFT(TH!M1846,2)="15"),TK!$E$7=TH!F1846),"x","")</f>
        <v/>
      </c>
      <c r="AA1846" s="39" t="str">
        <f>IF(AND(B1846&lt;=NKC!$N$8,B1846&gt;=NKC!$M$8),"x","")</f>
        <v/>
      </c>
      <c r="AB1846" s="821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100"/>
        <v/>
      </c>
      <c r="C1847" s="191"/>
      <c r="D1847" s="37"/>
      <c r="E1847" s="37"/>
      <c r="F1847" s="192"/>
      <c r="G1847" s="468"/>
      <c r="H1847" s="193"/>
      <c r="I1847" s="256"/>
      <c r="J1847" s="256"/>
      <c r="K1847" s="568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902" t="str">
        <f>IF(AND('341-CT'!$E$9=H1847,OR(LEFT(L1847,3)=$O$7,LEFT(M1847,3)=$O$7)),"x","")</f>
        <v/>
      </c>
      <c r="P1847" s="39" t="str">
        <f>IF(AND($B1847&gt;='111'!$N$11,$B1847&lt;='111'!$O$11,OR($L1847=$P$7,$M1847=$P$7)),"x","")</f>
        <v/>
      </c>
      <c r="Q1847" s="39" t="str">
        <f>IF(AND($L1847=$P$7,$B1847&lt;'111'!$N$11),"x","")</f>
        <v/>
      </c>
      <c r="R1847" s="39" t="str">
        <f>IF(AND($M1847=$P$7,$B1847&lt;'111'!$N$11),"x","")</f>
        <v/>
      </c>
      <c r="S1847" s="39" t="str">
        <f>IF(ISERROR(FIND('112'!$M$9,G1847,1)),"",IF((AND(FIND('112'!$M$9,G1847,1)&gt;=1,$B1847&gt;='112'!$N$8,$B1847&lt;='112'!$O$8,OR($L1847='112'!$I$6,$M1847='112'!$I$6))),"x",""))</f>
        <v/>
      </c>
      <c r="T1847" s="39" t="str">
        <f>IF(ISERROR(FIND('112'!$M$9,G1847,1)),"",IF((AND(LEFT(G1847,2)=LEFT('112'!$M$9,2),B1847&lt;'112'!$N$8,$L1847='112'!$I$6)),"x",""))</f>
        <v/>
      </c>
      <c r="U1847" s="39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39" t="str">
        <f>IF(OR(TH!L1847=TH!$W$7,M1847=TH!$W$7),"x","")</f>
        <v/>
      </c>
      <c r="X1847" s="39" t="str">
        <f>IF(AND(B1847&gt;='IN-NX'!$P$3,B1847&lt;='IN-NX'!$Q$3,'IN-NX'!$D$7=D1847,OR(LEFT(L1847,2)="15",AND(LEFT(M1847,2)&lt;&gt;"15",LEFT(M1847,2)&lt;&gt;"33"))),"x","")</f>
        <v/>
      </c>
      <c r="Y1847" s="39" t="str">
        <f>IF(AND(OR(LEFT(TH!L1847,2)="15",LEFT(TH!M1847,2)="15"),'152-CT'!$J$8=TH!F1847),"x","")</f>
        <v/>
      </c>
      <c r="Z1847" s="39" t="str">
        <f>IF(AND(OR(LEFT(TH!L1847,2)="15",LEFT(TH!M1847,2)="15"),TK!$E$7=TH!F1847),"x","")</f>
        <v/>
      </c>
      <c r="AA1847" s="39" t="str">
        <f>IF(AND(B1847&lt;=NKC!$N$8,B1847&gt;=NKC!$M$8),"x","")</f>
        <v/>
      </c>
      <c r="AB1847" s="821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100"/>
        <v/>
      </c>
      <c r="C1848" s="191"/>
      <c r="D1848" s="37"/>
      <c r="E1848" s="37"/>
      <c r="F1848" s="192"/>
      <c r="G1848" s="468"/>
      <c r="H1848" s="193"/>
      <c r="I1848" s="256"/>
      <c r="J1848" s="256"/>
      <c r="K1848" s="568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902" t="str">
        <f>IF(AND('341-CT'!$E$9=H1848,OR(LEFT(L1848,3)=$O$7,LEFT(M1848,3)=$O$7)),"x","")</f>
        <v/>
      </c>
      <c r="P1848" s="39" t="str">
        <f>IF(AND($B1848&gt;='111'!$N$11,$B1848&lt;='111'!$O$11,OR($L1848=$P$7,$M1848=$P$7)),"x","")</f>
        <v/>
      </c>
      <c r="Q1848" s="39" t="str">
        <f>IF(AND($L1848=$P$7,$B1848&lt;'111'!$N$11),"x","")</f>
        <v/>
      </c>
      <c r="R1848" s="39" t="str">
        <f>IF(AND($M1848=$P$7,$B1848&lt;'111'!$N$11),"x","")</f>
        <v/>
      </c>
      <c r="S1848" s="39" t="str">
        <f>IF(ISERROR(FIND('112'!$M$9,G1848,1)),"",IF((AND(FIND('112'!$M$9,G1848,1)&gt;=1,$B1848&gt;='112'!$N$8,$B1848&lt;='112'!$O$8,OR($L1848='112'!$I$6,$M1848='112'!$I$6))),"x",""))</f>
        <v/>
      </c>
      <c r="T1848" s="39" t="str">
        <f>IF(ISERROR(FIND('112'!$M$9,G1848,1)),"",IF((AND(LEFT(G1848,2)=LEFT('112'!$M$9,2),B1848&lt;'112'!$N$8,$L1848='112'!$I$6)),"x",""))</f>
        <v/>
      </c>
      <c r="U1848" s="39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39" t="str">
        <f>IF(OR(TH!L1848=TH!$W$7,M1848=TH!$W$7),"x","")</f>
        <v/>
      </c>
      <c r="X1848" s="39" t="str">
        <f>IF(AND(B1848&gt;='IN-NX'!$P$3,B1848&lt;='IN-NX'!$Q$3,'IN-NX'!$D$7=D1848,OR(LEFT(L1848,2)="15",AND(LEFT(M1848,2)&lt;&gt;"15",LEFT(M1848,2)&lt;&gt;"33"))),"x","")</f>
        <v/>
      </c>
      <c r="Y1848" s="39" t="str">
        <f>IF(AND(OR(LEFT(TH!L1848,2)="15",LEFT(TH!M1848,2)="15"),'152-CT'!$J$8=TH!F1848),"x","")</f>
        <v/>
      </c>
      <c r="Z1848" s="39" t="str">
        <f>IF(AND(OR(LEFT(TH!L1848,2)="15",LEFT(TH!M1848,2)="15"),TK!$E$7=TH!F1848),"x","")</f>
        <v/>
      </c>
      <c r="AA1848" s="39" t="str">
        <f>IF(AND(B1848&lt;=NKC!$N$8,B1848&gt;=NKC!$M$8),"x","")</f>
        <v/>
      </c>
      <c r="AB1848" s="821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ref="B1849:B1912" si="101">IF(C1849&lt;&gt;"",MONTH(C1849),"")</f>
        <v/>
      </c>
      <c r="C1849" s="191"/>
      <c r="D1849" s="37"/>
      <c r="E1849" s="37"/>
      <c r="F1849" s="192"/>
      <c r="G1849" s="468"/>
      <c r="H1849" s="193"/>
      <c r="I1849" s="256"/>
      <c r="J1849" s="256"/>
      <c r="K1849" s="568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902" t="str">
        <f>IF(AND('341-CT'!$E$9=H1849,OR(LEFT(L1849,3)=$O$7,LEFT(M1849,3)=$O$7)),"x","")</f>
        <v/>
      </c>
      <c r="P1849" s="39" t="str">
        <f>IF(AND($B1849&gt;='111'!$N$11,$B1849&lt;='111'!$O$11,OR($L1849=$P$7,$M1849=$P$7)),"x","")</f>
        <v/>
      </c>
      <c r="Q1849" s="39" t="str">
        <f>IF(AND($L1849=$P$7,$B1849&lt;'111'!$N$11),"x","")</f>
        <v/>
      </c>
      <c r="R1849" s="39" t="str">
        <f>IF(AND($M1849=$P$7,$B1849&lt;'111'!$N$11),"x","")</f>
        <v/>
      </c>
      <c r="S1849" s="39" t="str">
        <f>IF(ISERROR(FIND('112'!$M$9,G1849,1)),"",IF((AND(FIND('112'!$M$9,G1849,1)&gt;=1,$B1849&gt;='112'!$N$8,$B1849&lt;='112'!$O$8,OR($L1849='112'!$I$6,$M1849='112'!$I$6))),"x",""))</f>
        <v/>
      </c>
      <c r="T1849" s="39" t="str">
        <f>IF(ISERROR(FIND('112'!$M$9,G1849,1)),"",IF((AND(LEFT(G1849,2)=LEFT('112'!$M$9,2),B1849&lt;'112'!$N$8,$L1849='112'!$I$6)),"x",""))</f>
        <v/>
      </c>
      <c r="U1849" s="39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39" t="str">
        <f>IF(OR(TH!L1849=TH!$W$7,M1849=TH!$W$7),"x","")</f>
        <v/>
      </c>
      <c r="X1849" s="39" t="str">
        <f>IF(AND(B1849&gt;='IN-NX'!$P$3,B1849&lt;='IN-NX'!$Q$3,'IN-NX'!$D$7=D1849,OR(LEFT(L1849,2)="15",AND(LEFT(M1849,2)&lt;&gt;"15",LEFT(M1849,2)&lt;&gt;"33"))),"x","")</f>
        <v/>
      </c>
      <c r="Y1849" s="39" t="str">
        <f>IF(AND(OR(LEFT(TH!L1849,2)="15",LEFT(TH!M1849,2)="15"),'152-CT'!$J$8=TH!F1849),"x","")</f>
        <v/>
      </c>
      <c r="Z1849" s="39" t="str">
        <f>IF(AND(OR(LEFT(TH!L1849,2)="15",LEFT(TH!M1849,2)="15"),TK!$E$7=TH!F1849),"x","")</f>
        <v/>
      </c>
      <c r="AA1849" s="39" t="str">
        <f>IF(AND(B1849&lt;=NKC!$N$8,B1849&gt;=NKC!$M$8),"x","")</f>
        <v/>
      </c>
      <c r="AB1849" s="821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101"/>
        <v/>
      </c>
      <c r="C1850" s="191"/>
      <c r="D1850" s="37"/>
      <c r="E1850" s="37"/>
      <c r="F1850" s="192"/>
      <c r="G1850" s="468"/>
      <c r="H1850" s="193"/>
      <c r="I1850" s="256"/>
      <c r="J1850" s="256"/>
      <c r="K1850" s="568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902" t="str">
        <f>IF(AND('341-CT'!$E$9=H1850,OR(LEFT(L1850,3)=$O$7,LEFT(M1850,3)=$O$7)),"x","")</f>
        <v/>
      </c>
      <c r="P1850" s="39" t="str">
        <f>IF(AND($B1850&gt;='111'!$N$11,$B1850&lt;='111'!$O$11,OR($L1850=$P$7,$M1850=$P$7)),"x","")</f>
        <v/>
      </c>
      <c r="Q1850" s="39" t="str">
        <f>IF(AND($L1850=$P$7,$B1850&lt;'111'!$N$11),"x","")</f>
        <v/>
      </c>
      <c r="R1850" s="39" t="str">
        <f>IF(AND($M1850=$P$7,$B1850&lt;'111'!$N$11),"x","")</f>
        <v/>
      </c>
      <c r="S1850" s="39" t="str">
        <f>IF(ISERROR(FIND('112'!$M$9,G1850,1)),"",IF((AND(FIND('112'!$M$9,G1850,1)&gt;=1,$B1850&gt;='112'!$N$8,$B1850&lt;='112'!$O$8,OR($L1850='112'!$I$6,$M1850='112'!$I$6))),"x",""))</f>
        <v/>
      </c>
      <c r="T1850" s="39" t="str">
        <f>IF(ISERROR(FIND('112'!$M$9,G1850,1)),"",IF((AND(LEFT(G1850,2)=LEFT('112'!$M$9,2),B1850&lt;'112'!$N$8,$L1850='112'!$I$6)),"x",""))</f>
        <v/>
      </c>
      <c r="U1850" s="39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39" t="str">
        <f>IF(OR(TH!L1850=TH!$W$7,M1850=TH!$W$7),"x","")</f>
        <v/>
      </c>
      <c r="X1850" s="39" t="str">
        <f>IF(AND(B1850&gt;='IN-NX'!$P$3,B1850&lt;='IN-NX'!$Q$3,'IN-NX'!$D$7=D1850,OR(LEFT(L1850,2)="15",AND(LEFT(M1850,2)&lt;&gt;"15",LEFT(M1850,2)&lt;&gt;"33"))),"x","")</f>
        <v/>
      </c>
      <c r="Y1850" s="39" t="str">
        <f>IF(AND(OR(LEFT(TH!L1850,2)="15",LEFT(TH!M1850,2)="15"),'152-CT'!$J$8=TH!F1850),"x","")</f>
        <v/>
      </c>
      <c r="Z1850" s="39" t="str">
        <f>IF(AND(OR(LEFT(TH!L1850,2)="15",LEFT(TH!M1850,2)="15"),TK!$E$7=TH!F1850),"x","")</f>
        <v/>
      </c>
      <c r="AA1850" s="39" t="str">
        <f>IF(AND(B1850&lt;=NKC!$N$8,B1850&gt;=NKC!$M$8),"x","")</f>
        <v/>
      </c>
      <c r="AB1850" s="821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101"/>
        <v/>
      </c>
      <c r="C1851" s="191"/>
      <c r="D1851" s="37"/>
      <c r="E1851" s="37"/>
      <c r="F1851" s="192"/>
      <c r="G1851" s="468"/>
      <c r="H1851" s="193"/>
      <c r="I1851" s="256"/>
      <c r="J1851" s="256"/>
      <c r="K1851" s="568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902" t="str">
        <f>IF(AND('341-CT'!$E$9=H1851,OR(LEFT(L1851,3)=$O$7,LEFT(M1851,3)=$O$7)),"x","")</f>
        <v/>
      </c>
      <c r="P1851" s="39" t="str">
        <f>IF(AND($B1851&gt;='111'!$N$11,$B1851&lt;='111'!$O$11,OR($L1851=$P$7,$M1851=$P$7)),"x","")</f>
        <v/>
      </c>
      <c r="Q1851" s="39" t="str">
        <f>IF(AND($L1851=$P$7,$B1851&lt;'111'!$N$11),"x","")</f>
        <v/>
      </c>
      <c r="R1851" s="39" t="str">
        <f>IF(AND($M1851=$P$7,$B1851&lt;'111'!$N$11),"x","")</f>
        <v/>
      </c>
      <c r="S1851" s="39" t="str">
        <f>IF(ISERROR(FIND('112'!$M$9,G1851,1)),"",IF((AND(FIND('112'!$M$9,G1851,1)&gt;=1,$B1851&gt;='112'!$N$8,$B1851&lt;='112'!$O$8,OR($L1851='112'!$I$6,$M1851='112'!$I$6))),"x",""))</f>
        <v/>
      </c>
      <c r="T1851" s="39" t="str">
        <f>IF(ISERROR(FIND('112'!$M$9,G1851,1)),"",IF((AND(LEFT(G1851,2)=LEFT('112'!$M$9,2),B1851&lt;'112'!$N$8,$L1851='112'!$I$6)),"x",""))</f>
        <v/>
      </c>
      <c r="U1851" s="39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39" t="str">
        <f>IF(OR(TH!L1851=TH!$W$7,M1851=TH!$W$7),"x","")</f>
        <v/>
      </c>
      <c r="X1851" s="39" t="str">
        <f>IF(AND(B1851&gt;='IN-NX'!$P$3,B1851&lt;='IN-NX'!$Q$3,'IN-NX'!$D$7=D1851,OR(LEFT(L1851,2)="15",AND(LEFT(M1851,2)&lt;&gt;"15",LEFT(M1851,2)&lt;&gt;"33"))),"x","")</f>
        <v/>
      </c>
      <c r="Y1851" s="39" t="str">
        <f>IF(AND(OR(LEFT(TH!L1851,2)="15",LEFT(TH!M1851,2)="15"),'152-CT'!$J$8=TH!F1851),"x","")</f>
        <v/>
      </c>
      <c r="Z1851" s="39" t="str">
        <f>IF(AND(OR(LEFT(TH!L1851,2)="15",LEFT(TH!M1851,2)="15"),TK!$E$7=TH!F1851),"x","")</f>
        <v/>
      </c>
      <c r="AA1851" s="39" t="str">
        <f>IF(AND(B1851&lt;=NKC!$N$8,B1851&gt;=NKC!$M$8),"x","")</f>
        <v/>
      </c>
      <c r="AB1851" s="821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101"/>
        <v/>
      </c>
      <c r="C1852" s="191"/>
      <c r="D1852" s="37"/>
      <c r="E1852" s="37"/>
      <c r="F1852" s="192"/>
      <c r="G1852" s="468"/>
      <c r="H1852" s="193"/>
      <c r="I1852" s="256"/>
      <c r="J1852" s="256"/>
      <c r="K1852" s="568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902" t="str">
        <f>IF(AND('341-CT'!$E$9=H1852,OR(LEFT(L1852,3)=$O$7,LEFT(M1852,3)=$O$7)),"x","")</f>
        <v/>
      </c>
      <c r="P1852" s="39" t="str">
        <f>IF(AND($B1852&gt;='111'!$N$11,$B1852&lt;='111'!$O$11,OR($L1852=$P$7,$M1852=$P$7)),"x","")</f>
        <v/>
      </c>
      <c r="Q1852" s="39" t="str">
        <f>IF(AND($L1852=$P$7,$B1852&lt;'111'!$N$11),"x","")</f>
        <v/>
      </c>
      <c r="R1852" s="39" t="str">
        <f>IF(AND($M1852=$P$7,$B1852&lt;'111'!$N$11),"x","")</f>
        <v/>
      </c>
      <c r="S1852" s="39" t="str">
        <f>IF(ISERROR(FIND('112'!$M$9,G1852,1)),"",IF((AND(FIND('112'!$M$9,G1852,1)&gt;=1,$B1852&gt;='112'!$N$8,$B1852&lt;='112'!$O$8,OR($L1852='112'!$I$6,$M1852='112'!$I$6))),"x",""))</f>
        <v/>
      </c>
      <c r="T1852" s="39" t="str">
        <f>IF(ISERROR(FIND('112'!$M$9,G1852,1)),"",IF((AND(LEFT(G1852,2)=LEFT('112'!$M$9,2),B1852&lt;'112'!$N$8,$L1852='112'!$I$6)),"x",""))</f>
        <v/>
      </c>
      <c r="U1852" s="39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39" t="str">
        <f>IF(OR(TH!L1852=TH!$W$7,M1852=TH!$W$7),"x","")</f>
        <v/>
      </c>
      <c r="X1852" s="39" t="str">
        <f>IF(AND(B1852&gt;='IN-NX'!$P$3,B1852&lt;='IN-NX'!$Q$3,'IN-NX'!$D$7=D1852,OR(LEFT(L1852,2)="15",AND(LEFT(M1852,2)&lt;&gt;"15",LEFT(M1852,2)&lt;&gt;"33"))),"x","")</f>
        <v/>
      </c>
      <c r="Y1852" s="39" t="str">
        <f>IF(AND(OR(LEFT(TH!L1852,2)="15",LEFT(TH!M1852,2)="15"),'152-CT'!$J$8=TH!F1852),"x","")</f>
        <v/>
      </c>
      <c r="Z1852" s="39" t="str">
        <f>IF(AND(OR(LEFT(TH!L1852,2)="15",LEFT(TH!M1852,2)="15"),TK!$E$7=TH!F1852),"x","")</f>
        <v/>
      </c>
      <c r="AA1852" s="39" t="str">
        <f>IF(AND(B1852&lt;=NKC!$N$8,B1852&gt;=NKC!$M$8),"x","")</f>
        <v/>
      </c>
      <c r="AB1852" s="821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101"/>
        <v/>
      </c>
      <c r="C1853" s="191"/>
      <c r="D1853" s="37"/>
      <c r="E1853" s="37"/>
      <c r="F1853" s="192"/>
      <c r="G1853" s="468"/>
      <c r="H1853" s="193"/>
      <c r="I1853" s="256"/>
      <c r="J1853" s="256"/>
      <c r="K1853" s="568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902" t="str">
        <f>IF(AND('341-CT'!$E$9=H1853,OR(LEFT(L1853,3)=$O$7,LEFT(M1853,3)=$O$7)),"x","")</f>
        <v/>
      </c>
      <c r="P1853" s="39" t="str">
        <f>IF(AND($B1853&gt;='111'!$N$11,$B1853&lt;='111'!$O$11,OR($L1853=$P$7,$M1853=$P$7)),"x","")</f>
        <v/>
      </c>
      <c r="Q1853" s="39" t="str">
        <f>IF(AND($L1853=$P$7,$B1853&lt;'111'!$N$11),"x","")</f>
        <v/>
      </c>
      <c r="R1853" s="39" t="str">
        <f>IF(AND($M1853=$P$7,$B1853&lt;'111'!$N$11),"x","")</f>
        <v/>
      </c>
      <c r="S1853" s="39" t="str">
        <f>IF(ISERROR(FIND('112'!$M$9,G1853,1)),"",IF((AND(FIND('112'!$M$9,G1853,1)&gt;=1,$B1853&gt;='112'!$N$8,$B1853&lt;='112'!$O$8,OR($L1853='112'!$I$6,$M1853='112'!$I$6))),"x",""))</f>
        <v/>
      </c>
      <c r="T1853" s="39" t="str">
        <f>IF(ISERROR(FIND('112'!$M$9,G1853,1)),"",IF((AND(LEFT(G1853,2)=LEFT('112'!$M$9,2),B1853&lt;'112'!$N$8,$L1853='112'!$I$6)),"x",""))</f>
        <v/>
      </c>
      <c r="U1853" s="39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39" t="str">
        <f>IF(OR(TH!L1853=TH!$W$7,M1853=TH!$W$7),"x","")</f>
        <v/>
      </c>
      <c r="X1853" s="39" t="str">
        <f>IF(AND(B1853&gt;='IN-NX'!$P$3,B1853&lt;='IN-NX'!$Q$3,'IN-NX'!$D$7=D1853,OR(LEFT(L1853,2)="15",AND(LEFT(M1853,2)&lt;&gt;"15",LEFT(M1853,2)&lt;&gt;"33"))),"x","")</f>
        <v/>
      </c>
      <c r="Y1853" s="39" t="str">
        <f>IF(AND(OR(LEFT(TH!L1853,2)="15",LEFT(TH!M1853,2)="15"),'152-CT'!$J$8=TH!F1853),"x","")</f>
        <v/>
      </c>
      <c r="Z1853" s="39" t="str">
        <f>IF(AND(OR(LEFT(TH!L1853,2)="15",LEFT(TH!M1853,2)="15"),TK!$E$7=TH!F1853),"x","")</f>
        <v/>
      </c>
      <c r="AA1853" s="39" t="str">
        <f>IF(AND(B1853&lt;=NKC!$N$8,B1853&gt;=NKC!$M$8),"x","")</f>
        <v/>
      </c>
      <c r="AB1853" s="821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101"/>
        <v/>
      </c>
      <c r="C1854" s="191"/>
      <c r="D1854" s="37"/>
      <c r="E1854" s="37"/>
      <c r="F1854" s="192"/>
      <c r="G1854" s="468"/>
      <c r="H1854" s="193"/>
      <c r="I1854" s="256"/>
      <c r="J1854" s="256"/>
      <c r="K1854" s="568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902" t="str">
        <f>IF(AND('341-CT'!$E$9=H1854,OR(LEFT(L1854,3)=$O$7,LEFT(M1854,3)=$O$7)),"x","")</f>
        <v/>
      </c>
      <c r="P1854" s="39" t="str">
        <f>IF(AND($B1854&gt;='111'!$N$11,$B1854&lt;='111'!$O$11,OR($L1854=$P$7,$M1854=$P$7)),"x","")</f>
        <v/>
      </c>
      <c r="Q1854" s="39" t="str">
        <f>IF(AND($L1854=$P$7,$B1854&lt;'111'!$N$11),"x","")</f>
        <v/>
      </c>
      <c r="R1854" s="39" t="str">
        <f>IF(AND($M1854=$P$7,$B1854&lt;'111'!$N$11),"x","")</f>
        <v/>
      </c>
      <c r="S1854" s="39" t="str">
        <f>IF(ISERROR(FIND('112'!$M$9,G1854,1)),"",IF((AND(FIND('112'!$M$9,G1854,1)&gt;=1,$B1854&gt;='112'!$N$8,$B1854&lt;='112'!$O$8,OR($L1854='112'!$I$6,$M1854='112'!$I$6))),"x",""))</f>
        <v/>
      </c>
      <c r="T1854" s="39" t="str">
        <f>IF(ISERROR(FIND('112'!$M$9,G1854,1)),"",IF((AND(LEFT(G1854,2)=LEFT('112'!$M$9,2),B1854&lt;'112'!$N$8,$L1854='112'!$I$6)),"x",""))</f>
        <v/>
      </c>
      <c r="U1854" s="39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39" t="str">
        <f>IF(OR(TH!L1854=TH!$W$7,M1854=TH!$W$7),"x","")</f>
        <v/>
      </c>
      <c r="X1854" s="39" t="str">
        <f>IF(AND(B1854&gt;='IN-NX'!$P$3,B1854&lt;='IN-NX'!$Q$3,'IN-NX'!$D$7=D1854,OR(LEFT(L1854,2)="15",AND(LEFT(M1854,2)&lt;&gt;"15",LEFT(M1854,2)&lt;&gt;"33"))),"x","")</f>
        <v/>
      </c>
      <c r="Y1854" s="39" t="str">
        <f>IF(AND(OR(LEFT(TH!L1854,2)="15",LEFT(TH!M1854,2)="15"),'152-CT'!$J$8=TH!F1854),"x","")</f>
        <v/>
      </c>
      <c r="Z1854" s="39" t="str">
        <f>IF(AND(OR(LEFT(TH!L1854,2)="15",LEFT(TH!M1854,2)="15"),TK!$E$7=TH!F1854),"x","")</f>
        <v/>
      </c>
      <c r="AA1854" s="39" t="str">
        <f>IF(AND(B1854&lt;=NKC!$N$8,B1854&gt;=NKC!$M$8),"x","")</f>
        <v/>
      </c>
      <c r="AB1854" s="821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101"/>
        <v/>
      </c>
      <c r="C1855" s="191"/>
      <c r="D1855" s="37"/>
      <c r="E1855" s="37"/>
      <c r="F1855" s="192"/>
      <c r="G1855" s="468"/>
      <c r="H1855" s="193"/>
      <c r="I1855" s="256"/>
      <c r="J1855" s="256"/>
      <c r="K1855" s="568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902" t="str">
        <f>IF(AND('341-CT'!$E$9=H1855,OR(LEFT(L1855,3)=$O$7,LEFT(M1855,3)=$O$7)),"x","")</f>
        <v/>
      </c>
      <c r="P1855" s="39" t="str">
        <f>IF(AND($B1855&gt;='111'!$N$11,$B1855&lt;='111'!$O$11,OR($L1855=$P$7,$M1855=$P$7)),"x","")</f>
        <v/>
      </c>
      <c r="Q1855" s="39" t="str">
        <f>IF(AND($L1855=$P$7,$B1855&lt;'111'!$N$11),"x","")</f>
        <v/>
      </c>
      <c r="R1855" s="39" t="str">
        <f>IF(AND($M1855=$P$7,$B1855&lt;'111'!$N$11),"x","")</f>
        <v/>
      </c>
      <c r="S1855" s="39" t="str">
        <f>IF(ISERROR(FIND('112'!$M$9,G1855,1)),"",IF((AND(FIND('112'!$M$9,G1855,1)&gt;=1,$B1855&gt;='112'!$N$8,$B1855&lt;='112'!$O$8,OR($L1855='112'!$I$6,$M1855='112'!$I$6))),"x",""))</f>
        <v/>
      </c>
      <c r="T1855" s="39" t="str">
        <f>IF(ISERROR(FIND('112'!$M$9,G1855,1)),"",IF((AND(LEFT(G1855,2)=LEFT('112'!$M$9,2),B1855&lt;'112'!$N$8,$L1855='112'!$I$6)),"x",""))</f>
        <v/>
      </c>
      <c r="U1855" s="39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39" t="str">
        <f>IF(OR(TH!L1855=TH!$W$7,M1855=TH!$W$7),"x","")</f>
        <v/>
      </c>
      <c r="X1855" s="39" t="str">
        <f>IF(AND(B1855&gt;='IN-NX'!$P$3,B1855&lt;='IN-NX'!$Q$3,'IN-NX'!$D$7=D1855,OR(LEFT(L1855,2)="15",AND(LEFT(M1855,2)&lt;&gt;"15",LEFT(M1855,2)&lt;&gt;"33"))),"x","")</f>
        <v/>
      </c>
      <c r="Y1855" s="39" t="str">
        <f>IF(AND(OR(LEFT(TH!L1855,2)="15",LEFT(TH!M1855,2)="15"),'152-CT'!$J$8=TH!F1855),"x","")</f>
        <v/>
      </c>
      <c r="Z1855" s="39" t="str">
        <f>IF(AND(OR(LEFT(TH!L1855,2)="15",LEFT(TH!M1855,2)="15"),TK!$E$7=TH!F1855),"x","")</f>
        <v/>
      </c>
      <c r="AA1855" s="39" t="str">
        <f>IF(AND(B1855&lt;=NKC!$N$8,B1855&gt;=NKC!$M$8),"x","")</f>
        <v/>
      </c>
      <c r="AB1855" s="821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 t="str">
        <f t="shared" si="101"/>
        <v/>
      </c>
      <c r="C1856" s="191"/>
      <c r="D1856" s="37"/>
      <c r="E1856" s="37"/>
      <c r="F1856" s="192"/>
      <c r="G1856" s="468"/>
      <c r="H1856" s="193"/>
      <c r="I1856" s="256"/>
      <c r="J1856" s="256"/>
      <c r="K1856" s="568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902" t="str">
        <f>IF(AND('341-CT'!$E$9=H1856,OR(LEFT(L1856,3)=$O$7,LEFT(M1856,3)=$O$7)),"x","")</f>
        <v/>
      </c>
      <c r="P1856" s="39" t="str">
        <f>IF(AND($B1856&gt;='111'!$N$11,$B1856&lt;='111'!$O$11,OR($L1856=$P$7,$M1856=$P$7)),"x","")</f>
        <v/>
      </c>
      <c r="Q1856" s="39" t="str">
        <f>IF(AND($L1856=$P$7,$B1856&lt;'111'!$N$11),"x","")</f>
        <v/>
      </c>
      <c r="R1856" s="39" t="str">
        <f>IF(AND($M1856=$P$7,$B1856&lt;'111'!$N$11),"x","")</f>
        <v/>
      </c>
      <c r="S1856" s="39" t="str">
        <f>IF(ISERROR(FIND('112'!$M$9,G1856,1)),"",IF((AND(FIND('112'!$M$9,G1856,1)&gt;=1,$B1856&gt;='112'!$N$8,$B1856&lt;='112'!$O$8,OR($L1856='112'!$I$6,$M1856='112'!$I$6))),"x",""))</f>
        <v/>
      </c>
      <c r="T1856" s="39" t="str">
        <f>IF(ISERROR(FIND('112'!$M$9,G1856,1)),"",IF((AND(LEFT(G1856,2)=LEFT('112'!$M$9,2),B1856&lt;'112'!$N$8,$L1856='112'!$I$6)),"x",""))</f>
        <v/>
      </c>
      <c r="U1856" s="39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39" t="str">
        <f>IF(OR(TH!L1856=TH!$W$7,M1856=TH!$W$7),"x","")</f>
        <v/>
      </c>
      <c r="X1856" s="39" t="str">
        <f>IF(AND(B1856&gt;='IN-NX'!$P$3,B1856&lt;='IN-NX'!$Q$3,'IN-NX'!$D$7=D1856,OR(LEFT(L1856,2)="15",AND(LEFT(M1856,2)&lt;&gt;"15",LEFT(M1856,2)&lt;&gt;"33"))),"x","")</f>
        <v/>
      </c>
      <c r="Y1856" s="39" t="str">
        <f>IF(AND(OR(LEFT(TH!L1856,2)="15",LEFT(TH!M1856,2)="15"),'152-CT'!$J$8=TH!F1856),"x","")</f>
        <v/>
      </c>
      <c r="Z1856" s="39" t="str">
        <f>IF(AND(OR(LEFT(TH!L1856,2)="15",LEFT(TH!M1856,2)="15"),TK!$E$7=TH!F1856),"x","")</f>
        <v/>
      </c>
      <c r="AA1856" s="39" t="str">
        <f>IF(AND(B1856&lt;=NKC!$N$8,B1856&gt;=NKC!$M$8),"x","")</f>
        <v/>
      </c>
      <c r="AB1856" s="821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 t="str">
        <f t="shared" si="101"/>
        <v/>
      </c>
      <c r="C1857" s="191"/>
      <c r="D1857" s="37"/>
      <c r="E1857" s="37"/>
      <c r="F1857" s="192"/>
      <c r="G1857" s="468"/>
      <c r="H1857" s="193"/>
      <c r="I1857" s="256"/>
      <c r="J1857" s="256"/>
      <c r="K1857" s="568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902" t="str">
        <f>IF(AND('341-CT'!$E$9=H1857,OR(LEFT(L1857,3)=$O$7,LEFT(M1857,3)=$O$7)),"x","")</f>
        <v/>
      </c>
      <c r="P1857" s="39" t="str">
        <f>IF(AND($B1857&gt;='111'!$N$11,$B1857&lt;='111'!$O$11,OR($L1857=$P$7,$M1857=$P$7)),"x","")</f>
        <v/>
      </c>
      <c r="Q1857" s="39" t="str">
        <f>IF(AND($L1857=$P$7,$B1857&lt;'111'!$N$11),"x","")</f>
        <v/>
      </c>
      <c r="R1857" s="39" t="str">
        <f>IF(AND($M1857=$P$7,$B1857&lt;'111'!$N$11),"x","")</f>
        <v/>
      </c>
      <c r="S1857" s="39" t="str">
        <f>IF(ISERROR(FIND('112'!$M$9,G1857,1)),"",IF((AND(FIND('112'!$M$9,G1857,1)&gt;=1,$B1857&gt;='112'!$N$8,$B1857&lt;='112'!$O$8,OR($L1857='112'!$I$6,$M1857='112'!$I$6))),"x",""))</f>
        <v/>
      </c>
      <c r="T1857" s="39" t="str">
        <f>IF(ISERROR(FIND('112'!$M$9,G1857,1)),"",IF((AND(LEFT(G1857,2)=LEFT('112'!$M$9,2),B1857&lt;'112'!$N$8,$L1857='112'!$I$6)),"x",""))</f>
        <v/>
      </c>
      <c r="U1857" s="39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39" t="str">
        <f>IF(OR(TH!L1857=TH!$W$7,M1857=TH!$W$7),"x","")</f>
        <v/>
      </c>
      <c r="X1857" s="39" t="str">
        <f>IF(AND(B1857&gt;='IN-NX'!$P$3,B1857&lt;='IN-NX'!$Q$3,'IN-NX'!$D$7=D1857,OR(LEFT(L1857,2)="15",AND(LEFT(M1857,2)&lt;&gt;"15",LEFT(M1857,2)&lt;&gt;"33"))),"x","")</f>
        <v/>
      </c>
      <c r="Y1857" s="39" t="str">
        <f>IF(AND(OR(LEFT(TH!L1857,2)="15",LEFT(TH!M1857,2)="15"),'152-CT'!$J$8=TH!F1857),"x","")</f>
        <v/>
      </c>
      <c r="Z1857" s="39" t="str">
        <f>IF(AND(OR(LEFT(TH!L1857,2)="15",LEFT(TH!M1857,2)="15"),TK!$E$7=TH!F1857),"x","")</f>
        <v/>
      </c>
      <c r="AA1857" s="39" t="str">
        <f>IF(AND(B1857&lt;=NKC!$N$8,B1857&gt;=NKC!$M$8),"x","")</f>
        <v/>
      </c>
      <c r="AB1857" s="821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 t="str">
        <f t="shared" si="101"/>
        <v/>
      </c>
      <c r="C1858" s="191"/>
      <c r="D1858" s="37"/>
      <c r="E1858" s="37"/>
      <c r="F1858" s="192"/>
      <c r="G1858" s="468"/>
      <c r="H1858" s="193"/>
      <c r="I1858" s="256"/>
      <c r="J1858" s="256"/>
      <c r="K1858" s="568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902" t="str">
        <f>IF(AND('341-CT'!$E$9=H1858,OR(LEFT(L1858,3)=$O$7,LEFT(M1858,3)=$O$7)),"x","")</f>
        <v/>
      </c>
      <c r="P1858" s="39" t="str">
        <f>IF(AND($B1858&gt;='111'!$N$11,$B1858&lt;='111'!$O$11,OR($L1858=$P$7,$M1858=$P$7)),"x","")</f>
        <v/>
      </c>
      <c r="Q1858" s="39" t="str">
        <f>IF(AND($L1858=$P$7,$B1858&lt;'111'!$N$11),"x","")</f>
        <v/>
      </c>
      <c r="R1858" s="39" t="str">
        <f>IF(AND($M1858=$P$7,$B1858&lt;'111'!$N$11),"x","")</f>
        <v/>
      </c>
      <c r="S1858" s="39" t="str">
        <f>IF(ISERROR(FIND('112'!$M$9,G1858,1)),"",IF((AND(FIND('112'!$M$9,G1858,1)&gt;=1,$B1858&gt;='112'!$N$8,$B1858&lt;='112'!$O$8,OR($L1858='112'!$I$6,$M1858='112'!$I$6))),"x",""))</f>
        <v/>
      </c>
      <c r="T1858" s="39" t="str">
        <f>IF(ISERROR(FIND('112'!$M$9,G1858,1)),"",IF((AND(LEFT(G1858,2)=LEFT('112'!$M$9,2),B1858&lt;'112'!$N$8,$L1858='112'!$I$6)),"x",""))</f>
        <v/>
      </c>
      <c r="U1858" s="39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39" t="str">
        <f>IF(OR(TH!L1858=TH!$W$7,M1858=TH!$W$7),"x","")</f>
        <v/>
      </c>
      <c r="X1858" s="39" t="str">
        <f>IF(AND(B1858&gt;='IN-NX'!$P$3,B1858&lt;='IN-NX'!$Q$3,'IN-NX'!$D$7=D1858,OR(LEFT(L1858,2)="15",AND(LEFT(M1858,2)&lt;&gt;"15",LEFT(M1858,2)&lt;&gt;"33"))),"x","")</f>
        <v/>
      </c>
      <c r="Y1858" s="39" t="str">
        <f>IF(AND(OR(LEFT(TH!L1858,2)="15",LEFT(TH!M1858,2)="15"),'152-CT'!$J$8=TH!F1858),"x","")</f>
        <v/>
      </c>
      <c r="Z1858" s="39" t="str">
        <f>IF(AND(OR(LEFT(TH!L1858,2)="15",LEFT(TH!M1858,2)="15"),TK!$E$7=TH!F1858),"x","")</f>
        <v/>
      </c>
      <c r="AA1858" s="39" t="str">
        <f>IF(AND(B1858&lt;=NKC!$N$8,B1858&gt;=NKC!$M$8),"x","")</f>
        <v/>
      </c>
      <c r="AB1858" s="821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 t="str">
        <f t="shared" si="101"/>
        <v/>
      </c>
      <c r="C1859" s="191"/>
      <c r="D1859" s="37"/>
      <c r="E1859" s="37"/>
      <c r="F1859" s="192"/>
      <c r="G1859" s="468"/>
      <c r="H1859" s="193"/>
      <c r="I1859" s="256"/>
      <c r="J1859" s="256"/>
      <c r="K1859" s="568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902" t="str">
        <f>IF(AND('341-CT'!$E$9=H1859,OR(LEFT(L1859,3)=$O$7,LEFT(M1859,3)=$O$7)),"x","")</f>
        <v/>
      </c>
      <c r="P1859" s="39" t="str">
        <f>IF(AND($B1859&gt;='111'!$N$11,$B1859&lt;='111'!$O$11,OR($L1859=$P$7,$M1859=$P$7)),"x","")</f>
        <v/>
      </c>
      <c r="Q1859" s="39" t="str">
        <f>IF(AND($L1859=$P$7,$B1859&lt;'111'!$N$11),"x","")</f>
        <v/>
      </c>
      <c r="R1859" s="39" t="str">
        <f>IF(AND($M1859=$P$7,$B1859&lt;'111'!$N$11),"x","")</f>
        <v/>
      </c>
      <c r="S1859" s="39" t="str">
        <f>IF(ISERROR(FIND('112'!$M$9,G1859,1)),"",IF((AND(FIND('112'!$M$9,G1859,1)&gt;=1,$B1859&gt;='112'!$N$8,$B1859&lt;='112'!$O$8,OR($L1859='112'!$I$6,$M1859='112'!$I$6))),"x",""))</f>
        <v/>
      </c>
      <c r="T1859" s="39" t="str">
        <f>IF(ISERROR(FIND('112'!$M$9,G1859,1)),"",IF((AND(LEFT(G1859,2)=LEFT('112'!$M$9,2),B1859&lt;'112'!$N$8,$L1859='112'!$I$6)),"x",""))</f>
        <v/>
      </c>
      <c r="U1859" s="39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39" t="str">
        <f>IF(OR(TH!L1859=TH!$W$7,M1859=TH!$W$7),"x","")</f>
        <v/>
      </c>
      <c r="X1859" s="39" t="str">
        <f>IF(AND(B1859&gt;='IN-NX'!$P$3,B1859&lt;='IN-NX'!$Q$3,'IN-NX'!$D$7=D1859,OR(LEFT(L1859,2)="15",AND(LEFT(M1859,2)&lt;&gt;"15",LEFT(M1859,2)&lt;&gt;"33"))),"x","")</f>
        <v/>
      </c>
      <c r="Y1859" s="39" t="str">
        <f>IF(AND(OR(LEFT(TH!L1859,2)="15",LEFT(TH!M1859,2)="15"),'152-CT'!$J$8=TH!F1859),"x","")</f>
        <v/>
      </c>
      <c r="Z1859" s="39" t="str">
        <f>IF(AND(OR(LEFT(TH!L1859,2)="15",LEFT(TH!M1859,2)="15"),TK!$E$7=TH!F1859),"x","")</f>
        <v/>
      </c>
      <c r="AA1859" s="39" t="str">
        <f>IF(AND(B1859&lt;=NKC!$N$8,B1859&gt;=NKC!$M$8),"x","")</f>
        <v/>
      </c>
      <c r="AB1859" s="821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 t="str">
        <f t="shared" si="101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8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902" t="str">
        <f>IF(AND('341-CT'!$E$9=H1860,OR(LEFT(L1860,3)=$O$7,LEFT(M1860,3)=$O$7)),"x","")</f>
        <v/>
      </c>
      <c r="P1860" s="39" t="str">
        <f>IF(AND($B1860&gt;='111'!$N$11,$B1860&lt;='111'!$O$11,OR($L1860=$P$7,$M1860=$P$7)),"x","")</f>
        <v/>
      </c>
      <c r="Q1860" s="39" t="str">
        <f>IF(AND($L1860=$P$7,$B1860&lt;'111'!$N$11),"x","")</f>
        <v/>
      </c>
      <c r="R1860" s="39" t="str">
        <f>IF(AND($M1860=$P$7,$B1860&lt;'111'!$N$11),"x","")</f>
        <v/>
      </c>
      <c r="S1860" s="39" t="str">
        <f>IF(ISERROR(FIND('112'!$M$9,G1860,1)),"",IF((AND(FIND('112'!$M$9,G1860,1)&gt;=1,$B1860&gt;='112'!$N$8,$B1860&lt;='112'!$O$8,OR($L1860='112'!$I$6,$M1860='112'!$I$6))),"x",""))</f>
        <v/>
      </c>
      <c r="T1860" s="39" t="str">
        <f>IF(ISERROR(FIND('112'!$M$9,G1860,1)),"",IF((AND(LEFT(G1860,2)=LEFT('112'!$M$9,2),B1860&lt;'112'!$N$8,$L1860='112'!$I$6)),"x",""))</f>
        <v/>
      </c>
      <c r="U1860" s="39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39" t="str">
        <f>IF(OR(TH!L1860=TH!$W$7,M1860=TH!$W$7),"x","")</f>
        <v/>
      </c>
      <c r="X1860" s="39" t="str">
        <f>IF(AND(B1860&gt;='IN-NX'!$P$3,B1860&lt;='IN-NX'!$Q$3,'IN-NX'!$D$7=D1860,OR(LEFT(L1860,2)="15",AND(LEFT(M1860,2)&lt;&gt;"15",LEFT(M1860,2)&lt;&gt;"33"))),"x","")</f>
        <v/>
      </c>
      <c r="Y1860" s="39" t="str">
        <f>IF(AND(OR(LEFT(TH!L1860,2)="15",LEFT(TH!M1860,2)="15"),'152-CT'!$J$8=TH!F1860),"x","")</f>
        <v/>
      </c>
      <c r="Z1860" s="39" t="str">
        <f>IF(AND(OR(LEFT(TH!L1860,2)="15",LEFT(TH!M1860,2)="15"),TK!$E$7=TH!F1860),"x","")</f>
        <v/>
      </c>
      <c r="AA1860" s="39" t="str">
        <f>IF(AND(B1860&lt;=NKC!$N$8,B1860&gt;=NKC!$M$8),"x","")</f>
        <v/>
      </c>
      <c r="AB1860" s="821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 t="str">
        <f t="shared" si="101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8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902" t="str">
        <f>IF(AND('341-CT'!$E$9=H1861,OR(LEFT(L1861,3)=$O$7,LEFT(M1861,3)=$O$7)),"x","")</f>
        <v/>
      </c>
      <c r="P1861" s="39" t="str">
        <f>IF(AND($B1861&gt;='111'!$N$11,$B1861&lt;='111'!$O$11,OR($L1861=$P$7,$M1861=$P$7)),"x","")</f>
        <v/>
      </c>
      <c r="Q1861" s="39" t="str">
        <f>IF(AND($L1861=$P$7,$B1861&lt;'111'!$N$11),"x","")</f>
        <v/>
      </c>
      <c r="R1861" s="39" t="str">
        <f>IF(AND($M1861=$P$7,$B1861&lt;'111'!$N$11),"x","")</f>
        <v/>
      </c>
      <c r="S1861" s="39" t="str">
        <f>IF(ISERROR(FIND('112'!$M$9,G1861,1)),"",IF((AND(FIND('112'!$M$9,G1861,1)&gt;=1,$B1861&gt;='112'!$N$8,$B1861&lt;='112'!$O$8,OR($L1861='112'!$I$6,$M1861='112'!$I$6))),"x",""))</f>
        <v/>
      </c>
      <c r="T1861" s="39" t="str">
        <f>IF(ISERROR(FIND('112'!$M$9,G1861,1)),"",IF((AND(LEFT(G1861,2)=LEFT('112'!$M$9,2),B1861&lt;'112'!$N$8,$L1861='112'!$I$6)),"x",""))</f>
        <v/>
      </c>
      <c r="U1861" s="39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39" t="str">
        <f>IF(OR(TH!L1861=TH!$W$7,M1861=TH!$W$7),"x","")</f>
        <v/>
      </c>
      <c r="X1861" s="39" t="str">
        <f>IF(AND(B1861&gt;='IN-NX'!$P$3,B1861&lt;='IN-NX'!$Q$3,'IN-NX'!$D$7=D1861,OR(LEFT(L1861,2)="15",AND(LEFT(M1861,2)&lt;&gt;"15",LEFT(M1861,2)&lt;&gt;"33"))),"x","")</f>
        <v/>
      </c>
      <c r="Y1861" s="39" t="str">
        <f>IF(AND(OR(LEFT(TH!L1861,2)="15",LEFT(TH!M1861,2)="15"),'152-CT'!$J$8=TH!F1861),"x","")</f>
        <v/>
      </c>
      <c r="Z1861" s="39" t="str">
        <f>IF(AND(OR(LEFT(TH!L1861,2)="15",LEFT(TH!M1861,2)="15"),TK!$E$7=TH!F1861),"x","")</f>
        <v/>
      </c>
      <c r="AA1861" s="39" t="str">
        <f>IF(AND(B1861&lt;=NKC!$N$8,B1861&gt;=NKC!$M$8),"x","")</f>
        <v/>
      </c>
      <c r="AB1861" s="821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101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8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902" t="str">
        <f>IF(AND('341-CT'!$E$9=H1862,OR(LEFT(L1862,3)=$O$7,LEFT(M1862,3)=$O$7)),"x","")</f>
        <v/>
      </c>
      <c r="P1862" s="39" t="str">
        <f>IF(AND($B1862&gt;='111'!$N$11,$B1862&lt;='111'!$O$11,OR($L1862=$P$7,$M1862=$P$7)),"x","")</f>
        <v/>
      </c>
      <c r="Q1862" s="39" t="str">
        <f>IF(AND($L1862=$P$7,$B1862&lt;'111'!$N$11),"x","")</f>
        <v/>
      </c>
      <c r="R1862" s="39" t="str">
        <f>IF(AND($M1862=$P$7,$B1862&lt;'111'!$N$11),"x","")</f>
        <v/>
      </c>
      <c r="S1862" s="39" t="str">
        <f>IF(ISERROR(FIND('112'!$M$9,G1862,1)),"",IF((AND(FIND('112'!$M$9,G1862,1)&gt;=1,$B1862&gt;='112'!$N$8,$B1862&lt;='112'!$O$8,OR($L1862='112'!$I$6,$M1862='112'!$I$6))),"x",""))</f>
        <v/>
      </c>
      <c r="T1862" s="39" t="str">
        <f>IF(ISERROR(FIND('112'!$M$9,G1862,1)),"",IF((AND(LEFT(G1862,2)=LEFT('112'!$M$9,2),B1862&lt;'112'!$N$8,$L1862='112'!$I$6)),"x",""))</f>
        <v/>
      </c>
      <c r="U1862" s="39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39" t="str">
        <f>IF(OR(TH!L1862=TH!$W$7,M1862=TH!$W$7),"x","")</f>
        <v/>
      </c>
      <c r="X1862" s="39" t="str">
        <f>IF(AND(B1862&gt;='IN-NX'!$P$3,B1862&lt;='IN-NX'!$Q$3,'IN-NX'!$D$7=D1862,OR(LEFT(L1862,2)="15",AND(LEFT(M1862,2)&lt;&gt;"15",LEFT(M1862,2)&lt;&gt;"33"))),"x","")</f>
        <v/>
      </c>
      <c r="Y1862" s="39" t="str">
        <f>IF(AND(OR(LEFT(TH!L1862,2)="15",LEFT(TH!M1862,2)="15"),'152-CT'!$J$8=TH!F1862),"x","")</f>
        <v/>
      </c>
      <c r="Z1862" s="39" t="str">
        <f>IF(AND(OR(LEFT(TH!L1862,2)="15",LEFT(TH!M1862,2)="15"),TK!$E$7=TH!F1862),"x","")</f>
        <v/>
      </c>
      <c r="AA1862" s="39" t="str">
        <f>IF(AND(B1862&lt;=NKC!$N$8,B1862&gt;=NKC!$M$8),"x","")</f>
        <v/>
      </c>
      <c r="AB1862" s="821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101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8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902" t="str">
        <f>IF(AND('341-CT'!$E$9=H1863,OR(LEFT(L1863,3)=$O$7,LEFT(M1863,3)=$O$7)),"x","")</f>
        <v/>
      </c>
      <c r="P1863" s="39" t="str">
        <f>IF(AND($B1863&gt;='111'!$N$11,$B1863&lt;='111'!$O$11,OR($L1863=$P$7,$M1863=$P$7)),"x","")</f>
        <v/>
      </c>
      <c r="Q1863" s="39" t="str">
        <f>IF(AND($L1863=$P$7,$B1863&lt;'111'!$N$11),"x","")</f>
        <v/>
      </c>
      <c r="R1863" s="39" t="str">
        <f>IF(AND($M1863=$P$7,$B1863&lt;'111'!$N$11),"x","")</f>
        <v/>
      </c>
      <c r="S1863" s="39" t="str">
        <f>IF(ISERROR(FIND('112'!$M$9,G1863,1)),"",IF((AND(FIND('112'!$M$9,G1863,1)&gt;=1,$B1863&gt;='112'!$N$8,$B1863&lt;='112'!$O$8,OR($L1863='112'!$I$6,$M1863='112'!$I$6))),"x",""))</f>
        <v/>
      </c>
      <c r="T1863" s="39" t="str">
        <f>IF(ISERROR(FIND('112'!$M$9,G1863,1)),"",IF((AND(LEFT(G1863,2)=LEFT('112'!$M$9,2),B1863&lt;'112'!$N$8,$L1863='112'!$I$6)),"x",""))</f>
        <v/>
      </c>
      <c r="U1863" s="39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39" t="str">
        <f>IF(OR(TH!L1863=TH!$W$7,M1863=TH!$W$7),"x","")</f>
        <v/>
      </c>
      <c r="X1863" s="39" t="str">
        <f>IF(AND(B1863&gt;='IN-NX'!$P$3,B1863&lt;='IN-NX'!$Q$3,'IN-NX'!$D$7=D1863,OR(LEFT(L1863,2)="15",AND(LEFT(M1863,2)&lt;&gt;"15",LEFT(M1863,2)&lt;&gt;"33"))),"x","")</f>
        <v/>
      </c>
      <c r="Y1863" s="39" t="str">
        <f>IF(AND(OR(LEFT(TH!L1863,2)="15",LEFT(TH!M1863,2)="15"),'152-CT'!$J$8=TH!F1863),"x","")</f>
        <v/>
      </c>
      <c r="Z1863" s="39" t="str">
        <f>IF(AND(OR(LEFT(TH!L1863,2)="15",LEFT(TH!M1863,2)="15"),TK!$E$7=TH!F1863),"x","")</f>
        <v/>
      </c>
      <c r="AA1863" s="39" t="str">
        <f>IF(AND(B1863&lt;=NKC!$N$8,B1863&gt;=NKC!$M$8),"x","")</f>
        <v/>
      </c>
      <c r="AB1863" s="821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 t="str">
        <f t="shared" si="101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8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902" t="str">
        <f>IF(AND('341-CT'!$E$9=H1864,OR(LEFT(L1864,3)=$O$7,LEFT(M1864,3)=$O$7)),"x","")</f>
        <v/>
      </c>
      <c r="P1864" s="39" t="str">
        <f>IF(AND($B1864&gt;='111'!$N$11,$B1864&lt;='111'!$O$11,OR($L1864=$P$7,$M1864=$P$7)),"x","")</f>
        <v/>
      </c>
      <c r="Q1864" s="39" t="str">
        <f>IF(AND($L1864=$P$7,$B1864&lt;'111'!$N$11),"x","")</f>
        <v/>
      </c>
      <c r="R1864" s="39" t="str">
        <f>IF(AND($M1864=$P$7,$B1864&lt;'111'!$N$11),"x","")</f>
        <v/>
      </c>
      <c r="S1864" s="39" t="str">
        <f>IF(ISERROR(FIND('112'!$M$9,G1864,1)),"",IF((AND(FIND('112'!$M$9,G1864,1)&gt;=1,$B1864&gt;='112'!$N$8,$B1864&lt;='112'!$O$8,OR($L1864='112'!$I$6,$M1864='112'!$I$6))),"x",""))</f>
        <v/>
      </c>
      <c r="T1864" s="39" t="str">
        <f>IF(ISERROR(FIND('112'!$M$9,G1864,1)),"",IF((AND(LEFT(G1864,2)=LEFT('112'!$M$9,2),B1864&lt;'112'!$N$8,$L1864='112'!$I$6)),"x",""))</f>
        <v/>
      </c>
      <c r="U1864" s="39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39" t="str">
        <f>IF(OR(TH!L1864=TH!$W$7,M1864=TH!$W$7),"x","")</f>
        <v/>
      </c>
      <c r="X1864" s="39" t="str">
        <f>IF(AND(B1864&gt;='IN-NX'!$P$3,B1864&lt;='IN-NX'!$Q$3,'IN-NX'!$D$7=D1864,OR(LEFT(L1864,2)="15",AND(LEFT(M1864,2)&lt;&gt;"15",LEFT(M1864,2)&lt;&gt;"33"))),"x","")</f>
        <v/>
      </c>
      <c r="Y1864" s="39" t="str">
        <f>IF(AND(OR(LEFT(TH!L1864,2)="15",LEFT(TH!M1864,2)="15"),'152-CT'!$J$8=TH!F1864),"x","")</f>
        <v/>
      </c>
      <c r="Z1864" s="39" t="str">
        <f>IF(AND(OR(LEFT(TH!L1864,2)="15",LEFT(TH!M1864,2)="15"),TK!$E$7=TH!F1864),"x","")</f>
        <v/>
      </c>
      <c r="AA1864" s="39" t="str">
        <f>IF(AND(B1864&lt;=NKC!$N$8,B1864&gt;=NKC!$M$8),"x","")</f>
        <v/>
      </c>
      <c r="AB1864" s="821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 t="str">
        <f t="shared" si="101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8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902" t="str">
        <f>IF(AND('341-CT'!$E$9=H1865,OR(LEFT(L1865,3)=$O$7,LEFT(M1865,3)=$O$7)),"x","")</f>
        <v/>
      </c>
      <c r="P1865" s="39" t="str">
        <f>IF(AND($B1865&gt;='111'!$N$11,$B1865&lt;='111'!$O$11,OR($L1865=$P$7,$M1865=$P$7)),"x","")</f>
        <v/>
      </c>
      <c r="Q1865" s="39" t="str">
        <f>IF(AND($L1865=$P$7,$B1865&lt;'111'!$N$11),"x","")</f>
        <v/>
      </c>
      <c r="R1865" s="39" t="str">
        <f>IF(AND($M1865=$P$7,$B1865&lt;'111'!$N$11),"x","")</f>
        <v/>
      </c>
      <c r="S1865" s="39" t="str">
        <f>IF(ISERROR(FIND('112'!$M$9,G1865,1)),"",IF((AND(FIND('112'!$M$9,G1865,1)&gt;=1,$B1865&gt;='112'!$N$8,$B1865&lt;='112'!$O$8,OR($L1865='112'!$I$6,$M1865='112'!$I$6))),"x",""))</f>
        <v/>
      </c>
      <c r="T1865" s="39" t="str">
        <f>IF(ISERROR(FIND('112'!$M$9,G1865,1)),"",IF((AND(LEFT(G1865,2)=LEFT('112'!$M$9,2),B1865&lt;'112'!$N$8,$L1865='112'!$I$6)),"x",""))</f>
        <v/>
      </c>
      <c r="U1865" s="39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39" t="str">
        <f>IF(OR(TH!L1865=TH!$W$7,M1865=TH!$W$7),"x","")</f>
        <v/>
      </c>
      <c r="X1865" s="39" t="str">
        <f>IF(AND(B1865&gt;='IN-NX'!$P$3,B1865&lt;='IN-NX'!$Q$3,'IN-NX'!$D$7=D1865,OR(LEFT(L1865,2)="15",AND(LEFT(M1865,2)&lt;&gt;"15",LEFT(M1865,2)&lt;&gt;"33"))),"x","")</f>
        <v/>
      </c>
      <c r="Y1865" s="39" t="str">
        <f>IF(AND(OR(LEFT(TH!L1865,2)="15",LEFT(TH!M1865,2)="15"),'152-CT'!$J$8=TH!F1865),"x","")</f>
        <v/>
      </c>
      <c r="Z1865" s="39" t="str">
        <f>IF(AND(OR(LEFT(TH!L1865,2)="15",LEFT(TH!M1865,2)="15"),TK!$E$7=TH!F1865),"x","")</f>
        <v/>
      </c>
      <c r="AA1865" s="39" t="str">
        <f>IF(AND(B1865&lt;=NKC!$N$8,B1865&gt;=NKC!$M$8),"x","")</f>
        <v/>
      </c>
      <c r="AB1865" s="821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 t="str">
        <f t="shared" si="101"/>
        <v/>
      </c>
      <c r="C1866" s="191"/>
      <c r="D1866" s="191"/>
      <c r="E1866" s="191"/>
      <c r="F1866" s="192"/>
      <c r="G1866" s="468"/>
      <c r="H1866" s="193"/>
      <c r="I1866" s="256"/>
      <c r="J1866" s="256"/>
      <c r="K1866" s="568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902" t="str">
        <f>IF(AND('341-CT'!$E$9=H1866,OR(LEFT(L1866,3)=$O$7,LEFT(M1866,3)=$O$7)),"x","")</f>
        <v/>
      </c>
      <c r="P1866" s="39" t="str">
        <f>IF(AND($B1866&gt;='111'!$N$11,$B1866&lt;='111'!$O$11,OR($L1866=$P$7,$M1866=$P$7)),"x","")</f>
        <v/>
      </c>
      <c r="Q1866" s="39" t="str">
        <f>IF(AND($L1866=$P$7,$B1866&lt;'111'!$N$11),"x","")</f>
        <v/>
      </c>
      <c r="R1866" s="39" t="str">
        <f>IF(AND($M1866=$P$7,$B1866&lt;'111'!$N$11),"x","")</f>
        <v/>
      </c>
      <c r="S1866" s="39" t="str">
        <f>IF(ISERROR(FIND('112'!$M$9,G1866,1)),"",IF((AND(FIND('112'!$M$9,G1866,1)&gt;=1,$B1866&gt;='112'!$N$8,$B1866&lt;='112'!$O$8,OR($L1866='112'!$I$6,$M1866='112'!$I$6))),"x",""))</f>
        <v/>
      </c>
      <c r="T1866" s="39" t="str">
        <f>IF(ISERROR(FIND('112'!$M$9,G1866,1)),"",IF((AND(LEFT(G1866,2)=LEFT('112'!$M$9,2),B1866&lt;'112'!$N$8,$L1866='112'!$I$6)),"x",""))</f>
        <v/>
      </c>
      <c r="U1866" s="39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39" t="str">
        <f>IF(OR(TH!L1866=TH!$W$7,M1866=TH!$W$7),"x","")</f>
        <v/>
      </c>
      <c r="X1866" s="39" t="str">
        <f>IF(AND(B1866&gt;='IN-NX'!$P$3,B1866&lt;='IN-NX'!$Q$3,'IN-NX'!$D$7=D1866,OR(LEFT(L1866,2)="15",AND(LEFT(M1866,2)&lt;&gt;"15",LEFT(M1866,2)&lt;&gt;"33"))),"x","")</f>
        <v/>
      </c>
      <c r="Y1866" s="39" t="str">
        <f>IF(AND(OR(LEFT(TH!L1866,2)="15",LEFT(TH!M1866,2)="15"),'152-CT'!$J$8=TH!F1866),"x","")</f>
        <v/>
      </c>
      <c r="Z1866" s="39" t="str">
        <f>IF(AND(OR(LEFT(TH!L1866,2)="15",LEFT(TH!M1866,2)="15"),TK!$E$7=TH!F1866),"x","")</f>
        <v/>
      </c>
      <c r="AA1866" s="39" t="str">
        <f>IF(AND(B1866&lt;=NKC!$N$8,B1866&gt;=NKC!$M$8),"x","")</f>
        <v/>
      </c>
      <c r="AB1866" s="821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 t="str">
        <f t="shared" si="101"/>
        <v/>
      </c>
      <c r="C1867" s="191"/>
      <c r="D1867" s="191"/>
      <c r="E1867" s="191"/>
      <c r="F1867" s="192"/>
      <c r="G1867" s="468"/>
      <c r="H1867" s="193"/>
      <c r="I1867" s="256"/>
      <c r="J1867" s="256"/>
      <c r="K1867" s="568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902" t="str">
        <f>IF(AND('341-CT'!$E$9=H1867,OR(LEFT(L1867,3)=$O$7,LEFT(M1867,3)=$O$7)),"x","")</f>
        <v/>
      </c>
      <c r="P1867" s="39" t="str">
        <f>IF(AND($B1867&gt;='111'!$N$11,$B1867&lt;='111'!$O$11,OR($L1867=$P$7,$M1867=$P$7)),"x","")</f>
        <v/>
      </c>
      <c r="Q1867" s="39" t="str">
        <f>IF(AND($L1867=$P$7,$B1867&lt;'111'!$N$11),"x","")</f>
        <v/>
      </c>
      <c r="R1867" s="39" t="str">
        <f>IF(AND($M1867=$P$7,$B1867&lt;'111'!$N$11),"x","")</f>
        <v/>
      </c>
      <c r="S1867" s="39" t="str">
        <f>IF(ISERROR(FIND('112'!$M$9,G1867,1)),"",IF((AND(FIND('112'!$M$9,G1867,1)&gt;=1,$B1867&gt;='112'!$N$8,$B1867&lt;='112'!$O$8,OR($L1867='112'!$I$6,$M1867='112'!$I$6))),"x",""))</f>
        <v/>
      </c>
      <c r="T1867" s="39" t="str">
        <f>IF(ISERROR(FIND('112'!$M$9,G1867,1)),"",IF((AND(LEFT(G1867,2)=LEFT('112'!$M$9,2),B1867&lt;'112'!$N$8,$L1867='112'!$I$6)),"x",""))</f>
        <v/>
      </c>
      <c r="U1867" s="39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39" t="str">
        <f>IF(OR(TH!L1867=TH!$W$7,M1867=TH!$W$7),"x","")</f>
        <v/>
      </c>
      <c r="X1867" s="39" t="str">
        <f>IF(AND(B1867&gt;='IN-NX'!$P$3,B1867&lt;='IN-NX'!$Q$3,'IN-NX'!$D$7=D1867,OR(LEFT(L1867,2)="15",AND(LEFT(M1867,2)&lt;&gt;"15",LEFT(M1867,2)&lt;&gt;"33"))),"x","")</f>
        <v/>
      </c>
      <c r="Y1867" s="39" t="str">
        <f>IF(AND(OR(LEFT(TH!L1867,2)="15",LEFT(TH!M1867,2)="15"),'152-CT'!$J$8=TH!F1867),"x","")</f>
        <v/>
      </c>
      <c r="Z1867" s="39" t="str">
        <f>IF(AND(OR(LEFT(TH!L1867,2)="15",LEFT(TH!M1867,2)="15"),TK!$E$7=TH!F1867),"x","")</f>
        <v/>
      </c>
      <c r="AA1867" s="39" t="str">
        <f>IF(AND(B1867&lt;=NKC!$N$8,B1867&gt;=NKC!$M$8),"x","")</f>
        <v/>
      </c>
      <c r="AB1867" s="821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 t="str">
        <f t="shared" si="101"/>
        <v/>
      </c>
      <c r="C1868" s="191"/>
      <c r="D1868" s="191"/>
      <c r="E1868" s="191"/>
      <c r="F1868" s="192"/>
      <c r="G1868" s="468"/>
      <c r="H1868" s="193"/>
      <c r="I1868" s="256"/>
      <c r="J1868" s="256"/>
      <c r="K1868" s="568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902" t="str">
        <f>IF(AND('341-CT'!$E$9=H1868,OR(LEFT(L1868,3)=$O$7,LEFT(M1868,3)=$O$7)),"x","")</f>
        <v/>
      </c>
      <c r="P1868" s="39" t="str">
        <f>IF(AND($B1868&gt;='111'!$N$11,$B1868&lt;='111'!$O$11,OR($L1868=$P$7,$M1868=$P$7)),"x","")</f>
        <v/>
      </c>
      <c r="Q1868" s="39" t="str">
        <f>IF(AND($L1868=$P$7,$B1868&lt;'111'!$N$11),"x","")</f>
        <v/>
      </c>
      <c r="R1868" s="39" t="str">
        <f>IF(AND($M1868=$P$7,$B1868&lt;'111'!$N$11),"x","")</f>
        <v/>
      </c>
      <c r="S1868" s="39" t="str">
        <f>IF(ISERROR(FIND('112'!$M$9,G1868,1)),"",IF((AND(FIND('112'!$M$9,G1868,1)&gt;=1,$B1868&gt;='112'!$N$8,$B1868&lt;='112'!$O$8,OR($L1868='112'!$I$6,$M1868='112'!$I$6))),"x",""))</f>
        <v/>
      </c>
      <c r="T1868" s="39" t="str">
        <f>IF(ISERROR(FIND('112'!$M$9,G1868,1)),"",IF((AND(LEFT(G1868,2)=LEFT('112'!$M$9,2),B1868&lt;'112'!$N$8,$L1868='112'!$I$6)),"x",""))</f>
        <v/>
      </c>
      <c r="U1868" s="39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39" t="str">
        <f>IF(OR(TH!L1868=TH!$W$7,M1868=TH!$W$7),"x","")</f>
        <v/>
      </c>
      <c r="X1868" s="39" t="str">
        <f>IF(AND(B1868&gt;='IN-NX'!$P$3,B1868&lt;='IN-NX'!$Q$3,'IN-NX'!$D$7=D1868,OR(LEFT(L1868,2)="15",AND(LEFT(M1868,2)&lt;&gt;"15",LEFT(M1868,2)&lt;&gt;"33"))),"x","")</f>
        <v/>
      </c>
      <c r="Y1868" s="39" t="str">
        <f>IF(AND(OR(LEFT(TH!L1868,2)="15",LEFT(TH!M1868,2)="15"),'152-CT'!$J$8=TH!F1868),"x","")</f>
        <v/>
      </c>
      <c r="Z1868" s="39" t="str">
        <f>IF(AND(OR(LEFT(TH!L1868,2)="15",LEFT(TH!M1868,2)="15"),TK!$E$7=TH!F1868),"x","")</f>
        <v/>
      </c>
      <c r="AA1868" s="39" t="str">
        <f>IF(AND(B1868&lt;=NKC!$N$8,B1868&gt;=NKC!$M$8),"x","")</f>
        <v/>
      </c>
      <c r="AB1868" s="821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 t="str">
        <f t="shared" si="101"/>
        <v/>
      </c>
      <c r="C1869" s="191"/>
      <c r="D1869" s="191"/>
      <c r="E1869" s="191"/>
      <c r="F1869" s="192"/>
      <c r="G1869" s="468"/>
      <c r="H1869" s="193"/>
      <c r="I1869" s="256"/>
      <c r="J1869" s="256"/>
      <c r="K1869" s="568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902" t="str">
        <f>IF(AND('341-CT'!$E$9=H1869,OR(LEFT(L1869,3)=$O$7,LEFT(M1869,3)=$O$7)),"x","")</f>
        <v/>
      </c>
      <c r="P1869" s="39" t="str">
        <f>IF(AND($B1869&gt;='111'!$N$11,$B1869&lt;='111'!$O$11,OR($L1869=$P$7,$M1869=$P$7)),"x","")</f>
        <v/>
      </c>
      <c r="Q1869" s="39" t="str">
        <f>IF(AND($L1869=$P$7,$B1869&lt;'111'!$N$11),"x","")</f>
        <v/>
      </c>
      <c r="R1869" s="39" t="str">
        <f>IF(AND($M1869=$P$7,$B1869&lt;'111'!$N$11),"x","")</f>
        <v/>
      </c>
      <c r="S1869" s="39" t="str">
        <f>IF(ISERROR(FIND('112'!$M$9,G1869,1)),"",IF((AND(FIND('112'!$M$9,G1869,1)&gt;=1,$B1869&gt;='112'!$N$8,$B1869&lt;='112'!$O$8,OR($L1869='112'!$I$6,$M1869='112'!$I$6))),"x",""))</f>
        <v/>
      </c>
      <c r="T1869" s="39" t="str">
        <f>IF(ISERROR(FIND('112'!$M$9,G1869,1)),"",IF((AND(LEFT(G1869,2)=LEFT('112'!$M$9,2),B1869&lt;'112'!$N$8,$L1869='112'!$I$6)),"x",""))</f>
        <v/>
      </c>
      <c r="U1869" s="39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39" t="str">
        <f>IF(OR(TH!L1869=TH!$W$7,M1869=TH!$W$7),"x","")</f>
        <v/>
      </c>
      <c r="X1869" s="39" t="str">
        <f>IF(AND(B1869&gt;='IN-NX'!$P$3,B1869&lt;='IN-NX'!$Q$3,'IN-NX'!$D$7=D1869,OR(LEFT(L1869,2)="15",AND(LEFT(M1869,2)&lt;&gt;"15",LEFT(M1869,2)&lt;&gt;"33"))),"x","")</f>
        <v/>
      </c>
      <c r="Y1869" s="39" t="str">
        <f>IF(AND(OR(LEFT(TH!L1869,2)="15",LEFT(TH!M1869,2)="15"),'152-CT'!$J$8=TH!F1869),"x","")</f>
        <v/>
      </c>
      <c r="Z1869" s="39" t="str">
        <f>IF(AND(OR(LEFT(TH!L1869,2)="15",LEFT(TH!M1869,2)="15"),TK!$E$7=TH!F1869),"x","")</f>
        <v/>
      </c>
      <c r="AA1869" s="39" t="str">
        <f>IF(AND(B1869&lt;=NKC!$N$8,B1869&gt;=NKC!$M$8),"x","")</f>
        <v/>
      </c>
      <c r="AB1869" s="821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 t="str">
        <f t="shared" si="101"/>
        <v/>
      </c>
      <c r="C1870" s="191"/>
      <c r="D1870" s="191"/>
      <c r="E1870" s="191"/>
      <c r="F1870" s="192"/>
      <c r="G1870" s="468"/>
      <c r="H1870" s="193"/>
      <c r="I1870" s="256"/>
      <c r="J1870" s="256"/>
      <c r="K1870" s="568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902" t="str">
        <f>IF(AND('341-CT'!$E$9=H1870,OR(LEFT(L1870,3)=$O$7,LEFT(M1870,3)=$O$7)),"x","")</f>
        <v/>
      </c>
      <c r="P1870" s="39" t="str">
        <f>IF(AND($B1870&gt;='111'!$N$11,$B1870&lt;='111'!$O$11,OR($L1870=$P$7,$M1870=$P$7)),"x","")</f>
        <v/>
      </c>
      <c r="Q1870" s="39" t="str">
        <f>IF(AND($L1870=$P$7,$B1870&lt;'111'!$N$11),"x","")</f>
        <v/>
      </c>
      <c r="R1870" s="39" t="str">
        <f>IF(AND($M1870=$P$7,$B1870&lt;'111'!$N$11),"x","")</f>
        <v/>
      </c>
      <c r="S1870" s="39" t="str">
        <f>IF(ISERROR(FIND('112'!$M$9,G1870,1)),"",IF((AND(FIND('112'!$M$9,G1870,1)&gt;=1,$B1870&gt;='112'!$N$8,$B1870&lt;='112'!$O$8,OR($L1870='112'!$I$6,$M1870='112'!$I$6))),"x",""))</f>
        <v/>
      </c>
      <c r="T1870" s="39" t="str">
        <f>IF(ISERROR(FIND('112'!$M$9,G1870,1)),"",IF((AND(LEFT(G1870,2)=LEFT('112'!$M$9,2),B1870&lt;'112'!$N$8,$L1870='112'!$I$6)),"x",""))</f>
        <v/>
      </c>
      <c r="U1870" s="39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39" t="str">
        <f>IF(OR(TH!L1870=TH!$W$7,M1870=TH!$W$7),"x","")</f>
        <v/>
      </c>
      <c r="X1870" s="39" t="str">
        <f>IF(AND(B1870&gt;='IN-NX'!$P$3,B1870&lt;='IN-NX'!$Q$3,'IN-NX'!$D$7=D1870,OR(LEFT(L1870,2)="15",AND(LEFT(M1870,2)&lt;&gt;"15",LEFT(M1870,2)&lt;&gt;"33"))),"x","")</f>
        <v/>
      </c>
      <c r="Y1870" s="39" t="str">
        <f>IF(AND(OR(LEFT(TH!L1870,2)="15",LEFT(TH!M1870,2)="15"),'152-CT'!$J$8=TH!F1870),"x","")</f>
        <v/>
      </c>
      <c r="Z1870" s="39" t="str">
        <f>IF(AND(OR(LEFT(TH!L1870,2)="15",LEFT(TH!M1870,2)="15"),TK!$E$7=TH!F1870),"x","")</f>
        <v/>
      </c>
      <c r="AA1870" s="39" t="str">
        <f>IF(AND(B1870&lt;=NKC!$N$8,B1870&gt;=NKC!$M$8),"x","")</f>
        <v/>
      </c>
      <c r="AB1870" s="821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 t="str">
        <f t="shared" si="101"/>
        <v/>
      </c>
      <c r="C1871" s="191"/>
      <c r="D1871" s="37"/>
      <c r="E1871" s="37"/>
      <c r="F1871" s="296"/>
      <c r="G1871" s="40"/>
      <c r="H1871" s="7"/>
      <c r="I1871" s="256"/>
      <c r="J1871" s="256"/>
      <c r="K1871" s="56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902" t="str">
        <f>IF(AND('341-CT'!$E$9=H1871,OR(LEFT(L1871,3)=$O$7,LEFT(M1871,3)=$O$7)),"x","")</f>
        <v/>
      </c>
      <c r="P1871" s="39" t="str">
        <f>IF(AND($B1871&gt;='111'!$N$11,$B1871&lt;='111'!$O$11,OR($L1871=$P$7,$M1871=$P$7)),"x","")</f>
        <v/>
      </c>
      <c r="Q1871" s="39" t="str">
        <f>IF(AND($L1871=$P$7,$B1871&lt;'111'!$N$11),"x","")</f>
        <v/>
      </c>
      <c r="R1871" s="39" t="str">
        <f>IF(AND($M1871=$P$7,$B1871&lt;'111'!$N$11),"x","")</f>
        <v/>
      </c>
      <c r="S1871" s="39" t="str">
        <f>IF(ISERROR(FIND('112'!$M$9,G1871,1)),"",IF((AND(FIND('112'!$M$9,G1871,1)&gt;=1,$B1871&gt;='112'!$N$8,$B1871&lt;='112'!$O$8,OR($L1871='112'!$I$6,$M1871='112'!$I$6))),"x",""))</f>
        <v/>
      </c>
      <c r="T1871" s="39" t="str">
        <f>IF(ISERROR(FIND('112'!$M$9,G1871,1)),"",IF((AND(LEFT(G1871,2)=LEFT('112'!$M$9,2),B1871&lt;'112'!$N$8,$L1871='112'!$I$6)),"x",""))</f>
        <v/>
      </c>
      <c r="U1871" s="39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39" t="str">
        <f>IF(OR(TH!L1871=TH!$W$7,M1871=TH!$W$7),"x","")</f>
        <v/>
      </c>
      <c r="X1871" s="39" t="str">
        <f>IF(AND(B1871&gt;='IN-NX'!$P$3,B1871&lt;='IN-NX'!$Q$3,'IN-NX'!$D$7=D1871,OR(LEFT(L1871,2)="15",AND(LEFT(M1871,2)&lt;&gt;"15",LEFT(M1871,2)&lt;&gt;"33"))),"x","")</f>
        <v/>
      </c>
      <c r="Y1871" s="39" t="str">
        <f>IF(AND(OR(LEFT(TH!L1871,2)="15",LEFT(TH!M1871,2)="15"),'152-CT'!$J$8=TH!F1871),"x","")</f>
        <v/>
      </c>
      <c r="Z1871" s="39" t="str">
        <f>IF(AND(OR(LEFT(TH!L1871,2)="15",LEFT(TH!M1871,2)="15"),TK!$E$7=TH!F1871),"x","")</f>
        <v/>
      </c>
      <c r="AA1871" s="39" t="str">
        <f>IF(AND(B1871&lt;=NKC!$N$8,B1871&gt;=NKC!$M$8),"x","")</f>
        <v/>
      </c>
      <c r="AB1871" s="821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 t="str">
        <f t="shared" si="101"/>
        <v/>
      </c>
      <c r="C1872" s="191"/>
      <c r="D1872" s="37"/>
      <c r="E1872" s="37"/>
      <c r="F1872" s="296"/>
      <c r="G1872" s="40"/>
      <c r="H1872" s="7"/>
      <c r="I1872" s="256"/>
      <c r="J1872" s="256"/>
      <c r="K1872" s="56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902" t="str">
        <f>IF(AND('341-CT'!$E$9=H1872,OR(LEFT(L1872,3)=$O$7,LEFT(M1872,3)=$O$7)),"x","")</f>
        <v/>
      </c>
      <c r="P1872" s="39" t="str">
        <f>IF(AND($B1872&gt;='111'!$N$11,$B1872&lt;='111'!$O$11,OR($L1872=$P$7,$M1872=$P$7)),"x","")</f>
        <v/>
      </c>
      <c r="Q1872" s="39" t="str">
        <f>IF(AND($L1872=$P$7,$B1872&lt;'111'!$N$11),"x","")</f>
        <v/>
      </c>
      <c r="R1872" s="39" t="str">
        <f>IF(AND($M1872=$P$7,$B1872&lt;'111'!$N$11),"x","")</f>
        <v/>
      </c>
      <c r="S1872" s="39" t="str">
        <f>IF(ISERROR(FIND('112'!$M$9,G1872,1)),"",IF((AND(FIND('112'!$M$9,G1872,1)&gt;=1,$B1872&gt;='112'!$N$8,$B1872&lt;='112'!$O$8,OR($L1872='112'!$I$6,$M1872='112'!$I$6))),"x",""))</f>
        <v/>
      </c>
      <c r="T1872" s="39" t="str">
        <f>IF(ISERROR(FIND('112'!$M$9,G1872,1)),"",IF((AND(LEFT(G1872,2)=LEFT('112'!$M$9,2),B1872&lt;'112'!$N$8,$L1872='112'!$I$6)),"x",""))</f>
        <v/>
      </c>
      <c r="U1872" s="39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39" t="str">
        <f>IF(OR(TH!L1872=TH!$W$7,M1872=TH!$W$7),"x","")</f>
        <v/>
      </c>
      <c r="X1872" s="39" t="str">
        <f>IF(AND(B1872&gt;='IN-NX'!$P$3,B1872&lt;='IN-NX'!$Q$3,'IN-NX'!$D$7=D1872,OR(LEFT(L1872,2)="15",AND(LEFT(M1872,2)&lt;&gt;"15",LEFT(M1872,2)&lt;&gt;"33"))),"x","")</f>
        <v/>
      </c>
      <c r="Y1872" s="39" t="str">
        <f>IF(AND(OR(LEFT(TH!L1872,2)="15",LEFT(TH!M1872,2)="15"),'152-CT'!$J$8=TH!F1872),"x","")</f>
        <v/>
      </c>
      <c r="Z1872" s="39" t="str">
        <f>IF(AND(OR(LEFT(TH!L1872,2)="15",LEFT(TH!M1872,2)="15"),TK!$E$7=TH!F1872),"x","")</f>
        <v/>
      </c>
      <c r="AA1872" s="39" t="str">
        <f>IF(AND(B1872&lt;=NKC!$N$8,B1872&gt;=NKC!$M$8),"x","")</f>
        <v/>
      </c>
      <c r="AB1872" s="821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 t="str">
        <f t="shared" si="101"/>
        <v/>
      </c>
      <c r="C1873" s="191"/>
      <c r="D1873" s="37"/>
      <c r="E1873" s="37"/>
      <c r="F1873" s="296"/>
      <c r="G1873" s="40"/>
      <c r="H1873" s="7"/>
      <c r="I1873" s="256"/>
      <c r="J1873" s="256"/>
      <c r="K1873" s="56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902" t="str">
        <f>IF(AND('341-CT'!$E$9=H1873,OR(LEFT(L1873,3)=$O$7,LEFT(M1873,3)=$O$7)),"x","")</f>
        <v/>
      </c>
      <c r="P1873" s="39" t="str">
        <f>IF(AND($B1873&gt;='111'!$N$11,$B1873&lt;='111'!$O$11,OR($L1873=$P$7,$M1873=$P$7)),"x","")</f>
        <v/>
      </c>
      <c r="Q1873" s="39" t="str">
        <f>IF(AND($L1873=$P$7,$B1873&lt;'111'!$N$11),"x","")</f>
        <v/>
      </c>
      <c r="R1873" s="39" t="str">
        <f>IF(AND($M1873=$P$7,$B1873&lt;'111'!$N$11),"x","")</f>
        <v/>
      </c>
      <c r="S1873" s="39" t="str">
        <f>IF(ISERROR(FIND('112'!$M$9,G1873,1)),"",IF((AND(FIND('112'!$M$9,G1873,1)&gt;=1,$B1873&gt;='112'!$N$8,$B1873&lt;='112'!$O$8,OR($L1873='112'!$I$6,$M1873='112'!$I$6))),"x",""))</f>
        <v/>
      </c>
      <c r="T1873" s="39" t="str">
        <f>IF(ISERROR(FIND('112'!$M$9,G1873,1)),"",IF((AND(LEFT(G1873,2)=LEFT('112'!$M$9,2),B1873&lt;'112'!$N$8,$L1873='112'!$I$6)),"x",""))</f>
        <v/>
      </c>
      <c r="U1873" s="39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39" t="str">
        <f>IF(OR(TH!L1873=TH!$W$7,M1873=TH!$W$7),"x","")</f>
        <v/>
      </c>
      <c r="X1873" s="39" t="str">
        <f>IF(AND(B1873&gt;='IN-NX'!$P$3,B1873&lt;='IN-NX'!$Q$3,'IN-NX'!$D$7=D1873,OR(LEFT(L1873,2)="15",AND(LEFT(M1873,2)&lt;&gt;"15",LEFT(M1873,2)&lt;&gt;"33"))),"x","")</f>
        <v/>
      </c>
      <c r="Y1873" s="39" t="str">
        <f>IF(AND(OR(LEFT(TH!L1873,2)="15",LEFT(TH!M1873,2)="15"),'152-CT'!$J$8=TH!F1873),"x","")</f>
        <v/>
      </c>
      <c r="Z1873" s="39" t="str">
        <f>IF(AND(OR(LEFT(TH!L1873,2)="15",LEFT(TH!M1873,2)="15"),TK!$E$7=TH!F1873),"x","")</f>
        <v/>
      </c>
      <c r="AA1873" s="39" t="str">
        <f>IF(AND(B1873&lt;=NKC!$N$8,B1873&gt;=NKC!$M$8),"x","")</f>
        <v/>
      </c>
      <c r="AB1873" s="821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 t="str">
        <f t="shared" si="101"/>
        <v/>
      </c>
      <c r="C1874" s="191"/>
      <c r="D1874" s="37"/>
      <c r="E1874" s="37"/>
      <c r="F1874" s="296"/>
      <c r="G1874" s="40"/>
      <c r="H1874" s="7"/>
      <c r="I1874" s="256"/>
      <c r="J1874" s="256"/>
      <c r="K1874" s="56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902" t="str">
        <f>IF(AND('341-CT'!$E$9=H1874,OR(LEFT(L1874,3)=$O$7,LEFT(M1874,3)=$O$7)),"x","")</f>
        <v/>
      </c>
      <c r="P1874" s="39" t="str">
        <f>IF(AND($B1874&gt;='111'!$N$11,$B1874&lt;='111'!$O$11,OR($L1874=$P$7,$M1874=$P$7)),"x","")</f>
        <v/>
      </c>
      <c r="Q1874" s="39" t="str">
        <f>IF(AND($L1874=$P$7,$B1874&lt;'111'!$N$11),"x","")</f>
        <v/>
      </c>
      <c r="R1874" s="39" t="str">
        <f>IF(AND($M1874=$P$7,$B1874&lt;'111'!$N$11),"x","")</f>
        <v/>
      </c>
      <c r="S1874" s="39" t="str">
        <f>IF(ISERROR(FIND('112'!$M$9,G1874,1)),"",IF((AND(FIND('112'!$M$9,G1874,1)&gt;=1,$B1874&gt;='112'!$N$8,$B1874&lt;='112'!$O$8,OR($L1874='112'!$I$6,$M1874='112'!$I$6))),"x",""))</f>
        <v/>
      </c>
      <c r="T1874" s="39" t="str">
        <f>IF(ISERROR(FIND('112'!$M$9,G1874,1)),"",IF((AND(LEFT(G1874,2)=LEFT('112'!$M$9,2),B1874&lt;'112'!$N$8,$L1874='112'!$I$6)),"x",""))</f>
        <v/>
      </c>
      <c r="U1874" s="39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39" t="str">
        <f>IF(OR(TH!L1874=TH!$W$7,M1874=TH!$W$7),"x","")</f>
        <v/>
      </c>
      <c r="X1874" s="39" t="str">
        <f>IF(AND(B1874&gt;='IN-NX'!$P$3,B1874&lt;='IN-NX'!$Q$3,'IN-NX'!$D$7=D1874,OR(LEFT(L1874,2)="15",AND(LEFT(M1874,2)&lt;&gt;"15",LEFT(M1874,2)&lt;&gt;"33"))),"x","")</f>
        <v/>
      </c>
      <c r="Y1874" s="39" t="str">
        <f>IF(AND(OR(LEFT(TH!L1874,2)="15",LEFT(TH!M1874,2)="15"),'152-CT'!$J$8=TH!F1874),"x","")</f>
        <v/>
      </c>
      <c r="Z1874" s="39" t="str">
        <f>IF(AND(OR(LEFT(TH!L1874,2)="15",LEFT(TH!M1874,2)="15"),TK!$E$7=TH!F1874),"x","")</f>
        <v/>
      </c>
      <c r="AA1874" s="39" t="str">
        <f>IF(AND(B1874&lt;=NKC!$N$8,B1874&gt;=NKC!$M$8),"x","")</f>
        <v/>
      </c>
      <c r="AB1874" s="821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 t="str">
        <f t="shared" si="101"/>
        <v/>
      </c>
      <c r="C1875" s="191"/>
      <c r="D1875" s="37"/>
      <c r="E1875" s="37"/>
      <c r="F1875" s="192"/>
      <c r="G1875" s="40"/>
      <c r="H1875" s="7"/>
      <c r="I1875" s="256"/>
      <c r="J1875" s="256"/>
      <c r="K1875" s="56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902" t="str">
        <f>IF(AND('341-CT'!$E$9=H1875,OR(LEFT(L1875,3)=$O$7,LEFT(M1875,3)=$O$7)),"x","")</f>
        <v/>
      </c>
      <c r="P1875" s="39" t="str">
        <f>IF(AND($B1875&gt;='111'!$N$11,$B1875&lt;='111'!$O$11,OR($L1875=$P$7,$M1875=$P$7)),"x","")</f>
        <v/>
      </c>
      <c r="Q1875" s="39" t="str">
        <f>IF(AND($L1875=$P$7,$B1875&lt;'111'!$N$11),"x","")</f>
        <v/>
      </c>
      <c r="R1875" s="39" t="str">
        <f>IF(AND($M1875=$P$7,$B1875&lt;'111'!$N$11),"x","")</f>
        <v/>
      </c>
      <c r="S1875" s="39" t="str">
        <f>IF(ISERROR(FIND('112'!$M$9,G1875,1)),"",IF((AND(FIND('112'!$M$9,G1875,1)&gt;=1,$B1875&gt;='112'!$N$8,$B1875&lt;='112'!$O$8,OR($L1875='112'!$I$6,$M1875='112'!$I$6))),"x",""))</f>
        <v/>
      </c>
      <c r="T1875" s="39" t="str">
        <f>IF(ISERROR(FIND('112'!$M$9,G1875,1)),"",IF((AND(LEFT(G1875,2)=LEFT('112'!$M$9,2),B1875&lt;'112'!$N$8,$L1875='112'!$I$6)),"x",""))</f>
        <v/>
      </c>
      <c r="U1875" s="39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39" t="str">
        <f>IF(OR(TH!L1875=TH!$W$7,M1875=TH!$W$7),"x","")</f>
        <v/>
      </c>
      <c r="X1875" s="39" t="str">
        <f>IF(AND(B1875&gt;='IN-NX'!$P$3,B1875&lt;='IN-NX'!$Q$3,'IN-NX'!$D$7=D1875,OR(LEFT(L1875,2)="15",AND(LEFT(M1875,2)&lt;&gt;"15",LEFT(M1875,2)&lt;&gt;"33"))),"x","")</f>
        <v/>
      </c>
      <c r="Y1875" s="39" t="str">
        <f>IF(AND(OR(LEFT(TH!L1875,2)="15",LEFT(TH!M1875,2)="15"),'152-CT'!$J$8=TH!F1875),"x","")</f>
        <v/>
      </c>
      <c r="Z1875" s="39" t="str">
        <f>IF(AND(OR(LEFT(TH!L1875,2)="15",LEFT(TH!M1875,2)="15"),TK!$E$7=TH!F1875),"x","")</f>
        <v/>
      </c>
      <c r="AA1875" s="39" t="str">
        <f>IF(AND(B1875&lt;=NKC!$N$8,B1875&gt;=NKC!$M$8),"x","")</f>
        <v/>
      </c>
      <c r="AB1875" s="821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 t="str">
        <f t="shared" si="101"/>
        <v/>
      </c>
      <c r="C1876" s="191"/>
      <c r="D1876" s="37"/>
      <c r="E1876" s="37"/>
      <c r="F1876" s="296"/>
      <c r="G1876" s="40"/>
      <c r="H1876" s="7"/>
      <c r="I1876" s="256"/>
      <c r="J1876" s="256"/>
      <c r="K1876" s="56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902" t="str">
        <f>IF(AND('341-CT'!$E$9=H1876,OR(LEFT(L1876,3)=$O$7,LEFT(M1876,3)=$O$7)),"x","")</f>
        <v/>
      </c>
      <c r="P1876" s="39" t="str">
        <f>IF(AND($B1876&gt;='111'!$N$11,$B1876&lt;='111'!$O$11,OR($L1876=$P$7,$M1876=$P$7)),"x","")</f>
        <v/>
      </c>
      <c r="Q1876" s="39" t="str">
        <f>IF(AND($L1876=$P$7,$B1876&lt;'111'!$N$11),"x","")</f>
        <v/>
      </c>
      <c r="R1876" s="39" t="str">
        <f>IF(AND($M1876=$P$7,$B1876&lt;'111'!$N$11),"x","")</f>
        <v/>
      </c>
      <c r="S1876" s="39" t="str">
        <f>IF(ISERROR(FIND('112'!$M$9,G1876,1)),"",IF((AND(FIND('112'!$M$9,G1876,1)&gt;=1,$B1876&gt;='112'!$N$8,$B1876&lt;='112'!$O$8,OR($L1876='112'!$I$6,$M1876='112'!$I$6))),"x",""))</f>
        <v/>
      </c>
      <c r="T1876" s="39" t="str">
        <f>IF(ISERROR(FIND('112'!$M$9,G1876,1)),"",IF((AND(LEFT(G1876,2)=LEFT('112'!$M$9,2),B1876&lt;'112'!$N$8,$L1876='112'!$I$6)),"x",""))</f>
        <v/>
      </c>
      <c r="U1876" s="39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39" t="str">
        <f>IF(OR(TH!L1876=TH!$W$7,M1876=TH!$W$7),"x","")</f>
        <v/>
      </c>
      <c r="X1876" s="39" t="str">
        <f>IF(AND(B1876&gt;='IN-NX'!$P$3,B1876&lt;='IN-NX'!$Q$3,'IN-NX'!$D$7=D1876,OR(LEFT(L1876,2)="15",AND(LEFT(M1876,2)&lt;&gt;"15",LEFT(M1876,2)&lt;&gt;"33"))),"x","")</f>
        <v/>
      </c>
      <c r="Y1876" s="39" t="str">
        <f>IF(AND(OR(LEFT(TH!L1876,2)="15",LEFT(TH!M1876,2)="15"),'152-CT'!$J$8=TH!F1876),"x","")</f>
        <v/>
      </c>
      <c r="Z1876" s="39" t="str">
        <f>IF(AND(OR(LEFT(TH!L1876,2)="15",LEFT(TH!M1876,2)="15"),TK!$E$7=TH!F1876),"x","")</f>
        <v/>
      </c>
      <c r="AA1876" s="39" t="str">
        <f>IF(AND(B1876&lt;=NKC!$N$8,B1876&gt;=NKC!$M$8),"x","")</f>
        <v/>
      </c>
      <c r="AB1876" s="821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 t="str">
        <f t="shared" si="101"/>
        <v/>
      </c>
      <c r="C1877" s="191"/>
      <c r="D1877" s="37"/>
      <c r="E1877" s="37"/>
      <c r="F1877" s="296"/>
      <c r="G1877" s="40"/>
      <c r="H1877" s="7"/>
      <c r="I1877" s="256"/>
      <c r="J1877" s="256"/>
      <c r="K1877" s="56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902" t="str">
        <f>IF(AND('341-CT'!$E$9=H1877,OR(LEFT(L1877,3)=$O$7,LEFT(M1877,3)=$O$7)),"x","")</f>
        <v/>
      </c>
      <c r="P1877" s="39" t="str">
        <f>IF(AND($B1877&gt;='111'!$N$11,$B1877&lt;='111'!$O$11,OR($L1877=$P$7,$M1877=$P$7)),"x","")</f>
        <v/>
      </c>
      <c r="Q1877" s="39" t="str">
        <f>IF(AND($L1877=$P$7,$B1877&lt;'111'!$N$11),"x","")</f>
        <v/>
      </c>
      <c r="R1877" s="39" t="str">
        <f>IF(AND($M1877=$P$7,$B1877&lt;'111'!$N$11),"x","")</f>
        <v/>
      </c>
      <c r="S1877" s="39" t="str">
        <f>IF(ISERROR(FIND('112'!$M$9,G1877,1)),"",IF((AND(FIND('112'!$M$9,G1877,1)&gt;=1,$B1877&gt;='112'!$N$8,$B1877&lt;='112'!$O$8,OR($L1877='112'!$I$6,$M1877='112'!$I$6))),"x",""))</f>
        <v/>
      </c>
      <c r="T1877" s="39" t="str">
        <f>IF(ISERROR(FIND('112'!$M$9,G1877,1)),"",IF((AND(LEFT(G1877,2)=LEFT('112'!$M$9,2),B1877&lt;'112'!$N$8,$L1877='112'!$I$6)),"x",""))</f>
        <v/>
      </c>
      <c r="U1877" s="39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39" t="str">
        <f>IF(OR(TH!L1877=TH!$W$7,M1877=TH!$W$7),"x","")</f>
        <v/>
      </c>
      <c r="X1877" s="39" t="str">
        <f>IF(AND(B1877&gt;='IN-NX'!$P$3,B1877&lt;='IN-NX'!$Q$3,'IN-NX'!$D$7=D1877,OR(LEFT(L1877,2)="15",AND(LEFT(M1877,2)&lt;&gt;"15",LEFT(M1877,2)&lt;&gt;"33"))),"x","")</f>
        <v/>
      </c>
      <c r="Y1877" s="39" t="str">
        <f>IF(AND(OR(LEFT(TH!L1877,2)="15",LEFT(TH!M1877,2)="15"),'152-CT'!$J$8=TH!F1877),"x","")</f>
        <v/>
      </c>
      <c r="Z1877" s="39" t="str">
        <f>IF(AND(OR(LEFT(TH!L1877,2)="15",LEFT(TH!M1877,2)="15"),TK!$E$7=TH!F1877),"x","")</f>
        <v/>
      </c>
      <c r="AA1877" s="39" t="str">
        <f>IF(AND(B1877&lt;=NKC!$N$8,B1877&gt;=NKC!$M$8),"x","")</f>
        <v/>
      </c>
      <c r="AB1877" s="821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101"/>
        <v/>
      </c>
      <c r="C1878" s="191"/>
      <c r="D1878" s="37"/>
      <c r="E1878" s="37"/>
      <c r="F1878" s="296"/>
      <c r="G1878" s="40"/>
      <c r="H1878" s="7"/>
      <c r="I1878" s="256"/>
      <c r="J1878" s="256"/>
      <c r="K1878" s="56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902" t="str">
        <f>IF(AND('341-CT'!$E$9=H1878,OR(LEFT(L1878,3)=$O$7,LEFT(M1878,3)=$O$7)),"x","")</f>
        <v/>
      </c>
      <c r="P1878" s="39" t="str">
        <f>IF(AND($B1878&gt;='111'!$N$11,$B1878&lt;='111'!$O$11,OR($L1878=$P$7,$M1878=$P$7)),"x","")</f>
        <v/>
      </c>
      <c r="Q1878" s="39" t="str">
        <f>IF(AND($L1878=$P$7,$B1878&lt;'111'!$N$11),"x","")</f>
        <v/>
      </c>
      <c r="R1878" s="39" t="str">
        <f>IF(AND($M1878=$P$7,$B1878&lt;'111'!$N$11),"x","")</f>
        <v/>
      </c>
      <c r="S1878" s="39" t="str">
        <f>IF(ISERROR(FIND('112'!$M$9,G1878,1)),"",IF((AND(FIND('112'!$M$9,G1878,1)&gt;=1,$B1878&gt;='112'!$N$8,$B1878&lt;='112'!$O$8,OR($L1878='112'!$I$6,$M1878='112'!$I$6))),"x",""))</f>
        <v/>
      </c>
      <c r="T1878" s="39" t="str">
        <f>IF(ISERROR(FIND('112'!$M$9,G1878,1)),"",IF((AND(LEFT(G1878,2)=LEFT('112'!$M$9,2),B1878&lt;'112'!$N$8,$L1878='112'!$I$6)),"x",""))</f>
        <v/>
      </c>
      <c r="U1878" s="39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39" t="str">
        <f>IF(OR(TH!L1878=TH!$W$7,M1878=TH!$W$7),"x","")</f>
        <v/>
      </c>
      <c r="X1878" s="39" t="str">
        <f>IF(AND(B1878&gt;='IN-NX'!$P$3,B1878&lt;='IN-NX'!$Q$3,'IN-NX'!$D$7=D1878,OR(LEFT(L1878,2)="15",AND(LEFT(M1878,2)&lt;&gt;"15",LEFT(M1878,2)&lt;&gt;"33"))),"x","")</f>
        <v/>
      </c>
      <c r="Y1878" s="39" t="str">
        <f>IF(AND(OR(LEFT(TH!L1878,2)="15",LEFT(TH!M1878,2)="15"),'152-CT'!$J$8=TH!F1878),"x","")</f>
        <v/>
      </c>
      <c r="Z1878" s="39" t="str">
        <f>IF(AND(OR(LEFT(TH!L1878,2)="15",LEFT(TH!M1878,2)="15"),TK!$E$7=TH!F1878),"x","")</f>
        <v/>
      </c>
      <c r="AA1878" s="39" t="str">
        <f>IF(AND(B1878&lt;=NKC!$N$8,B1878&gt;=NKC!$M$8),"x","")</f>
        <v/>
      </c>
      <c r="AB1878" s="821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101"/>
        <v/>
      </c>
      <c r="C1879" s="191"/>
      <c r="D1879" s="37"/>
      <c r="E1879" s="37"/>
      <c r="F1879" s="296"/>
      <c r="G1879" s="40"/>
      <c r="H1879" s="7"/>
      <c r="I1879" s="256"/>
      <c r="J1879" s="256"/>
      <c r="K1879" s="56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902" t="str">
        <f>IF(AND('341-CT'!$E$9=H1879,OR(LEFT(L1879,3)=$O$7,LEFT(M1879,3)=$O$7)),"x","")</f>
        <v/>
      </c>
      <c r="P1879" s="39" t="str">
        <f>IF(AND($B1879&gt;='111'!$N$11,$B1879&lt;='111'!$O$11,OR($L1879=$P$7,$M1879=$P$7)),"x","")</f>
        <v/>
      </c>
      <c r="Q1879" s="39" t="str">
        <f>IF(AND($L1879=$P$7,$B1879&lt;'111'!$N$11),"x","")</f>
        <v/>
      </c>
      <c r="R1879" s="39" t="str">
        <f>IF(AND($M1879=$P$7,$B1879&lt;'111'!$N$11),"x","")</f>
        <v/>
      </c>
      <c r="S1879" s="39" t="str">
        <f>IF(ISERROR(FIND('112'!$M$9,G1879,1)),"",IF((AND(FIND('112'!$M$9,G1879,1)&gt;=1,$B1879&gt;='112'!$N$8,$B1879&lt;='112'!$O$8,OR($L1879='112'!$I$6,$M1879='112'!$I$6))),"x",""))</f>
        <v/>
      </c>
      <c r="T1879" s="39" t="str">
        <f>IF(ISERROR(FIND('112'!$M$9,G1879,1)),"",IF((AND(LEFT(G1879,2)=LEFT('112'!$M$9,2),B1879&lt;'112'!$N$8,$L1879='112'!$I$6)),"x",""))</f>
        <v/>
      </c>
      <c r="U1879" s="39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39" t="str">
        <f>IF(OR(TH!L1879=TH!$W$7,M1879=TH!$W$7),"x","")</f>
        <v/>
      </c>
      <c r="X1879" s="39" t="str">
        <f>IF(AND(B1879&gt;='IN-NX'!$P$3,B1879&lt;='IN-NX'!$Q$3,'IN-NX'!$D$7=D1879,OR(LEFT(L1879,2)="15",AND(LEFT(M1879,2)&lt;&gt;"15",LEFT(M1879,2)&lt;&gt;"33"))),"x","")</f>
        <v/>
      </c>
      <c r="Y1879" s="39" t="str">
        <f>IF(AND(OR(LEFT(TH!L1879,2)="15",LEFT(TH!M1879,2)="15"),'152-CT'!$J$8=TH!F1879),"x","")</f>
        <v/>
      </c>
      <c r="Z1879" s="39" t="str">
        <f>IF(AND(OR(LEFT(TH!L1879,2)="15",LEFT(TH!M1879,2)="15"),TK!$E$7=TH!F1879),"x","")</f>
        <v/>
      </c>
      <c r="AA1879" s="39" t="str">
        <f>IF(AND(B1879&lt;=NKC!$N$8,B1879&gt;=NKC!$M$8),"x","")</f>
        <v/>
      </c>
      <c r="AB1879" s="821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101"/>
        <v/>
      </c>
      <c r="C1880" s="191"/>
      <c r="D1880" s="37"/>
      <c r="E1880" s="37"/>
      <c r="F1880" s="296"/>
      <c r="G1880" s="40"/>
      <c r="H1880" s="7"/>
      <c r="I1880" s="256"/>
      <c r="J1880" s="256"/>
      <c r="K1880" s="56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902" t="str">
        <f>IF(AND('341-CT'!$E$9=H1880,OR(LEFT(L1880,3)=$O$7,LEFT(M1880,3)=$O$7)),"x","")</f>
        <v/>
      </c>
      <c r="P1880" s="39" t="str">
        <f>IF(AND($B1880&gt;='111'!$N$11,$B1880&lt;='111'!$O$11,OR($L1880=$P$7,$M1880=$P$7)),"x","")</f>
        <v/>
      </c>
      <c r="Q1880" s="39" t="str">
        <f>IF(AND($L1880=$P$7,$B1880&lt;'111'!$N$11),"x","")</f>
        <v/>
      </c>
      <c r="R1880" s="39" t="str">
        <f>IF(AND($M1880=$P$7,$B1880&lt;'111'!$N$11),"x","")</f>
        <v/>
      </c>
      <c r="S1880" s="39" t="str">
        <f>IF(ISERROR(FIND('112'!$M$9,G1880,1)),"",IF((AND(FIND('112'!$M$9,G1880,1)&gt;=1,$B1880&gt;='112'!$N$8,$B1880&lt;='112'!$O$8,OR($L1880='112'!$I$6,$M1880='112'!$I$6))),"x",""))</f>
        <v/>
      </c>
      <c r="T1880" s="39" t="str">
        <f>IF(ISERROR(FIND('112'!$M$9,G1880,1)),"",IF((AND(LEFT(G1880,2)=LEFT('112'!$M$9,2),B1880&lt;'112'!$N$8,$L1880='112'!$I$6)),"x",""))</f>
        <v/>
      </c>
      <c r="U1880" s="39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39" t="str">
        <f>IF(OR(TH!L1880=TH!$W$7,M1880=TH!$W$7),"x","")</f>
        <v/>
      </c>
      <c r="X1880" s="39" t="str">
        <f>IF(AND(B1880&gt;='IN-NX'!$P$3,B1880&lt;='IN-NX'!$Q$3,'IN-NX'!$D$7=D1880,OR(LEFT(L1880,2)="15",AND(LEFT(M1880,2)&lt;&gt;"15",LEFT(M1880,2)&lt;&gt;"33"))),"x","")</f>
        <v/>
      </c>
      <c r="Y1880" s="39" t="str">
        <f>IF(AND(OR(LEFT(TH!L1880,2)="15",LEFT(TH!M1880,2)="15"),'152-CT'!$J$8=TH!F1880),"x","")</f>
        <v/>
      </c>
      <c r="Z1880" s="39" t="str">
        <f>IF(AND(OR(LEFT(TH!L1880,2)="15",LEFT(TH!M1880,2)="15"),TK!$E$7=TH!F1880),"x","")</f>
        <v/>
      </c>
      <c r="AA1880" s="39" t="str">
        <f>IF(AND(B1880&lt;=NKC!$N$8,B1880&gt;=NKC!$M$8),"x","")</f>
        <v/>
      </c>
      <c r="AB1880" s="821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si="101"/>
        <v/>
      </c>
      <c r="C1881" s="191"/>
      <c r="D1881" s="37"/>
      <c r="E1881" s="37"/>
      <c r="F1881" s="192"/>
      <c r="G1881" s="468"/>
      <c r="H1881" s="193"/>
      <c r="I1881" s="256"/>
      <c r="J1881" s="256"/>
      <c r="K1881" s="56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902" t="str">
        <f>IF(AND('341-CT'!$E$9=H1881,OR(LEFT(L1881,3)=$O$7,LEFT(M1881,3)=$O$7)),"x","")</f>
        <v/>
      </c>
      <c r="P1881" s="39" t="str">
        <f>IF(AND($B1881&gt;='111'!$N$11,$B1881&lt;='111'!$O$11,OR($L1881=$P$7,$M1881=$P$7)),"x","")</f>
        <v/>
      </c>
      <c r="Q1881" s="39" t="str">
        <f>IF(AND($L1881=$P$7,$B1881&lt;'111'!$N$11),"x","")</f>
        <v/>
      </c>
      <c r="R1881" s="39" t="str">
        <f>IF(AND($M1881=$P$7,$B1881&lt;'111'!$N$11),"x","")</f>
        <v/>
      </c>
      <c r="S1881" s="39" t="str">
        <f>IF(ISERROR(FIND('112'!$M$9,G1881,1)),"",IF((AND(FIND('112'!$M$9,G1881,1)&gt;=1,$B1881&gt;='112'!$N$8,$B1881&lt;='112'!$O$8,OR($L1881='112'!$I$6,$M1881='112'!$I$6))),"x",""))</f>
        <v/>
      </c>
      <c r="T1881" s="39" t="str">
        <f>IF(ISERROR(FIND('112'!$M$9,G1881,1)),"",IF((AND(LEFT(G1881,2)=LEFT('112'!$M$9,2),B1881&lt;'112'!$N$8,$L1881='112'!$I$6)),"x",""))</f>
        <v/>
      </c>
      <c r="U1881" s="39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39" t="str">
        <f>IF(OR(TH!L1881=TH!$W$7,M1881=TH!$W$7),"x","")</f>
        <v/>
      </c>
      <c r="X1881" s="39" t="str">
        <f>IF(AND(B1881&gt;='IN-NX'!$P$3,B1881&lt;='IN-NX'!$Q$3,'IN-NX'!$D$7=D1881,OR(LEFT(L1881,2)="15",AND(LEFT(M1881,2)&lt;&gt;"15",LEFT(M1881,2)&lt;&gt;"33"))),"x","")</f>
        <v/>
      </c>
      <c r="Y1881" s="39" t="str">
        <f>IF(AND(OR(LEFT(TH!L1881,2)="15",LEFT(TH!M1881,2)="15"),'152-CT'!$J$8=TH!F1881),"x","")</f>
        <v/>
      </c>
      <c r="Z1881" s="39" t="str">
        <f>IF(AND(OR(LEFT(TH!L1881,2)="15",LEFT(TH!M1881,2)="15"),TK!$E$7=TH!F1881),"x","")</f>
        <v/>
      </c>
      <c r="AA1881" s="39" t="str">
        <f>IF(AND(B1881&lt;=NKC!$N$8,B1881&gt;=NKC!$M$8),"x","")</f>
        <v/>
      </c>
      <c r="AB1881" s="821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101"/>
        <v/>
      </c>
      <c r="C1882" s="191"/>
      <c r="D1882" s="37"/>
      <c r="E1882" s="37"/>
      <c r="F1882" s="192"/>
      <c r="G1882" s="468"/>
      <c r="H1882" s="193"/>
      <c r="I1882" s="256"/>
      <c r="J1882" s="256"/>
      <c r="K1882" s="56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902" t="str">
        <f>IF(AND('341-CT'!$E$9=H1882,OR(LEFT(L1882,3)=$O$7,LEFT(M1882,3)=$O$7)),"x","")</f>
        <v/>
      </c>
      <c r="P1882" s="39" t="str">
        <f>IF(AND($B1882&gt;='111'!$N$11,$B1882&lt;='111'!$O$11,OR($L1882=$P$7,$M1882=$P$7)),"x","")</f>
        <v/>
      </c>
      <c r="Q1882" s="39" t="str">
        <f>IF(AND($L1882=$P$7,$B1882&lt;'111'!$N$11),"x","")</f>
        <v/>
      </c>
      <c r="R1882" s="39" t="str">
        <f>IF(AND($M1882=$P$7,$B1882&lt;'111'!$N$11),"x","")</f>
        <v/>
      </c>
      <c r="S1882" s="39" t="str">
        <f>IF(ISERROR(FIND('112'!$M$9,G1882,1)),"",IF((AND(FIND('112'!$M$9,G1882,1)&gt;=1,$B1882&gt;='112'!$N$8,$B1882&lt;='112'!$O$8,OR($L1882='112'!$I$6,$M1882='112'!$I$6))),"x",""))</f>
        <v/>
      </c>
      <c r="T1882" s="39" t="str">
        <f>IF(ISERROR(FIND('112'!$M$9,G1882,1)),"",IF((AND(LEFT(G1882,2)=LEFT('112'!$M$9,2),B1882&lt;'112'!$N$8,$L1882='112'!$I$6)),"x",""))</f>
        <v/>
      </c>
      <c r="U1882" s="39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39" t="str">
        <f>IF(OR(TH!L1882=TH!$W$7,M1882=TH!$W$7),"x","")</f>
        <v/>
      </c>
      <c r="X1882" s="39" t="str">
        <f>IF(AND(B1882&gt;='IN-NX'!$P$3,B1882&lt;='IN-NX'!$Q$3,'IN-NX'!$D$7=D1882,OR(LEFT(L1882,2)="15",AND(LEFT(M1882,2)&lt;&gt;"15",LEFT(M1882,2)&lt;&gt;"33"))),"x","")</f>
        <v/>
      </c>
      <c r="Y1882" s="39" t="str">
        <f>IF(AND(OR(LEFT(TH!L1882,2)="15",LEFT(TH!M1882,2)="15"),'152-CT'!$J$8=TH!F1882),"x","")</f>
        <v/>
      </c>
      <c r="Z1882" s="39" t="str">
        <f>IF(AND(OR(LEFT(TH!L1882,2)="15",LEFT(TH!M1882,2)="15"),TK!$E$7=TH!F1882),"x","")</f>
        <v/>
      </c>
      <c r="AA1882" s="39" t="str">
        <f>IF(AND(B1882&lt;=NKC!$N$8,B1882&gt;=NKC!$M$8),"x","")</f>
        <v/>
      </c>
      <c r="AB1882" s="821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101"/>
        <v/>
      </c>
      <c r="C1883" s="191"/>
      <c r="D1883" s="37"/>
      <c r="E1883" s="37"/>
      <c r="F1883" s="192"/>
      <c r="G1883" s="468"/>
      <c r="H1883" s="193"/>
      <c r="I1883" s="256"/>
      <c r="J1883" s="256"/>
      <c r="K1883" s="56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902" t="str">
        <f>IF(AND('341-CT'!$E$9=H1883,OR(LEFT(L1883,3)=$O$7,LEFT(M1883,3)=$O$7)),"x","")</f>
        <v/>
      </c>
      <c r="P1883" s="39" t="str">
        <f>IF(AND($B1883&gt;='111'!$N$11,$B1883&lt;='111'!$O$11,OR($L1883=$P$7,$M1883=$P$7)),"x","")</f>
        <v/>
      </c>
      <c r="Q1883" s="39" t="str">
        <f>IF(AND($L1883=$P$7,$B1883&lt;'111'!$N$11),"x","")</f>
        <v/>
      </c>
      <c r="R1883" s="39" t="str">
        <f>IF(AND($M1883=$P$7,$B1883&lt;'111'!$N$11),"x","")</f>
        <v/>
      </c>
      <c r="S1883" s="39" t="str">
        <f>IF(ISERROR(FIND('112'!$M$9,G1883,1)),"",IF((AND(FIND('112'!$M$9,G1883,1)&gt;=1,$B1883&gt;='112'!$N$8,$B1883&lt;='112'!$O$8,OR($L1883='112'!$I$6,$M1883='112'!$I$6))),"x",""))</f>
        <v/>
      </c>
      <c r="T1883" s="39" t="str">
        <f>IF(ISERROR(FIND('112'!$M$9,G1883,1)),"",IF((AND(LEFT(G1883,2)=LEFT('112'!$M$9,2),B1883&lt;'112'!$N$8,$L1883='112'!$I$6)),"x",""))</f>
        <v/>
      </c>
      <c r="U1883" s="39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39" t="str">
        <f>IF(OR(TH!L1883=TH!$W$7,M1883=TH!$W$7),"x","")</f>
        <v/>
      </c>
      <c r="X1883" s="39" t="str">
        <f>IF(AND(B1883&gt;='IN-NX'!$P$3,B1883&lt;='IN-NX'!$Q$3,'IN-NX'!$D$7=D1883,OR(LEFT(L1883,2)="15",AND(LEFT(M1883,2)&lt;&gt;"15",LEFT(M1883,2)&lt;&gt;"33"))),"x","")</f>
        <v/>
      </c>
      <c r="Y1883" s="39" t="str">
        <f>IF(AND(OR(LEFT(TH!L1883,2)="15",LEFT(TH!M1883,2)="15"),'152-CT'!$J$8=TH!F1883),"x","")</f>
        <v/>
      </c>
      <c r="Z1883" s="39" t="str">
        <f>IF(AND(OR(LEFT(TH!L1883,2)="15",LEFT(TH!M1883,2)="15"),TK!$E$7=TH!F1883),"x","")</f>
        <v/>
      </c>
      <c r="AA1883" s="39" t="str">
        <f>IF(AND(B1883&lt;=NKC!$N$8,B1883&gt;=NKC!$M$8),"x","")</f>
        <v/>
      </c>
      <c r="AB1883" s="821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101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902" t="str">
        <f>IF(AND('341-CT'!$E$9=H1884,OR(LEFT(L1884,3)=$O$7,LEFT(M1884,3)=$O$7)),"x","")</f>
        <v/>
      </c>
      <c r="P1884" s="39" t="str">
        <f>IF(AND($B1884&gt;='111'!$N$11,$B1884&lt;='111'!$O$11,OR($L1884=$P$7,$M1884=$P$7)),"x","")</f>
        <v/>
      </c>
      <c r="Q1884" s="39" t="str">
        <f>IF(AND($L1884=$P$7,$B1884&lt;'111'!$N$11),"x","")</f>
        <v/>
      </c>
      <c r="R1884" s="39" t="str">
        <f>IF(AND($M1884=$P$7,$B1884&lt;'111'!$N$11),"x","")</f>
        <v/>
      </c>
      <c r="S1884" s="39" t="str">
        <f>IF(ISERROR(FIND('112'!$M$9,G1884,1)),"",IF((AND(FIND('112'!$M$9,G1884,1)&gt;=1,$B1884&gt;='112'!$N$8,$B1884&lt;='112'!$O$8,OR($L1884='112'!$I$6,$M1884='112'!$I$6))),"x",""))</f>
        <v/>
      </c>
      <c r="T1884" s="39" t="str">
        <f>IF(ISERROR(FIND('112'!$M$9,G1884,1)),"",IF((AND(LEFT(G1884,2)=LEFT('112'!$M$9,2),B1884&lt;'112'!$N$8,$L1884='112'!$I$6)),"x",""))</f>
        <v/>
      </c>
      <c r="U1884" s="39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39" t="str">
        <f>IF(OR(TH!L1884=TH!$W$7,M1884=TH!$W$7),"x","")</f>
        <v/>
      </c>
      <c r="X1884" s="39" t="str">
        <f>IF(AND(B1884&gt;='IN-NX'!$P$3,B1884&lt;='IN-NX'!$Q$3,'IN-NX'!$D$7=D1884,OR(LEFT(L1884,2)="15",AND(LEFT(M1884,2)&lt;&gt;"15",LEFT(M1884,2)&lt;&gt;"33"))),"x","")</f>
        <v/>
      </c>
      <c r="Y1884" s="39" t="str">
        <f>IF(AND(OR(LEFT(TH!L1884,2)="15",LEFT(TH!M1884,2)="15"),'152-CT'!$J$8=TH!F1884),"x","")</f>
        <v/>
      </c>
      <c r="Z1884" s="39" t="str">
        <f>IF(AND(OR(LEFT(TH!L1884,2)="15",LEFT(TH!M1884,2)="15"),TK!$E$7=TH!F1884),"x","")</f>
        <v/>
      </c>
      <c r="AA1884" s="39" t="str">
        <f>IF(AND(B1884&lt;=NKC!$N$8,B1884&gt;=NKC!$M$8),"x","")</f>
        <v/>
      </c>
      <c r="AB1884" s="821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101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902" t="str">
        <f>IF(AND('341-CT'!$E$9=H1885,OR(LEFT(L1885,3)=$O$7,LEFT(M1885,3)=$O$7)),"x","")</f>
        <v/>
      </c>
      <c r="P1885" s="39" t="str">
        <f>IF(AND($B1885&gt;='111'!$N$11,$B1885&lt;='111'!$O$11,OR($L1885=$P$7,$M1885=$P$7)),"x","")</f>
        <v/>
      </c>
      <c r="Q1885" s="39" t="str">
        <f>IF(AND($L1885=$P$7,$B1885&lt;'111'!$N$11),"x","")</f>
        <v/>
      </c>
      <c r="R1885" s="39" t="str">
        <f>IF(AND($M1885=$P$7,$B1885&lt;'111'!$N$11),"x","")</f>
        <v/>
      </c>
      <c r="S1885" s="39" t="str">
        <f>IF(ISERROR(FIND('112'!$M$9,G1885,1)),"",IF((AND(FIND('112'!$M$9,G1885,1)&gt;=1,$B1885&gt;='112'!$N$8,$B1885&lt;='112'!$O$8,OR($L1885='112'!$I$6,$M1885='112'!$I$6))),"x",""))</f>
        <v/>
      </c>
      <c r="T1885" s="39" t="str">
        <f>IF(ISERROR(FIND('112'!$M$9,G1885,1)),"",IF((AND(LEFT(G1885,2)=LEFT('112'!$M$9,2),B1885&lt;'112'!$N$8,$L1885='112'!$I$6)),"x",""))</f>
        <v/>
      </c>
      <c r="U1885" s="39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39" t="str">
        <f>IF(OR(TH!L1885=TH!$W$7,M1885=TH!$W$7),"x","")</f>
        <v/>
      </c>
      <c r="X1885" s="39" t="str">
        <f>IF(AND(B1885&gt;='IN-NX'!$P$3,B1885&lt;='IN-NX'!$Q$3,'IN-NX'!$D$7=D1885,OR(LEFT(L1885,2)="15",AND(LEFT(M1885,2)&lt;&gt;"15",LEFT(M1885,2)&lt;&gt;"33"))),"x","")</f>
        <v/>
      </c>
      <c r="Y1885" s="39" t="str">
        <f>IF(AND(OR(LEFT(TH!L1885,2)="15",LEFT(TH!M1885,2)="15"),'152-CT'!$J$8=TH!F1885),"x","")</f>
        <v/>
      </c>
      <c r="Z1885" s="39" t="str">
        <f>IF(AND(OR(LEFT(TH!L1885,2)="15",LEFT(TH!M1885,2)="15"),TK!$E$7=TH!F1885),"x","")</f>
        <v/>
      </c>
      <c r="AA1885" s="39" t="str">
        <f>IF(AND(B1885&lt;=NKC!$N$8,B1885&gt;=NKC!$M$8),"x","")</f>
        <v/>
      </c>
      <c r="AB1885" s="821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101"/>
        <v/>
      </c>
      <c r="C1886" s="191"/>
      <c r="D1886" s="37"/>
      <c r="E1886" s="37"/>
      <c r="F1886" s="192"/>
      <c r="G1886" s="468"/>
      <c r="H1886" s="193"/>
      <c r="I1886" s="256"/>
      <c r="J1886" s="256"/>
      <c r="K1886" s="56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902" t="str">
        <f>IF(AND('341-CT'!$E$9=H1886,OR(LEFT(L1886,3)=$O$7,LEFT(M1886,3)=$O$7)),"x","")</f>
        <v/>
      </c>
      <c r="P1886" s="39" t="str">
        <f>IF(AND($B1886&gt;='111'!$N$11,$B1886&lt;='111'!$O$11,OR($L1886=$P$7,$M1886=$P$7)),"x","")</f>
        <v/>
      </c>
      <c r="Q1886" s="39" t="str">
        <f>IF(AND($L1886=$P$7,$B1886&lt;'111'!$N$11),"x","")</f>
        <v/>
      </c>
      <c r="R1886" s="39" t="str">
        <f>IF(AND($M1886=$P$7,$B1886&lt;'111'!$N$11),"x","")</f>
        <v/>
      </c>
      <c r="S1886" s="39" t="str">
        <f>IF(ISERROR(FIND('112'!$M$9,G1886,1)),"",IF((AND(FIND('112'!$M$9,G1886,1)&gt;=1,$B1886&gt;='112'!$N$8,$B1886&lt;='112'!$O$8,OR($L1886='112'!$I$6,$M1886='112'!$I$6))),"x",""))</f>
        <v/>
      </c>
      <c r="T1886" s="39" t="str">
        <f>IF(ISERROR(FIND('112'!$M$9,G1886,1)),"",IF((AND(LEFT(G1886,2)=LEFT('112'!$M$9,2),B1886&lt;'112'!$N$8,$L1886='112'!$I$6)),"x",""))</f>
        <v/>
      </c>
      <c r="U1886" s="39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39" t="str">
        <f>IF(OR(TH!L1886=TH!$W$7,M1886=TH!$W$7),"x","")</f>
        <v/>
      </c>
      <c r="X1886" s="39" t="str">
        <f>IF(AND(B1886&gt;='IN-NX'!$P$3,B1886&lt;='IN-NX'!$Q$3,'IN-NX'!$D$7=D1886,OR(LEFT(L1886,2)="15",AND(LEFT(M1886,2)&lt;&gt;"15",LEFT(M1886,2)&lt;&gt;"33"))),"x","")</f>
        <v/>
      </c>
      <c r="Y1886" s="39" t="str">
        <f>IF(AND(OR(LEFT(TH!L1886,2)="15",LEFT(TH!M1886,2)="15"),'152-CT'!$J$8=TH!F1886),"x","")</f>
        <v/>
      </c>
      <c r="Z1886" s="39" t="str">
        <f>IF(AND(OR(LEFT(TH!L1886,2)="15",LEFT(TH!M1886,2)="15"),TK!$E$7=TH!F1886),"x","")</f>
        <v/>
      </c>
      <c r="AA1886" s="39" t="str">
        <f>IF(AND(B1886&lt;=NKC!$N$8,B1886&gt;=NKC!$M$8),"x","")</f>
        <v/>
      </c>
      <c r="AB1886" s="821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si="101"/>
        <v/>
      </c>
      <c r="C1887" s="191"/>
      <c r="D1887" s="37"/>
      <c r="E1887" s="37"/>
      <c r="F1887" s="192"/>
      <c r="G1887" s="468"/>
      <c r="H1887" s="193"/>
      <c r="I1887" s="256"/>
      <c r="J1887" s="256"/>
      <c r="K1887" s="56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902" t="str">
        <f>IF(AND('341-CT'!$E$9=H1887,OR(LEFT(L1887,3)=$O$7,LEFT(M1887,3)=$O$7)),"x","")</f>
        <v/>
      </c>
      <c r="P1887" s="39" t="str">
        <f>IF(AND($B1887&gt;='111'!$N$11,$B1887&lt;='111'!$O$11,OR($L1887=$P$7,$M1887=$P$7)),"x","")</f>
        <v/>
      </c>
      <c r="Q1887" s="39" t="str">
        <f>IF(AND($L1887=$P$7,$B1887&lt;'111'!$N$11),"x","")</f>
        <v/>
      </c>
      <c r="R1887" s="39" t="str">
        <f>IF(AND($M1887=$P$7,$B1887&lt;'111'!$N$11),"x","")</f>
        <v/>
      </c>
      <c r="S1887" s="39" t="str">
        <f>IF(ISERROR(FIND('112'!$M$9,G1887,1)),"",IF((AND(FIND('112'!$M$9,G1887,1)&gt;=1,$B1887&gt;='112'!$N$8,$B1887&lt;='112'!$O$8,OR($L1887='112'!$I$6,$M1887='112'!$I$6))),"x",""))</f>
        <v/>
      </c>
      <c r="T1887" s="39" t="str">
        <f>IF(ISERROR(FIND('112'!$M$9,G1887,1)),"",IF((AND(LEFT(G1887,2)=LEFT('112'!$M$9,2),B1887&lt;'112'!$N$8,$L1887='112'!$I$6)),"x",""))</f>
        <v/>
      </c>
      <c r="U1887" s="39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39" t="str">
        <f>IF(OR(TH!L1887=TH!$W$7,M1887=TH!$W$7),"x","")</f>
        <v/>
      </c>
      <c r="X1887" s="39" t="str">
        <f>IF(AND(B1887&gt;='IN-NX'!$P$3,B1887&lt;='IN-NX'!$Q$3,'IN-NX'!$D$7=D1887,OR(LEFT(L1887,2)="15",AND(LEFT(M1887,2)&lt;&gt;"15",LEFT(M1887,2)&lt;&gt;"33"))),"x","")</f>
        <v/>
      </c>
      <c r="Y1887" s="39" t="str">
        <f>IF(AND(OR(LEFT(TH!L1887,2)="15",LEFT(TH!M1887,2)="15"),'152-CT'!$J$8=TH!F1887),"x","")</f>
        <v/>
      </c>
      <c r="Z1887" s="39" t="str">
        <f>IF(AND(OR(LEFT(TH!L1887,2)="15",LEFT(TH!M1887,2)="15"),TK!$E$7=TH!F1887),"x","")</f>
        <v/>
      </c>
      <c r="AA1887" s="39" t="str">
        <f>IF(AND(B1887&lt;=NKC!$N$8,B1887&gt;=NKC!$M$8),"x","")</f>
        <v/>
      </c>
      <c r="AB1887" s="821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101"/>
        <v/>
      </c>
      <c r="C1888" s="191"/>
      <c r="D1888" s="37"/>
      <c r="E1888" s="37"/>
      <c r="F1888" s="192"/>
      <c r="G1888" s="468"/>
      <c r="H1888" s="193"/>
      <c r="I1888" s="256"/>
      <c r="J1888" s="256"/>
      <c r="K1888" s="56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902" t="str">
        <f>IF(AND('341-CT'!$E$9=H1888,OR(LEFT(L1888,3)=$O$7,LEFT(M1888,3)=$O$7)),"x","")</f>
        <v/>
      </c>
      <c r="P1888" s="39" t="str">
        <f>IF(AND($B1888&gt;='111'!$N$11,$B1888&lt;='111'!$O$11,OR($L1888=$P$7,$M1888=$P$7)),"x","")</f>
        <v/>
      </c>
      <c r="Q1888" s="39" t="str">
        <f>IF(AND($L1888=$P$7,$B1888&lt;'111'!$N$11),"x","")</f>
        <v/>
      </c>
      <c r="R1888" s="39" t="str">
        <f>IF(AND($M1888=$P$7,$B1888&lt;'111'!$N$11),"x","")</f>
        <v/>
      </c>
      <c r="S1888" s="39" t="str">
        <f>IF(ISERROR(FIND('112'!$M$9,G1888,1)),"",IF((AND(FIND('112'!$M$9,G1888,1)&gt;=1,$B1888&gt;='112'!$N$8,$B1888&lt;='112'!$O$8,OR($L1888='112'!$I$6,$M1888='112'!$I$6))),"x",""))</f>
        <v/>
      </c>
      <c r="T1888" s="39" t="str">
        <f>IF(ISERROR(FIND('112'!$M$9,G1888,1)),"",IF((AND(LEFT(G1888,2)=LEFT('112'!$M$9,2),B1888&lt;'112'!$N$8,$L1888='112'!$I$6)),"x",""))</f>
        <v/>
      </c>
      <c r="U1888" s="39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39" t="str">
        <f>IF(OR(TH!L1888=TH!$W$7,M1888=TH!$W$7),"x","")</f>
        <v/>
      </c>
      <c r="X1888" s="39" t="str">
        <f>IF(AND(B1888&gt;='IN-NX'!$P$3,B1888&lt;='IN-NX'!$Q$3,'IN-NX'!$D$7=D1888,OR(LEFT(L1888,2)="15",AND(LEFT(M1888,2)&lt;&gt;"15",LEFT(M1888,2)&lt;&gt;"33"))),"x","")</f>
        <v/>
      </c>
      <c r="Y1888" s="39" t="str">
        <f>IF(AND(OR(LEFT(TH!L1888,2)="15",LEFT(TH!M1888,2)="15"),'152-CT'!$J$8=TH!F1888),"x","")</f>
        <v/>
      </c>
      <c r="Z1888" s="39" t="str">
        <f>IF(AND(OR(LEFT(TH!L1888,2)="15",LEFT(TH!M1888,2)="15"),TK!$E$7=TH!F1888),"x","")</f>
        <v/>
      </c>
      <c r="AA1888" s="39" t="str">
        <f>IF(AND(B1888&lt;=NKC!$N$8,B1888&gt;=NKC!$M$8),"x","")</f>
        <v/>
      </c>
      <c r="AB1888" s="821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101"/>
        <v/>
      </c>
      <c r="C1889" s="191"/>
      <c r="D1889" s="37"/>
      <c r="E1889" s="37"/>
      <c r="F1889" s="192"/>
      <c r="G1889" s="468"/>
      <c r="H1889" s="193"/>
      <c r="I1889" s="256"/>
      <c r="J1889" s="256"/>
      <c r="K1889" s="568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902" t="str">
        <f>IF(AND('341-CT'!$E$9=H1889,OR(LEFT(L1889,3)=$O$7,LEFT(M1889,3)=$O$7)),"x","")</f>
        <v/>
      </c>
      <c r="P1889" s="39" t="str">
        <f>IF(AND($B1889&gt;='111'!$N$11,$B1889&lt;='111'!$O$11,OR($L1889=$P$7,$M1889=$P$7)),"x","")</f>
        <v/>
      </c>
      <c r="Q1889" s="39" t="str">
        <f>IF(AND($L1889=$P$7,$B1889&lt;'111'!$N$11),"x","")</f>
        <v/>
      </c>
      <c r="R1889" s="39" t="str">
        <f>IF(AND($M1889=$P$7,$B1889&lt;'111'!$N$11),"x","")</f>
        <v/>
      </c>
      <c r="S1889" s="39" t="str">
        <f>IF(ISERROR(FIND('112'!$M$9,G1889,1)),"",IF((AND(FIND('112'!$M$9,G1889,1)&gt;=1,$B1889&gt;='112'!$N$8,$B1889&lt;='112'!$O$8,OR($L1889='112'!$I$6,$M1889='112'!$I$6))),"x",""))</f>
        <v/>
      </c>
      <c r="T1889" s="39" t="str">
        <f>IF(ISERROR(FIND('112'!$M$9,G1889,1)),"",IF((AND(LEFT(G1889,2)=LEFT('112'!$M$9,2),B1889&lt;'112'!$N$8,$L1889='112'!$I$6)),"x",""))</f>
        <v/>
      </c>
      <c r="U1889" s="39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39" t="str">
        <f>IF(OR(TH!L1889=TH!$W$7,M1889=TH!$W$7),"x","")</f>
        <v/>
      </c>
      <c r="X1889" s="39" t="str">
        <f>IF(AND(B1889&gt;='IN-NX'!$P$3,B1889&lt;='IN-NX'!$Q$3,'IN-NX'!$D$7=D1889,OR(LEFT(L1889,2)="15",AND(LEFT(M1889,2)&lt;&gt;"15",LEFT(M1889,2)&lt;&gt;"33"))),"x","")</f>
        <v/>
      </c>
      <c r="Y1889" s="39" t="str">
        <f>IF(AND(OR(LEFT(TH!L1889,2)="15",LEFT(TH!M1889,2)="15"),'152-CT'!$J$8=TH!F1889),"x","")</f>
        <v/>
      </c>
      <c r="Z1889" s="39" t="str">
        <f>IF(AND(OR(LEFT(TH!L1889,2)="15",LEFT(TH!M1889,2)="15"),TK!$E$7=TH!F1889),"x","")</f>
        <v/>
      </c>
      <c r="AA1889" s="39" t="str">
        <f>IF(AND(B1889&lt;=NKC!$N$8,B1889&gt;=NKC!$M$8),"x","")</f>
        <v/>
      </c>
      <c r="AB1889" s="821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101"/>
        <v/>
      </c>
      <c r="C1890" s="191"/>
      <c r="D1890" s="37"/>
      <c r="E1890" s="37"/>
      <c r="F1890" s="192"/>
      <c r="G1890" s="468"/>
      <c r="H1890" s="193"/>
      <c r="I1890" s="256"/>
      <c r="J1890" s="256"/>
      <c r="K1890" s="568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902" t="str">
        <f>IF(AND('341-CT'!$E$9=H1890,OR(LEFT(L1890,3)=$O$7,LEFT(M1890,3)=$O$7)),"x","")</f>
        <v/>
      </c>
      <c r="P1890" s="39" t="str">
        <f>IF(AND($B1890&gt;='111'!$N$11,$B1890&lt;='111'!$O$11,OR($L1890=$P$7,$M1890=$P$7)),"x","")</f>
        <v/>
      </c>
      <c r="Q1890" s="39" t="str">
        <f>IF(AND($L1890=$P$7,$B1890&lt;'111'!$N$11),"x","")</f>
        <v/>
      </c>
      <c r="R1890" s="39" t="str">
        <f>IF(AND($M1890=$P$7,$B1890&lt;'111'!$N$11),"x","")</f>
        <v/>
      </c>
      <c r="S1890" s="39" t="str">
        <f>IF(ISERROR(FIND('112'!$M$9,G1890,1)),"",IF((AND(FIND('112'!$M$9,G1890,1)&gt;=1,$B1890&gt;='112'!$N$8,$B1890&lt;='112'!$O$8,OR($L1890='112'!$I$6,$M1890='112'!$I$6))),"x",""))</f>
        <v/>
      </c>
      <c r="T1890" s="39" t="str">
        <f>IF(ISERROR(FIND('112'!$M$9,G1890,1)),"",IF((AND(LEFT(G1890,2)=LEFT('112'!$M$9,2),B1890&lt;'112'!$N$8,$L1890='112'!$I$6)),"x",""))</f>
        <v/>
      </c>
      <c r="U1890" s="39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39" t="str">
        <f>IF(OR(TH!L1890=TH!$W$7,M1890=TH!$W$7),"x","")</f>
        <v/>
      </c>
      <c r="X1890" s="39" t="str">
        <f>IF(AND(B1890&gt;='IN-NX'!$P$3,B1890&lt;='IN-NX'!$Q$3,'IN-NX'!$D$7=D1890,OR(LEFT(L1890,2)="15",AND(LEFT(M1890,2)&lt;&gt;"15",LEFT(M1890,2)&lt;&gt;"33"))),"x","")</f>
        <v/>
      </c>
      <c r="Y1890" s="39" t="str">
        <f>IF(AND(OR(LEFT(TH!L1890,2)="15",LEFT(TH!M1890,2)="15"),'152-CT'!$J$8=TH!F1890),"x","")</f>
        <v/>
      </c>
      <c r="Z1890" s="39" t="str">
        <f>IF(AND(OR(LEFT(TH!L1890,2)="15",LEFT(TH!M1890,2)="15"),TK!$E$7=TH!F1890),"x","")</f>
        <v/>
      </c>
      <c r="AA1890" s="39" t="str">
        <f>IF(AND(B1890&lt;=NKC!$N$8,B1890&gt;=NKC!$M$8),"x","")</f>
        <v/>
      </c>
      <c r="AB1890" s="821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101"/>
        <v/>
      </c>
      <c r="C1891" s="191"/>
      <c r="D1891" s="191"/>
      <c r="E1891" s="191"/>
      <c r="F1891" s="192"/>
      <c r="G1891" s="468"/>
      <c r="H1891" s="7"/>
      <c r="I1891" s="256"/>
      <c r="J1891" s="256"/>
      <c r="K1891" s="568"/>
      <c r="L1891" s="194"/>
      <c r="M1891" s="194"/>
      <c r="N1891" s="39" t="str">
        <f>IF(AND('331-CT'!$E$7=TH!H1891,OR(L1891="331",M1891="331")),"331",IF(AND(OR(L1891="131",M1891="131"),H1891='131-CT'!$E$7),"131",""))</f>
        <v/>
      </c>
      <c r="O1891" s="902" t="str">
        <f>IF(AND('341-CT'!$E$9=H1891,OR(LEFT(L1891,3)=$O$7,LEFT(M1891,3)=$O$7)),"x","")</f>
        <v/>
      </c>
      <c r="P1891" s="39" t="str">
        <f>IF(AND($B1891&gt;='111'!$N$11,$B1891&lt;='111'!$O$11,OR($L1891=$P$7,$M1891=$P$7)),"x","")</f>
        <v/>
      </c>
      <c r="Q1891" s="39" t="str">
        <f>IF(AND($L1891=$P$7,$B1891&lt;'111'!$N$11),"x","")</f>
        <v/>
      </c>
      <c r="R1891" s="39" t="str">
        <f>IF(AND($M1891=$P$7,$B1891&lt;'111'!$N$11),"x","")</f>
        <v/>
      </c>
      <c r="S1891" s="39" t="str">
        <f>IF(ISERROR(FIND('112'!$M$9,G1891,1)),"",IF((AND(FIND('112'!$M$9,G1891,1)&gt;=1,$B1891&gt;='112'!$N$8,$B1891&lt;='112'!$O$8,OR($L1891='112'!$I$6,$M1891='112'!$I$6))),"x",""))</f>
        <v/>
      </c>
      <c r="T1891" s="39" t="str">
        <f>IF(ISERROR(FIND('112'!$M$9,G1891,1)),"",IF((AND(LEFT(G1891,2)=LEFT('112'!$M$9,2),B1891&lt;'112'!$N$8,$L1891='112'!$I$6)),"x",""))</f>
        <v/>
      </c>
      <c r="U1891" s="39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39" t="str">
        <f>IF(OR(TH!L1891=TH!$W$7,M1891=TH!$W$7),"x","")</f>
        <v/>
      </c>
      <c r="X1891" s="39" t="str">
        <f>IF(AND(B1891&gt;='IN-NX'!$P$3,B1891&lt;='IN-NX'!$Q$3,'IN-NX'!$D$7=D1891,OR(LEFT(L1891,2)="15",AND(LEFT(M1891,2)&lt;&gt;"15",LEFT(M1891,2)&lt;&gt;"33"))),"x","")</f>
        <v/>
      </c>
      <c r="Y1891" s="39" t="str">
        <f>IF(AND(OR(LEFT(TH!L1891,2)="15",LEFT(TH!M1891,2)="15"),'152-CT'!$J$8=TH!F1891),"x","")</f>
        <v/>
      </c>
      <c r="Z1891" s="39" t="str">
        <f>IF(AND(OR(LEFT(TH!L1891,2)="15",LEFT(TH!M1891,2)="15"),TK!$E$7=TH!F1891),"x","")</f>
        <v/>
      </c>
      <c r="AA1891" s="39" t="str">
        <f>IF(AND(B1891&lt;=NKC!$N$8,B1891&gt;=NKC!$M$8),"x","")</f>
        <v/>
      </c>
      <c r="AB1891" s="821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 t="str">
        <f t="shared" si="101"/>
        <v/>
      </c>
      <c r="C1892" s="191"/>
      <c r="D1892" s="191"/>
      <c r="E1892" s="191"/>
      <c r="F1892" s="192"/>
      <c r="G1892" s="468"/>
      <c r="H1892" s="7"/>
      <c r="I1892" s="256"/>
      <c r="J1892" s="256"/>
      <c r="K1892" s="568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902" t="str">
        <f>IF(AND('341-CT'!$E$9=H1892,OR(LEFT(L1892,3)=$O$7,LEFT(M1892,3)=$O$7)),"x","")</f>
        <v/>
      </c>
      <c r="P1892" s="39" t="str">
        <f>IF(AND($B1892&gt;='111'!$N$11,$B1892&lt;='111'!$O$11,OR($L1892=$P$7,$M1892=$P$7)),"x","")</f>
        <v/>
      </c>
      <c r="Q1892" s="39" t="str">
        <f>IF(AND($L1892=$P$7,$B1892&lt;'111'!$N$11),"x","")</f>
        <v/>
      </c>
      <c r="R1892" s="39" t="str">
        <f>IF(AND($M1892=$P$7,$B1892&lt;'111'!$N$11),"x","")</f>
        <v/>
      </c>
      <c r="S1892" s="39" t="str">
        <f>IF(ISERROR(FIND('112'!$M$9,G1892,1)),"",IF((AND(FIND('112'!$M$9,G1892,1)&gt;=1,$B1892&gt;='112'!$N$8,$B1892&lt;='112'!$O$8,OR($L1892='112'!$I$6,$M1892='112'!$I$6))),"x",""))</f>
        <v/>
      </c>
      <c r="T1892" s="39" t="str">
        <f>IF(ISERROR(FIND('112'!$M$9,G1892,1)),"",IF((AND(LEFT(G1892,2)=LEFT('112'!$M$9,2),B1892&lt;'112'!$N$8,$L1892='112'!$I$6)),"x",""))</f>
        <v/>
      </c>
      <c r="U1892" s="39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39" t="str">
        <f>IF(OR(TH!L1892=TH!$W$7,M1892=TH!$W$7),"x","")</f>
        <v/>
      </c>
      <c r="X1892" s="39" t="str">
        <f>IF(AND(B1892&gt;='IN-NX'!$P$3,B1892&lt;='IN-NX'!$Q$3,'IN-NX'!$D$7=D1892,OR(LEFT(L1892,2)="15",AND(LEFT(M1892,2)&lt;&gt;"15",LEFT(M1892,2)&lt;&gt;"33"))),"x","")</f>
        <v/>
      </c>
      <c r="Y1892" s="39" t="str">
        <f>IF(AND(OR(LEFT(TH!L1892,2)="15",LEFT(TH!M1892,2)="15"),'152-CT'!$J$8=TH!F1892),"x","")</f>
        <v/>
      </c>
      <c r="Z1892" s="39" t="str">
        <f>IF(AND(OR(LEFT(TH!L1892,2)="15",LEFT(TH!M1892,2)="15"),TK!$E$7=TH!F1892),"x","")</f>
        <v/>
      </c>
      <c r="AA1892" s="39" t="str">
        <f>IF(AND(B1892&lt;=NKC!$N$8,B1892&gt;=NKC!$M$8),"x","")</f>
        <v/>
      </c>
      <c r="AB1892" s="821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 t="str">
        <f t="shared" si="101"/>
        <v/>
      </c>
      <c r="C1893" s="191"/>
      <c r="D1893" s="191"/>
      <c r="E1893" s="191"/>
      <c r="F1893" s="192"/>
      <c r="G1893" s="468"/>
      <c r="H1893" s="7"/>
      <c r="I1893" s="256"/>
      <c r="J1893" s="256"/>
      <c r="K1893" s="568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902" t="str">
        <f>IF(AND('341-CT'!$E$9=H1893,OR(LEFT(L1893,3)=$O$7,LEFT(M1893,3)=$O$7)),"x","")</f>
        <v/>
      </c>
      <c r="P1893" s="39" t="str">
        <f>IF(AND($B1893&gt;='111'!$N$11,$B1893&lt;='111'!$O$11,OR($L1893=$P$7,$M1893=$P$7)),"x","")</f>
        <v/>
      </c>
      <c r="Q1893" s="39" t="str">
        <f>IF(AND($L1893=$P$7,$B1893&lt;'111'!$N$11),"x","")</f>
        <v/>
      </c>
      <c r="R1893" s="39" t="str">
        <f>IF(AND($M1893=$P$7,$B1893&lt;'111'!$N$11),"x","")</f>
        <v/>
      </c>
      <c r="S1893" s="39" t="str">
        <f>IF(ISERROR(FIND('112'!$M$9,G1893,1)),"",IF((AND(FIND('112'!$M$9,G1893,1)&gt;=1,$B1893&gt;='112'!$N$8,$B1893&lt;='112'!$O$8,OR($L1893='112'!$I$6,$M1893='112'!$I$6))),"x",""))</f>
        <v/>
      </c>
      <c r="T1893" s="39" t="str">
        <f>IF(ISERROR(FIND('112'!$M$9,G1893,1)),"",IF((AND(LEFT(G1893,2)=LEFT('112'!$M$9,2),B1893&lt;'112'!$N$8,$L1893='112'!$I$6)),"x",""))</f>
        <v/>
      </c>
      <c r="U1893" s="39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39" t="str">
        <f>IF(OR(TH!L1893=TH!$W$7,M1893=TH!$W$7),"x","")</f>
        <v/>
      </c>
      <c r="X1893" s="39" t="str">
        <f>IF(AND(B1893&gt;='IN-NX'!$P$3,B1893&lt;='IN-NX'!$Q$3,'IN-NX'!$D$7=D1893,OR(LEFT(L1893,2)="15",AND(LEFT(M1893,2)&lt;&gt;"15",LEFT(M1893,2)&lt;&gt;"33"))),"x","")</f>
        <v/>
      </c>
      <c r="Y1893" s="39" t="str">
        <f>IF(AND(OR(LEFT(TH!L1893,2)="15",LEFT(TH!M1893,2)="15"),'152-CT'!$J$8=TH!F1893),"x","")</f>
        <v/>
      </c>
      <c r="Z1893" s="39" t="str">
        <f>IF(AND(OR(LEFT(TH!L1893,2)="15",LEFT(TH!M1893,2)="15"),TK!$E$7=TH!F1893),"x","")</f>
        <v/>
      </c>
      <c r="AA1893" s="39" t="str">
        <f>IF(AND(B1893&lt;=NKC!$N$8,B1893&gt;=NKC!$M$8),"x","")</f>
        <v/>
      </c>
      <c r="AB1893" s="821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 t="str">
        <f t="shared" si="101"/>
        <v/>
      </c>
      <c r="C1894" s="191"/>
      <c r="D1894" s="191"/>
      <c r="E1894" s="191"/>
      <c r="F1894" s="192"/>
      <c r="G1894" s="468"/>
      <c r="H1894" s="7"/>
      <c r="I1894" s="256"/>
      <c r="J1894" s="256"/>
      <c r="K1894" s="568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902" t="str">
        <f>IF(AND('341-CT'!$E$9=H1894,OR(LEFT(L1894,3)=$O$7,LEFT(M1894,3)=$O$7)),"x","")</f>
        <v/>
      </c>
      <c r="P1894" s="39" t="str">
        <f>IF(AND($B1894&gt;='111'!$N$11,$B1894&lt;='111'!$O$11,OR($L1894=$P$7,$M1894=$P$7)),"x","")</f>
        <v/>
      </c>
      <c r="Q1894" s="39" t="str">
        <f>IF(AND($L1894=$P$7,$B1894&lt;'111'!$N$11),"x","")</f>
        <v/>
      </c>
      <c r="R1894" s="39" t="str">
        <f>IF(AND($M1894=$P$7,$B1894&lt;'111'!$N$11),"x","")</f>
        <v/>
      </c>
      <c r="S1894" s="39" t="str">
        <f>IF(ISERROR(FIND('112'!$M$9,G1894,1)),"",IF((AND(FIND('112'!$M$9,G1894,1)&gt;=1,$B1894&gt;='112'!$N$8,$B1894&lt;='112'!$O$8,OR($L1894='112'!$I$6,$M1894='112'!$I$6))),"x",""))</f>
        <v/>
      </c>
      <c r="T1894" s="39" t="str">
        <f>IF(ISERROR(FIND('112'!$M$9,G1894,1)),"",IF((AND(LEFT(G1894,2)=LEFT('112'!$M$9,2),B1894&lt;'112'!$N$8,$L1894='112'!$I$6)),"x",""))</f>
        <v/>
      </c>
      <c r="U1894" s="39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39" t="str">
        <f>IF(OR(TH!L1894=TH!$W$7,M1894=TH!$W$7),"x","")</f>
        <v/>
      </c>
      <c r="X1894" s="39" t="str">
        <f>IF(AND(B1894&gt;='IN-NX'!$P$3,B1894&lt;='IN-NX'!$Q$3,'IN-NX'!$D$7=D1894,OR(LEFT(L1894,2)="15",AND(LEFT(M1894,2)&lt;&gt;"15",LEFT(M1894,2)&lt;&gt;"33"))),"x","")</f>
        <v/>
      </c>
      <c r="Y1894" s="39" t="str">
        <f>IF(AND(OR(LEFT(TH!L1894,2)="15",LEFT(TH!M1894,2)="15"),'152-CT'!$J$8=TH!F1894),"x","")</f>
        <v/>
      </c>
      <c r="Z1894" s="39" t="str">
        <f>IF(AND(OR(LEFT(TH!L1894,2)="15",LEFT(TH!M1894,2)="15"),TK!$E$7=TH!F1894),"x","")</f>
        <v/>
      </c>
      <c r="AA1894" s="39" t="str">
        <f>IF(AND(B1894&lt;=NKC!$N$8,B1894&gt;=NKC!$M$8),"x","")</f>
        <v/>
      </c>
      <c r="AB1894" s="821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 t="str">
        <f t="shared" si="101"/>
        <v/>
      </c>
      <c r="C1895" s="191"/>
      <c r="D1895" s="191"/>
      <c r="E1895" s="191"/>
      <c r="F1895" s="192"/>
      <c r="G1895" s="468"/>
      <c r="H1895" s="7"/>
      <c r="I1895" s="256"/>
      <c r="J1895" s="256"/>
      <c r="K1895" s="568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902" t="str">
        <f>IF(AND('341-CT'!$E$9=H1895,OR(LEFT(L1895,3)=$O$7,LEFT(M1895,3)=$O$7)),"x","")</f>
        <v/>
      </c>
      <c r="P1895" s="39" t="str">
        <f>IF(AND($B1895&gt;='111'!$N$11,$B1895&lt;='111'!$O$11,OR($L1895=$P$7,$M1895=$P$7)),"x","")</f>
        <v/>
      </c>
      <c r="Q1895" s="39" t="str">
        <f>IF(AND($L1895=$P$7,$B1895&lt;'111'!$N$11),"x","")</f>
        <v/>
      </c>
      <c r="R1895" s="39" t="str">
        <f>IF(AND($M1895=$P$7,$B1895&lt;'111'!$N$11),"x","")</f>
        <v/>
      </c>
      <c r="S1895" s="39" t="str">
        <f>IF(ISERROR(FIND('112'!$M$9,G1895,1)),"",IF((AND(FIND('112'!$M$9,G1895,1)&gt;=1,$B1895&gt;='112'!$N$8,$B1895&lt;='112'!$O$8,OR($L1895='112'!$I$6,$M1895='112'!$I$6))),"x",""))</f>
        <v/>
      </c>
      <c r="T1895" s="39" t="str">
        <f>IF(ISERROR(FIND('112'!$M$9,G1895,1)),"",IF((AND(LEFT(G1895,2)=LEFT('112'!$M$9,2),B1895&lt;'112'!$N$8,$L1895='112'!$I$6)),"x",""))</f>
        <v/>
      </c>
      <c r="U1895" s="39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39" t="str">
        <f>IF(OR(TH!L1895=TH!$W$7,M1895=TH!$W$7),"x","")</f>
        <v/>
      </c>
      <c r="X1895" s="39" t="str">
        <f>IF(AND(B1895&gt;='IN-NX'!$P$3,B1895&lt;='IN-NX'!$Q$3,'IN-NX'!$D$7=D1895,OR(LEFT(L1895,2)="15",AND(LEFT(M1895,2)&lt;&gt;"15",LEFT(M1895,2)&lt;&gt;"33"))),"x","")</f>
        <v/>
      </c>
      <c r="Y1895" s="39" t="str">
        <f>IF(AND(OR(LEFT(TH!L1895,2)="15",LEFT(TH!M1895,2)="15"),'152-CT'!$J$8=TH!F1895),"x","")</f>
        <v/>
      </c>
      <c r="Z1895" s="39" t="str">
        <f>IF(AND(OR(LEFT(TH!L1895,2)="15",LEFT(TH!M1895,2)="15"),TK!$E$7=TH!F1895),"x","")</f>
        <v/>
      </c>
      <c r="AA1895" s="39" t="str">
        <f>IF(AND(B1895&lt;=NKC!$N$8,B1895&gt;=NKC!$M$8),"x","")</f>
        <v/>
      </c>
      <c r="AB1895" s="821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 t="str">
        <f t="shared" si="101"/>
        <v/>
      </c>
      <c r="C1896" s="191"/>
      <c r="D1896" s="191"/>
      <c r="E1896" s="191"/>
      <c r="F1896" s="192"/>
      <c r="G1896" s="468"/>
      <c r="H1896" s="7"/>
      <c r="I1896" s="256"/>
      <c r="J1896" s="256"/>
      <c r="K1896" s="568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902" t="str">
        <f>IF(AND('341-CT'!$E$9=H1896,OR(LEFT(L1896,3)=$O$7,LEFT(M1896,3)=$O$7)),"x","")</f>
        <v/>
      </c>
      <c r="P1896" s="39" t="str">
        <f>IF(AND($B1896&gt;='111'!$N$11,$B1896&lt;='111'!$O$11,OR($L1896=$P$7,$M1896=$P$7)),"x","")</f>
        <v/>
      </c>
      <c r="Q1896" s="39" t="str">
        <f>IF(AND($L1896=$P$7,$B1896&lt;'111'!$N$11),"x","")</f>
        <v/>
      </c>
      <c r="R1896" s="39" t="str">
        <f>IF(AND($M1896=$P$7,$B1896&lt;'111'!$N$11),"x","")</f>
        <v/>
      </c>
      <c r="S1896" s="39" t="str">
        <f>IF(ISERROR(FIND('112'!$M$9,G1896,1)),"",IF((AND(FIND('112'!$M$9,G1896,1)&gt;=1,$B1896&gt;='112'!$N$8,$B1896&lt;='112'!$O$8,OR($L1896='112'!$I$6,$M1896='112'!$I$6))),"x",""))</f>
        <v/>
      </c>
      <c r="T1896" s="39" t="str">
        <f>IF(ISERROR(FIND('112'!$M$9,G1896,1)),"",IF((AND(LEFT(G1896,2)=LEFT('112'!$M$9,2),B1896&lt;'112'!$N$8,$L1896='112'!$I$6)),"x",""))</f>
        <v/>
      </c>
      <c r="U1896" s="39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39" t="str">
        <f>IF(OR(TH!L1896=TH!$W$7,M1896=TH!$W$7),"x","")</f>
        <v/>
      </c>
      <c r="X1896" s="39" t="str">
        <f>IF(AND(B1896&gt;='IN-NX'!$P$3,B1896&lt;='IN-NX'!$Q$3,'IN-NX'!$D$7=D1896,OR(LEFT(L1896,2)="15",AND(LEFT(M1896,2)&lt;&gt;"15",LEFT(M1896,2)&lt;&gt;"33"))),"x","")</f>
        <v/>
      </c>
      <c r="Y1896" s="39" t="str">
        <f>IF(AND(OR(LEFT(TH!L1896,2)="15",LEFT(TH!M1896,2)="15"),'152-CT'!$J$8=TH!F1896),"x","")</f>
        <v/>
      </c>
      <c r="Z1896" s="39" t="str">
        <f>IF(AND(OR(LEFT(TH!L1896,2)="15",LEFT(TH!M1896,2)="15"),TK!$E$7=TH!F1896),"x","")</f>
        <v/>
      </c>
      <c r="AA1896" s="39" t="str">
        <f>IF(AND(B1896&lt;=NKC!$N$8,B1896&gt;=NKC!$M$8),"x","")</f>
        <v/>
      </c>
      <c r="AB1896" s="821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 t="str">
        <f t="shared" si="101"/>
        <v/>
      </c>
      <c r="C1897" s="191"/>
      <c r="D1897" s="191"/>
      <c r="E1897" s="191"/>
      <c r="F1897" s="192"/>
      <c r="G1897" s="468"/>
      <c r="H1897" s="7"/>
      <c r="I1897" s="256"/>
      <c r="J1897" s="256"/>
      <c r="K1897" s="568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902" t="str">
        <f>IF(AND('341-CT'!$E$9=H1897,OR(LEFT(L1897,3)=$O$7,LEFT(M1897,3)=$O$7)),"x","")</f>
        <v/>
      </c>
      <c r="P1897" s="39" t="str">
        <f>IF(AND($B1897&gt;='111'!$N$11,$B1897&lt;='111'!$O$11,OR($L1897=$P$7,$M1897=$P$7)),"x","")</f>
        <v/>
      </c>
      <c r="Q1897" s="39" t="str">
        <f>IF(AND($L1897=$P$7,$B1897&lt;'111'!$N$11),"x","")</f>
        <v/>
      </c>
      <c r="R1897" s="39" t="str">
        <f>IF(AND($M1897=$P$7,$B1897&lt;'111'!$N$11),"x","")</f>
        <v/>
      </c>
      <c r="S1897" s="39" t="str">
        <f>IF(ISERROR(FIND('112'!$M$9,G1897,1)),"",IF((AND(FIND('112'!$M$9,G1897,1)&gt;=1,$B1897&gt;='112'!$N$8,$B1897&lt;='112'!$O$8,OR($L1897='112'!$I$6,$M1897='112'!$I$6))),"x",""))</f>
        <v/>
      </c>
      <c r="T1897" s="39" t="str">
        <f>IF(ISERROR(FIND('112'!$M$9,G1897,1)),"",IF((AND(LEFT(G1897,2)=LEFT('112'!$M$9,2),B1897&lt;'112'!$N$8,$L1897='112'!$I$6)),"x",""))</f>
        <v/>
      </c>
      <c r="U1897" s="39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39" t="str">
        <f>IF(OR(TH!L1897=TH!$W$7,M1897=TH!$W$7),"x","")</f>
        <v/>
      </c>
      <c r="X1897" s="39" t="str">
        <f>IF(AND(B1897&gt;='IN-NX'!$P$3,B1897&lt;='IN-NX'!$Q$3,'IN-NX'!$D$7=D1897,OR(LEFT(L1897,2)="15",AND(LEFT(M1897,2)&lt;&gt;"15",LEFT(M1897,2)&lt;&gt;"33"))),"x","")</f>
        <v/>
      </c>
      <c r="Y1897" s="39" t="str">
        <f>IF(AND(OR(LEFT(TH!L1897,2)="15",LEFT(TH!M1897,2)="15"),'152-CT'!$J$8=TH!F1897),"x","")</f>
        <v/>
      </c>
      <c r="Z1897" s="39" t="str">
        <f>IF(AND(OR(LEFT(TH!L1897,2)="15",LEFT(TH!M1897,2)="15"),TK!$E$7=TH!F1897),"x","")</f>
        <v/>
      </c>
      <c r="AA1897" s="39" t="str">
        <f>IF(AND(B1897&lt;=NKC!$N$8,B1897&gt;=NKC!$M$8),"x","")</f>
        <v/>
      </c>
      <c r="AB1897" s="821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 t="str">
        <f t="shared" si="101"/>
        <v/>
      </c>
      <c r="C1898" s="191"/>
      <c r="D1898" s="191"/>
      <c r="E1898" s="191"/>
      <c r="F1898" s="192"/>
      <c r="G1898" s="468"/>
      <c r="H1898" s="7"/>
      <c r="I1898" s="256"/>
      <c r="J1898" s="256"/>
      <c r="K1898" s="568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902" t="str">
        <f>IF(AND('341-CT'!$E$9=H1898,OR(LEFT(L1898,3)=$O$7,LEFT(M1898,3)=$O$7)),"x","")</f>
        <v/>
      </c>
      <c r="P1898" s="39" t="str">
        <f>IF(AND($B1898&gt;='111'!$N$11,$B1898&lt;='111'!$O$11,OR($L1898=$P$7,$M1898=$P$7)),"x","")</f>
        <v/>
      </c>
      <c r="Q1898" s="39" t="str">
        <f>IF(AND($L1898=$P$7,$B1898&lt;'111'!$N$11),"x","")</f>
        <v/>
      </c>
      <c r="R1898" s="39" t="str">
        <f>IF(AND($M1898=$P$7,$B1898&lt;'111'!$N$11),"x","")</f>
        <v/>
      </c>
      <c r="S1898" s="39" t="str">
        <f>IF(ISERROR(FIND('112'!$M$9,G1898,1)),"",IF((AND(FIND('112'!$M$9,G1898,1)&gt;=1,$B1898&gt;='112'!$N$8,$B1898&lt;='112'!$O$8,OR($L1898='112'!$I$6,$M1898='112'!$I$6))),"x",""))</f>
        <v/>
      </c>
      <c r="T1898" s="39" t="str">
        <f>IF(ISERROR(FIND('112'!$M$9,G1898,1)),"",IF((AND(LEFT(G1898,2)=LEFT('112'!$M$9,2),B1898&lt;'112'!$N$8,$L1898='112'!$I$6)),"x",""))</f>
        <v/>
      </c>
      <c r="U1898" s="39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39" t="str">
        <f>IF(OR(TH!L1898=TH!$W$7,M1898=TH!$W$7),"x","")</f>
        <v/>
      </c>
      <c r="X1898" s="39" t="str">
        <f>IF(AND(B1898&gt;='IN-NX'!$P$3,B1898&lt;='IN-NX'!$Q$3,'IN-NX'!$D$7=D1898,OR(LEFT(L1898,2)="15",AND(LEFT(M1898,2)&lt;&gt;"15",LEFT(M1898,2)&lt;&gt;"33"))),"x","")</f>
        <v/>
      </c>
      <c r="Y1898" s="39" t="str">
        <f>IF(AND(OR(LEFT(TH!L1898,2)="15",LEFT(TH!M1898,2)="15"),'152-CT'!$J$8=TH!F1898),"x","")</f>
        <v/>
      </c>
      <c r="Z1898" s="39" t="str">
        <f>IF(AND(OR(LEFT(TH!L1898,2)="15",LEFT(TH!M1898,2)="15"),TK!$E$7=TH!F1898),"x","")</f>
        <v/>
      </c>
      <c r="AA1898" s="39" t="str">
        <f>IF(AND(B1898&lt;=NKC!$N$8,B1898&gt;=NKC!$M$8),"x","")</f>
        <v/>
      </c>
      <c r="AB1898" s="821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 t="str">
        <f t="shared" si="101"/>
        <v/>
      </c>
      <c r="C1899" s="191"/>
      <c r="D1899" s="191"/>
      <c r="E1899" s="191"/>
      <c r="F1899" s="192"/>
      <c r="G1899" s="468"/>
      <c r="H1899" s="7"/>
      <c r="I1899" s="256"/>
      <c r="J1899" s="256"/>
      <c r="K1899" s="568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902" t="str">
        <f>IF(AND('341-CT'!$E$9=H1899,OR(LEFT(L1899,3)=$O$7,LEFT(M1899,3)=$O$7)),"x","")</f>
        <v/>
      </c>
      <c r="P1899" s="39" t="str">
        <f>IF(AND($B1899&gt;='111'!$N$11,$B1899&lt;='111'!$O$11,OR($L1899=$P$7,$M1899=$P$7)),"x","")</f>
        <v/>
      </c>
      <c r="Q1899" s="39" t="str">
        <f>IF(AND($L1899=$P$7,$B1899&lt;'111'!$N$11),"x","")</f>
        <v/>
      </c>
      <c r="R1899" s="39" t="str">
        <f>IF(AND($M1899=$P$7,$B1899&lt;'111'!$N$11),"x","")</f>
        <v/>
      </c>
      <c r="S1899" s="39" t="str">
        <f>IF(ISERROR(FIND('112'!$M$9,G1899,1)),"",IF((AND(FIND('112'!$M$9,G1899,1)&gt;=1,$B1899&gt;='112'!$N$8,$B1899&lt;='112'!$O$8,OR($L1899='112'!$I$6,$M1899='112'!$I$6))),"x",""))</f>
        <v/>
      </c>
      <c r="T1899" s="39" t="str">
        <f>IF(ISERROR(FIND('112'!$M$9,G1899,1)),"",IF((AND(LEFT(G1899,2)=LEFT('112'!$M$9,2),B1899&lt;'112'!$N$8,$L1899='112'!$I$6)),"x",""))</f>
        <v/>
      </c>
      <c r="U1899" s="39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39" t="str">
        <f>IF(OR(TH!L1899=TH!$W$7,M1899=TH!$W$7),"x","")</f>
        <v/>
      </c>
      <c r="X1899" s="39" t="str">
        <f>IF(AND(B1899&gt;='IN-NX'!$P$3,B1899&lt;='IN-NX'!$Q$3,'IN-NX'!$D$7=D1899,OR(LEFT(L1899,2)="15",AND(LEFT(M1899,2)&lt;&gt;"15",LEFT(M1899,2)&lt;&gt;"33"))),"x","")</f>
        <v/>
      </c>
      <c r="Y1899" s="39" t="str">
        <f>IF(AND(OR(LEFT(TH!L1899,2)="15",LEFT(TH!M1899,2)="15"),'152-CT'!$J$8=TH!F1899),"x","")</f>
        <v/>
      </c>
      <c r="Z1899" s="39" t="str">
        <f>IF(AND(OR(LEFT(TH!L1899,2)="15",LEFT(TH!M1899,2)="15"),TK!$E$7=TH!F1899),"x","")</f>
        <v/>
      </c>
      <c r="AA1899" s="39" t="str">
        <f>IF(AND(B1899&lt;=NKC!$N$8,B1899&gt;=NKC!$M$8),"x","")</f>
        <v/>
      </c>
      <c r="AB1899" s="821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 t="str">
        <f t="shared" si="101"/>
        <v/>
      </c>
      <c r="C1900" s="191"/>
      <c r="D1900" s="37"/>
      <c r="E1900" s="37"/>
      <c r="F1900" s="296"/>
      <c r="G1900" s="40"/>
      <c r="H1900" s="7"/>
      <c r="I1900" s="256"/>
      <c r="J1900" s="256"/>
      <c r="K1900" s="568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902" t="str">
        <f>IF(AND('341-CT'!$E$9=H1900,OR(LEFT(L1900,3)=$O$7,LEFT(M1900,3)=$O$7)),"x","")</f>
        <v/>
      </c>
      <c r="P1900" s="39" t="str">
        <f>IF(AND($B1900&gt;='111'!$N$11,$B1900&lt;='111'!$O$11,OR($L1900=$P$7,$M1900=$P$7)),"x","")</f>
        <v/>
      </c>
      <c r="Q1900" s="39" t="str">
        <f>IF(AND($L1900=$P$7,$B1900&lt;'111'!$N$11),"x","")</f>
        <v/>
      </c>
      <c r="R1900" s="39" t="str">
        <f>IF(AND($M1900=$P$7,$B1900&lt;'111'!$N$11),"x","")</f>
        <v/>
      </c>
      <c r="S1900" s="39" t="str">
        <f>IF(ISERROR(FIND('112'!$M$9,G1900,1)),"",IF((AND(FIND('112'!$M$9,G1900,1)&gt;=1,$B1900&gt;='112'!$N$8,$B1900&lt;='112'!$O$8,OR($L1900='112'!$I$6,$M1900='112'!$I$6))),"x",""))</f>
        <v/>
      </c>
      <c r="T1900" s="39" t="str">
        <f>IF(ISERROR(FIND('112'!$M$9,G1900,1)),"",IF((AND(LEFT(G1900,2)=LEFT('112'!$M$9,2),B1900&lt;'112'!$N$8,$L1900='112'!$I$6)),"x",""))</f>
        <v/>
      </c>
      <c r="U1900" s="39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39" t="str">
        <f>IF(OR(TH!L1900=TH!$W$7,M1900=TH!$W$7),"x","")</f>
        <v/>
      </c>
      <c r="X1900" s="39" t="str">
        <f>IF(AND(B1900&gt;='IN-NX'!$P$3,B1900&lt;='IN-NX'!$Q$3,'IN-NX'!$D$7=D1900,OR(LEFT(L1900,2)="15",AND(LEFT(M1900,2)&lt;&gt;"15",LEFT(M1900,2)&lt;&gt;"33"))),"x","")</f>
        <v/>
      </c>
      <c r="Y1900" s="39" t="str">
        <f>IF(AND(OR(LEFT(TH!L1900,2)="15",LEFT(TH!M1900,2)="15"),'152-CT'!$J$8=TH!F1900),"x","")</f>
        <v/>
      </c>
      <c r="Z1900" s="39" t="str">
        <f>IF(AND(OR(LEFT(TH!L1900,2)="15",LEFT(TH!M1900,2)="15"),TK!$E$7=TH!F1900),"x","")</f>
        <v/>
      </c>
      <c r="AA1900" s="39" t="str">
        <f>IF(AND(B1900&lt;=NKC!$N$8,B1900&gt;=NKC!$M$8),"x","")</f>
        <v/>
      </c>
      <c r="AB1900" s="821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 t="str">
        <f t="shared" si="101"/>
        <v/>
      </c>
      <c r="C1901" s="191"/>
      <c r="D1901" s="37"/>
      <c r="E1901" s="37"/>
      <c r="F1901" s="296"/>
      <c r="G1901" s="40"/>
      <c r="H1901" s="7"/>
      <c r="I1901" s="256"/>
      <c r="J1901" s="256"/>
      <c r="K1901" s="568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902" t="str">
        <f>IF(AND('341-CT'!$E$9=H1901,OR(LEFT(L1901,3)=$O$7,LEFT(M1901,3)=$O$7)),"x","")</f>
        <v/>
      </c>
      <c r="P1901" s="39" t="str">
        <f>IF(AND($B1901&gt;='111'!$N$11,$B1901&lt;='111'!$O$11,OR($L1901=$P$7,$M1901=$P$7)),"x","")</f>
        <v/>
      </c>
      <c r="Q1901" s="39" t="str">
        <f>IF(AND($L1901=$P$7,$B1901&lt;'111'!$N$11),"x","")</f>
        <v/>
      </c>
      <c r="R1901" s="39" t="str">
        <f>IF(AND($M1901=$P$7,$B1901&lt;'111'!$N$11),"x","")</f>
        <v/>
      </c>
      <c r="S1901" s="39" t="str">
        <f>IF(ISERROR(FIND('112'!$M$9,G1901,1)),"",IF((AND(FIND('112'!$M$9,G1901,1)&gt;=1,$B1901&gt;='112'!$N$8,$B1901&lt;='112'!$O$8,OR($L1901='112'!$I$6,$M1901='112'!$I$6))),"x",""))</f>
        <v/>
      </c>
      <c r="T1901" s="39" t="str">
        <f>IF(ISERROR(FIND('112'!$M$9,G1901,1)),"",IF((AND(LEFT(G1901,2)=LEFT('112'!$M$9,2),B1901&lt;'112'!$N$8,$L1901='112'!$I$6)),"x",""))</f>
        <v/>
      </c>
      <c r="U1901" s="39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39" t="str">
        <f>IF(OR(TH!L1901=TH!$W$7,M1901=TH!$W$7),"x","")</f>
        <v/>
      </c>
      <c r="X1901" s="39" t="str">
        <f>IF(AND(B1901&gt;='IN-NX'!$P$3,B1901&lt;='IN-NX'!$Q$3,'IN-NX'!$D$7=D1901,OR(LEFT(L1901,2)="15",AND(LEFT(M1901,2)&lt;&gt;"15",LEFT(M1901,2)&lt;&gt;"33"))),"x","")</f>
        <v/>
      </c>
      <c r="Y1901" s="39" t="str">
        <f>IF(AND(OR(LEFT(TH!L1901,2)="15",LEFT(TH!M1901,2)="15"),'152-CT'!$J$8=TH!F1901),"x","")</f>
        <v/>
      </c>
      <c r="Z1901" s="39" t="str">
        <f>IF(AND(OR(LEFT(TH!L1901,2)="15",LEFT(TH!M1901,2)="15"),TK!$E$7=TH!F1901),"x","")</f>
        <v/>
      </c>
      <c r="AA1901" s="39" t="str">
        <f>IF(AND(B1901&lt;=NKC!$N$8,B1901&gt;=NKC!$M$8),"x","")</f>
        <v/>
      </c>
      <c r="AB1901" s="821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 t="str">
        <f t="shared" si="101"/>
        <v/>
      </c>
      <c r="C1902" s="191"/>
      <c r="D1902" s="37"/>
      <c r="E1902" s="37"/>
      <c r="F1902" s="296"/>
      <c r="G1902" s="40"/>
      <c r="H1902" s="7"/>
      <c r="I1902" s="256"/>
      <c r="J1902" s="256"/>
      <c r="K1902" s="568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902" t="str">
        <f>IF(AND('341-CT'!$E$9=H1902,OR(LEFT(L1902,3)=$O$7,LEFT(M1902,3)=$O$7)),"x","")</f>
        <v/>
      </c>
      <c r="P1902" s="39" t="str">
        <f>IF(AND($B1902&gt;='111'!$N$11,$B1902&lt;='111'!$O$11,OR($L1902=$P$7,$M1902=$P$7)),"x","")</f>
        <v/>
      </c>
      <c r="Q1902" s="39" t="str">
        <f>IF(AND($L1902=$P$7,$B1902&lt;'111'!$N$11),"x","")</f>
        <v/>
      </c>
      <c r="R1902" s="39" t="str">
        <f>IF(AND($M1902=$P$7,$B1902&lt;'111'!$N$11),"x","")</f>
        <v/>
      </c>
      <c r="S1902" s="39" t="str">
        <f>IF(ISERROR(FIND('112'!$M$9,G1902,1)),"",IF((AND(FIND('112'!$M$9,G1902,1)&gt;=1,$B1902&gt;='112'!$N$8,$B1902&lt;='112'!$O$8,OR($L1902='112'!$I$6,$M1902='112'!$I$6))),"x",""))</f>
        <v/>
      </c>
      <c r="T1902" s="39" t="str">
        <f>IF(ISERROR(FIND('112'!$M$9,G1902,1)),"",IF((AND(LEFT(G1902,2)=LEFT('112'!$M$9,2),B1902&lt;'112'!$N$8,$L1902='112'!$I$6)),"x",""))</f>
        <v/>
      </c>
      <c r="U1902" s="39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39" t="str">
        <f>IF(OR(TH!L1902=TH!$W$7,M1902=TH!$W$7),"x","")</f>
        <v/>
      </c>
      <c r="X1902" s="39" t="str">
        <f>IF(AND(B1902&gt;='IN-NX'!$P$3,B1902&lt;='IN-NX'!$Q$3,'IN-NX'!$D$7=D1902,OR(LEFT(L1902,2)="15",AND(LEFT(M1902,2)&lt;&gt;"15",LEFT(M1902,2)&lt;&gt;"33"))),"x","")</f>
        <v/>
      </c>
      <c r="Y1902" s="39" t="str">
        <f>IF(AND(OR(LEFT(TH!L1902,2)="15",LEFT(TH!M1902,2)="15"),'152-CT'!$J$8=TH!F1902),"x","")</f>
        <v/>
      </c>
      <c r="Z1902" s="39" t="str">
        <f>IF(AND(OR(LEFT(TH!L1902,2)="15",LEFT(TH!M1902,2)="15"),TK!$E$7=TH!F1902),"x","")</f>
        <v/>
      </c>
      <c r="AA1902" s="39" t="str">
        <f>IF(AND(B1902&lt;=NKC!$N$8,B1902&gt;=NKC!$M$8),"x","")</f>
        <v/>
      </c>
      <c r="AB1902" s="821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 t="str">
        <f t="shared" si="101"/>
        <v/>
      </c>
      <c r="C1903" s="191"/>
      <c r="D1903" s="37"/>
      <c r="E1903" s="37"/>
      <c r="F1903" s="296"/>
      <c r="G1903" s="40"/>
      <c r="H1903" s="7"/>
      <c r="I1903" s="256"/>
      <c r="J1903" s="256"/>
      <c r="K1903" s="568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902" t="str">
        <f>IF(AND('341-CT'!$E$9=H1903,OR(LEFT(L1903,3)=$O$7,LEFT(M1903,3)=$O$7)),"x","")</f>
        <v/>
      </c>
      <c r="P1903" s="39" t="str">
        <f>IF(AND($B1903&gt;='111'!$N$11,$B1903&lt;='111'!$O$11,OR($L1903=$P$7,$M1903=$P$7)),"x","")</f>
        <v/>
      </c>
      <c r="Q1903" s="39" t="str">
        <f>IF(AND($L1903=$P$7,$B1903&lt;'111'!$N$11),"x","")</f>
        <v/>
      </c>
      <c r="R1903" s="39" t="str">
        <f>IF(AND($M1903=$P$7,$B1903&lt;'111'!$N$11),"x","")</f>
        <v/>
      </c>
      <c r="S1903" s="39" t="str">
        <f>IF(ISERROR(FIND('112'!$M$9,G1903,1)),"",IF((AND(FIND('112'!$M$9,G1903,1)&gt;=1,$B1903&gt;='112'!$N$8,$B1903&lt;='112'!$O$8,OR($L1903='112'!$I$6,$M1903='112'!$I$6))),"x",""))</f>
        <v/>
      </c>
      <c r="T1903" s="39" t="str">
        <f>IF(ISERROR(FIND('112'!$M$9,G1903,1)),"",IF((AND(LEFT(G1903,2)=LEFT('112'!$M$9,2),B1903&lt;'112'!$N$8,$L1903='112'!$I$6)),"x",""))</f>
        <v/>
      </c>
      <c r="U1903" s="39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39" t="str">
        <f>IF(OR(TH!L1903=TH!$W$7,M1903=TH!$W$7),"x","")</f>
        <v/>
      </c>
      <c r="X1903" s="39" t="str">
        <f>IF(AND(B1903&gt;='IN-NX'!$P$3,B1903&lt;='IN-NX'!$Q$3,'IN-NX'!$D$7=D1903,OR(LEFT(L1903,2)="15",AND(LEFT(M1903,2)&lt;&gt;"15",LEFT(M1903,2)&lt;&gt;"33"))),"x","")</f>
        <v/>
      </c>
      <c r="Y1903" s="39" t="str">
        <f>IF(AND(OR(LEFT(TH!L1903,2)="15",LEFT(TH!M1903,2)="15"),'152-CT'!$J$8=TH!F1903),"x","")</f>
        <v/>
      </c>
      <c r="Z1903" s="39" t="str">
        <f>IF(AND(OR(LEFT(TH!L1903,2)="15",LEFT(TH!M1903,2)="15"),TK!$E$7=TH!F1903),"x","")</f>
        <v/>
      </c>
      <c r="AA1903" s="39" t="str">
        <f>IF(AND(B1903&lt;=NKC!$N$8,B1903&gt;=NKC!$M$8),"x","")</f>
        <v/>
      </c>
      <c r="AB1903" s="821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 t="str">
        <f t="shared" si="101"/>
        <v/>
      </c>
      <c r="C1904" s="191"/>
      <c r="D1904" s="37"/>
      <c r="E1904" s="37"/>
      <c r="F1904" s="296"/>
      <c r="G1904" s="40"/>
      <c r="H1904" s="7"/>
      <c r="I1904" s="256"/>
      <c r="J1904" s="256"/>
      <c r="K1904" s="568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902" t="str">
        <f>IF(AND('341-CT'!$E$9=H1904,OR(LEFT(L1904,3)=$O$7,LEFT(M1904,3)=$O$7)),"x","")</f>
        <v/>
      </c>
      <c r="P1904" s="39" t="str">
        <f>IF(AND($B1904&gt;='111'!$N$11,$B1904&lt;='111'!$O$11,OR($L1904=$P$7,$M1904=$P$7)),"x","")</f>
        <v/>
      </c>
      <c r="Q1904" s="39" t="str">
        <f>IF(AND($L1904=$P$7,$B1904&lt;'111'!$N$11),"x","")</f>
        <v/>
      </c>
      <c r="R1904" s="39" t="str">
        <f>IF(AND($M1904=$P$7,$B1904&lt;'111'!$N$11),"x","")</f>
        <v/>
      </c>
      <c r="S1904" s="39" t="str">
        <f>IF(ISERROR(FIND('112'!$M$9,G1904,1)),"",IF((AND(FIND('112'!$M$9,G1904,1)&gt;=1,$B1904&gt;='112'!$N$8,$B1904&lt;='112'!$O$8,OR($L1904='112'!$I$6,$M1904='112'!$I$6))),"x",""))</f>
        <v/>
      </c>
      <c r="T1904" s="39" t="str">
        <f>IF(ISERROR(FIND('112'!$M$9,G1904,1)),"",IF((AND(LEFT(G1904,2)=LEFT('112'!$M$9,2),B1904&lt;'112'!$N$8,$L1904='112'!$I$6)),"x",""))</f>
        <v/>
      </c>
      <c r="U1904" s="39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39" t="str">
        <f>IF(OR(TH!L1904=TH!$W$7,M1904=TH!$W$7),"x","")</f>
        <v/>
      </c>
      <c r="X1904" s="39" t="str">
        <f>IF(AND(B1904&gt;='IN-NX'!$P$3,B1904&lt;='IN-NX'!$Q$3,'IN-NX'!$D$7=D1904,OR(LEFT(L1904,2)="15",AND(LEFT(M1904,2)&lt;&gt;"15",LEFT(M1904,2)&lt;&gt;"33"))),"x","")</f>
        <v/>
      </c>
      <c r="Y1904" s="39" t="str">
        <f>IF(AND(OR(LEFT(TH!L1904,2)="15",LEFT(TH!M1904,2)="15"),'152-CT'!$J$8=TH!F1904),"x","")</f>
        <v/>
      </c>
      <c r="Z1904" s="39" t="str">
        <f>IF(AND(OR(LEFT(TH!L1904,2)="15",LEFT(TH!M1904,2)="15"),TK!$E$7=TH!F1904),"x","")</f>
        <v/>
      </c>
      <c r="AA1904" s="39" t="str">
        <f>IF(AND(B1904&lt;=NKC!$N$8,B1904&gt;=NKC!$M$8),"x","")</f>
        <v/>
      </c>
      <c r="AB1904" s="821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 t="str">
        <f t="shared" si="101"/>
        <v/>
      </c>
      <c r="C1905" s="191"/>
      <c r="D1905" s="37"/>
      <c r="E1905" s="37"/>
      <c r="F1905" s="296"/>
      <c r="G1905" s="40"/>
      <c r="H1905" s="7"/>
      <c r="I1905" s="256"/>
      <c r="J1905" s="256"/>
      <c r="K1905" s="568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902" t="str">
        <f>IF(AND('341-CT'!$E$9=H1905,OR(LEFT(L1905,3)=$O$7,LEFT(M1905,3)=$O$7)),"x","")</f>
        <v/>
      </c>
      <c r="P1905" s="39" t="str">
        <f>IF(AND($B1905&gt;='111'!$N$11,$B1905&lt;='111'!$O$11,OR($L1905=$P$7,$M1905=$P$7)),"x","")</f>
        <v/>
      </c>
      <c r="Q1905" s="39" t="str">
        <f>IF(AND($L1905=$P$7,$B1905&lt;'111'!$N$11),"x","")</f>
        <v/>
      </c>
      <c r="R1905" s="39" t="str">
        <f>IF(AND($M1905=$P$7,$B1905&lt;'111'!$N$11),"x","")</f>
        <v/>
      </c>
      <c r="S1905" s="39" t="str">
        <f>IF(ISERROR(FIND('112'!$M$9,G1905,1)),"",IF((AND(FIND('112'!$M$9,G1905,1)&gt;=1,$B1905&gt;='112'!$N$8,$B1905&lt;='112'!$O$8,OR($L1905='112'!$I$6,$M1905='112'!$I$6))),"x",""))</f>
        <v/>
      </c>
      <c r="T1905" s="39" t="str">
        <f>IF(ISERROR(FIND('112'!$M$9,G1905,1)),"",IF((AND(LEFT(G1905,2)=LEFT('112'!$M$9,2),B1905&lt;'112'!$N$8,$L1905='112'!$I$6)),"x",""))</f>
        <v/>
      </c>
      <c r="U1905" s="39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39" t="str">
        <f>IF(OR(TH!L1905=TH!$W$7,M1905=TH!$W$7),"x","")</f>
        <v/>
      </c>
      <c r="X1905" s="39" t="str">
        <f>IF(AND(B1905&gt;='IN-NX'!$P$3,B1905&lt;='IN-NX'!$Q$3,'IN-NX'!$D$7=D1905,OR(LEFT(L1905,2)="15",AND(LEFT(M1905,2)&lt;&gt;"15",LEFT(M1905,2)&lt;&gt;"33"))),"x","")</f>
        <v/>
      </c>
      <c r="Y1905" s="39" t="str">
        <f>IF(AND(OR(LEFT(TH!L1905,2)="15",LEFT(TH!M1905,2)="15"),'152-CT'!$J$8=TH!F1905),"x","")</f>
        <v/>
      </c>
      <c r="Z1905" s="39" t="str">
        <f>IF(AND(OR(LEFT(TH!L1905,2)="15",LEFT(TH!M1905,2)="15"),TK!$E$7=TH!F1905),"x","")</f>
        <v/>
      </c>
      <c r="AA1905" s="39" t="str">
        <f>IF(AND(B1905&lt;=NKC!$N$8,B1905&gt;=NKC!$M$8),"x","")</f>
        <v/>
      </c>
      <c r="AB1905" s="821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 t="str">
        <f t="shared" si="101"/>
        <v/>
      </c>
      <c r="C1906" s="191"/>
      <c r="D1906" s="37"/>
      <c r="E1906" s="37"/>
      <c r="F1906" s="296"/>
      <c r="G1906" s="40"/>
      <c r="H1906" s="7"/>
      <c r="I1906" s="256"/>
      <c r="J1906" s="256"/>
      <c r="K1906" s="568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902" t="str">
        <f>IF(AND('341-CT'!$E$9=H1906,OR(LEFT(L1906,3)=$O$7,LEFT(M1906,3)=$O$7)),"x","")</f>
        <v/>
      </c>
      <c r="P1906" s="39" t="str">
        <f>IF(AND($B1906&gt;='111'!$N$11,$B1906&lt;='111'!$O$11,OR($L1906=$P$7,$M1906=$P$7)),"x","")</f>
        <v/>
      </c>
      <c r="Q1906" s="39" t="str">
        <f>IF(AND($L1906=$P$7,$B1906&lt;'111'!$N$11),"x","")</f>
        <v/>
      </c>
      <c r="R1906" s="39" t="str">
        <f>IF(AND($M1906=$P$7,$B1906&lt;'111'!$N$11),"x","")</f>
        <v/>
      </c>
      <c r="S1906" s="39" t="str">
        <f>IF(ISERROR(FIND('112'!$M$9,G1906,1)),"",IF((AND(FIND('112'!$M$9,G1906,1)&gt;=1,$B1906&gt;='112'!$N$8,$B1906&lt;='112'!$O$8,OR($L1906='112'!$I$6,$M1906='112'!$I$6))),"x",""))</f>
        <v/>
      </c>
      <c r="T1906" s="39" t="str">
        <f>IF(ISERROR(FIND('112'!$M$9,G1906,1)),"",IF((AND(LEFT(G1906,2)=LEFT('112'!$M$9,2),B1906&lt;'112'!$N$8,$L1906='112'!$I$6)),"x",""))</f>
        <v/>
      </c>
      <c r="U1906" s="39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39" t="str">
        <f>IF(OR(TH!L1906=TH!$W$7,M1906=TH!$W$7),"x","")</f>
        <v/>
      </c>
      <c r="X1906" s="39" t="str">
        <f>IF(AND(B1906&gt;='IN-NX'!$P$3,B1906&lt;='IN-NX'!$Q$3,'IN-NX'!$D$7=D1906,OR(LEFT(L1906,2)="15",AND(LEFT(M1906,2)&lt;&gt;"15",LEFT(M1906,2)&lt;&gt;"33"))),"x","")</f>
        <v/>
      </c>
      <c r="Y1906" s="39" t="str">
        <f>IF(AND(OR(LEFT(TH!L1906,2)="15",LEFT(TH!M1906,2)="15"),'152-CT'!$J$8=TH!F1906),"x","")</f>
        <v/>
      </c>
      <c r="Z1906" s="39" t="str">
        <f>IF(AND(OR(LEFT(TH!L1906,2)="15",LEFT(TH!M1906,2)="15"),TK!$E$7=TH!F1906),"x","")</f>
        <v/>
      </c>
      <c r="AA1906" s="39" t="str">
        <f>IF(AND(B1906&lt;=NKC!$N$8,B1906&gt;=NKC!$M$8),"x","")</f>
        <v/>
      </c>
      <c r="AB1906" s="821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 t="str">
        <f t="shared" si="101"/>
        <v/>
      </c>
      <c r="C1907" s="191"/>
      <c r="D1907" s="37"/>
      <c r="E1907" s="37"/>
      <c r="F1907" s="296"/>
      <c r="G1907" s="40"/>
      <c r="H1907" s="7"/>
      <c r="I1907" s="256"/>
      <c r="J1907" s="256"/>
      <c r="K1907" s="568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902" t="str">
        <f>IF(AND('341-CT'!$E$9=H1907,OR(LEFT(L1907,3)=$O$7,LEFT(M1907,3)=$O$7)),"x","")</f>
        <v/>
      </c>
      <c r="P1907" s="39" t="str">
        <f>IF(AND($B1907&gt;='111'!$N$11,$B1907&lt;='111'!$O$11,OR($L1907=$P$7,$M1907=$P$7)),"x","")</f>
        <v/>
      </c>
      <c r="Q1907" s="39" t="str">
        <f>IF(AND($L1907=$P$7,$B1907&lt;'111'!$N$11),"x","")</f>
        <v/>
      </c>
      <c r="R1907" s="39" t="str">
        <f>IF(AND($M1907=$P$7,$B1907&lt;'111'!$N$11),"x","")</f>
        <v/>
      </c>
      <c r="S1907" s="39" t="str">
        <f>IF(ISERROR(FIND('112'!$M$9,G1907,1)),"",IF((AND(FIND('112'!$M$9,G1907,1)&gt;=1,$B1907&gt;='112'!$N$8,$B1907&lt;='112'!$O$8,OR($L1907='112'!$I$6,$M1907='112'!$I$6))),"x",""))</f>
        <v/>
      </c>
      <c r="T1907" s="39" t="str">
        <f>IF(ISERROR(FIND('112'!$M$9,G1907,1)),"",IF((AND(LEFT(G1907,2)=LEFT('112'!$M$9,2),B1907&lt;'112'!$N$8,$L1907='112'!$I$6)),"x",""))</f>
        <v/>
      </c>
      <c r="U1907" s="39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39" t="str">
        <f>IF(OR(TH!L1907=TH!$W$7,M1907=TH!$W$7),"x","")</f>
        <v/>
      </c>
      <c r="X1907" s="39" t="str">
        <f>IF(AND(B1907&gt;='IN-NX'!$P$3,B1907&lt;='IN-NX'!$Q$3,'IN-NX'!$D$7=D1907,OR(LEFT(L1907,2)="15",AND(LEFT(M1907,2)&lt;&gt;"15",LEFT(M1907,2)&lt;&gt;"33"))),"x","")</f>
        <v/>
      </c>
      <c r="Y1907" s="39" t="str">
        <f>IF(AND(OR(LEFT(TH!L1907,2)="15",LEFT(TH!M1907,2)="15"),'152-CT'!$J$8=TH!F1907),"x","")</f>
        <v/>
      </c>
      <c r="Z1907" s="39" t="str">
        <f>IF(AND(OR(LEFT(TH!L1907,2)="15",LEFT(TH!M1907,2)="15"),TK!$E$7=TH!F1907),"x","")</f>
        <v/>
      </c>
      <c r="AA1907" s="39" t="str">
        <f>IF(AND(B1907&lt;=NKC!$N$8,B1907&gt;=NKC!$M$8),"x","")</f>
        <v/>
      </c>
      <c r="AB1907" s="821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 t="str">
        <f t="shared" si="101"/>
        <v/>
      </c>
      <c r="C1908" s="191"/>
      <c r="D1908" s="37"/>
      <c r="E1908" s="37"/>
      <c r="F1908" s="192"/>
      <c r="G1908" s="468"/>
      <c r="H1908" s="7"/>
      <c r="I1908" s="256"/>
      <c r="J1908" s="256"/>
      <c r="K1908" s="568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902" t="str">
        <f>IF(AND('341-CT'!$E$9=H1908,OR(LEFT(L1908,3)=$O$7,LEFT(M1908,3)=$O$7)),"x","")</f>
        <v/>
      </c>
      <c r="P1908" s="39" t="str">
        <f>IF(AND($B1908&gt;='111'!$N$11,$B1908&lt;='111'!$O$11,OR($L1908=$P$7,$M1908=$P$7)),"x","")</f>
        <v/>
      </c>
      <c r="Q1908" s="39" t="str">
        <f>IF(AND($L1908=$P$7,$B1908&lt;'111'!$N$11),"x","")</f>
        <v/>
      </c>
      <c r="R1908" s="39" t="str">
        <f>IF(AND($M1908=$P$7,$B1908&lt;'111'!$N$11),"x","")</f>
        <v/>
      </c>
      <c r="S1908" s="39" t="str">
        <f>IF(ISERROR(FIND('112'!$M$9,G1908,1)),"",IF((AND(FIND('112'!$M$9,G1908,1)&gt;=1,$B1908&gt;='112'!$N$8,$B1908&lt;='112'!$O$8,OR($L1908='112'!$I$6,$M1908='112'!$I$6))),"x",""))</f>
        <v/>
      </c>
      <c r="T1908" s="39" t="str">
        <f>IF(ISERROR(FIND('112'!$M$9,G1908,1)),"",IF((AND(LEFT(G1908,2)=LEFT('112'!$M$9,2),B1908&lt;'112'!$N$8,$L1908='112'!$I$6)),"x",""))</f>
        <v/>
      </c>
      <c r="U1908" s="39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39" t="str">
        <f>IF(OR(TH!L1908=TH!$W$7,M1908=TH!$W$7),"x","")</f>
        <v/>
      </c>
      <c r="X1908" s="39" t="str">
        <f>IF(AND(B1908&gt;='IN-NX'!$P$3,B1908&lt;='IN-NX'!$Q$3,'IN-NX'!$D$7=D1908,OR(LEFT(L1908,2)="15",AND(LEFT(M1908,2)&lt;&gt;"15",LEFT(M1908,2)&lt;&gt;"33"))),"x","")</f>
        <v/>
      </c>
      <c r="Y1908" s="39" t="str">
        <f>IF(AND(OR(LEFT(TH!L1908,2)="15",LEFT(TH!M1908,2)="15"),'152-CT'!$J$8=TH!F1908),"x","")</f>
        <v/>
      </c>
      <c r="Z1908" s="39" t="str">
        <f>IF(AND(OR(LEFT(TH!L1908,2)="15",LEFT(TH!M1908,2)="15"),TK!$E$7=TH!F1908),"x","")</f>
        <v/>
      </c>
      <c r="AA1908" s="39" t="str">
        <f>IF(AND(B1908&lt;=NKC!$N$8,B1908&gt;=NKC!$M$8),"x","")</f>
        <v/>
      </c>
      <c r="AB1908" s="821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 t="str">
        <f t="shared" si="101"/>
        <v/>
      </c>
      <c r="C1909" s="191"/>
      <c r="D1909" s="37"/>
      <c r="E1909" s="37"/>
      <c r="F1909" s="192"/>
      <c r="G1909" s="468"/>
      <c r="H1909" s="7"/>
      <c r="I1909" s="256"/>
      <c r="J1909" s="256"/>
      <c r="K1909" s="56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902" t="str">
        <f>IF(AND('341-CT'!$E$9=H1909,OR(LEFT(L1909,3)=$O$7,LEFT(M1909,3)=$O$7)),"x","")</f>
        <v/>
      </c>
      <c r="P1909" s="39" t="str">
        <f>IF(AND($B1909&gt;='111'!$N$11,$B1909&lt;='111'!$O$11,OR($L1909=$P$7,$M1909=$P$7)),"x","")</f>
        <v/>
      </c>
      <c r="Q1909" s="39" t="str">
        <f>IF(AND($L1909=$P$7,$B1909&lt;'111'!$N$11),"x","")</f>
        <v/>
      </c>
      <c r="R1909" s="39" t="str">
        <f>IF(AND($M1909=$P$7,$B1909&lt;'111'!$N$11),"x","")</f>
        <v/>
      </c>
      <c r="S1909" s="39" t="str">
        <f>IF(ISERROR(FIND('112'!$M$9,G1909,1)),"",IF((AND(FIND('112'!$M$9,G1909,1)&gt;=1,$B1909&gt;='112'!$N$8,$B1909&lt;='112'!$O$8,OR($L1909='112'!$I$6,$M1909='112'!$I$6))),"x",""))</f>
        <v/>
      </c>
      <c r="T1909" s="39" t="str">
        <f>IF(ISERROR(FIND('112'!$M$9,G1909,1)),"",IF((AND(LEFT(G1909,2)=LEFT('112'!$M$9,2),B1909&lt;'112'!$N$8,$L1909='112'!$I$6)),"x",""))</f>
        <v/>
      </c>
      <c r="U1909" s="39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39" t="str">
        <f>IF(OR(TH!L1909=TH!$W$7,M1909=TH!$W$7),"x","")</f>
        <v/>
      </c>
      <c r="X1909" s="39" t="str">
        <f>IF(AND(B1909&gt;='IN-NX'!$P$3,B1909&lt;='IN-NX'!$Q$3,'IN-NX'!$D$7=D1909,OR(LEFT(L1909,2)="15",AND(LEFT(M1909,2)&lt;&gt;"15",LEFT(M1909,2)&lt;&gt;"33"))),"x","")</f>
        <v/>
      </c>
      <c r="Y1909" s="39" t="str">
        <f>IF(AND(OR(LEFT(TH!L1909,2)="15",LEFT(TH!M1909,2)="15"),'152-CT'!$J$8=TH!F1909),"x","")</f>
        <v/>
      </c>
      <c r="Z1909" s="39" t="str">
        <f>IF(AND(OR(LEFT(TH!L1909,2)="15",LEFT(TH!M1909,2)="15"),TK!$E$7=TH!F1909),"x","")</f>
        <v/>
      </c>
      <c r="AA1909" s="39" t="str">
        <f>IF(AND(B1909&lt;=NKC!$N$8,B1909&gt;=NKC!$M$8),"x","")</f>
        <v/>
      </c>
      <c r="AB1909" s="821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 t="str">
        <f t="shared" si="101"/>
        <v/>
      </c>
      <c r="C1910" s="191"/>
      <c r="D1910" s="37"/>
      <c r="E1910" s="37"/>
      <c r="F1910" s="192"/>
      <c r="G1910" s="468"/>
      <c r="H1910" s="7"/>
      <c r="I1910" s="256"/>
      <c r="J1910" s="256"/>
      <c r="K1910" s="56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902" t="str">
        <f>IF(AND('341-CT'!$E$9=H1910,OR(LEFT(L1910,3)=$O$7,LEFT(M1910,3)=$O$7)),"x","")</f>
        <v/>
      </c>
      <c r="P1910" s="39" t="str">
        <f>IF(AND($B1910&gt;='111'!$N$11,$B1910&lt;='111'!$O$11,OR($L1910=$P$7,$M1910=$P$7)),"x","")</f>
        <v/>
      </c>
      <c r="Q1910" s="39" t="str">
        <f>IF(AND($L1910=$P$7,$B1910&lt;'111'!$N$11),"x","")</f>
        <v/>
      </c>
      <c r="R1910" s="39" t="str">
        <f>IF(AND($M1910=$P$7,$B1910&lt;'111'!$N$11),"x","")</f>
        <v/>
      </c>
      <c r="S1910" s="39" t="str">
        <f>IF(ISERROR(FIND('112'!$M$9,G1910,1)),"",IF((AND(FIND('112'!$M$9,G1910,1)&gt;=1,$B1910&gt;='112'!$N$8,$B1910&lt;='112'!$O$8,OR($L1910='112'!$I$6,$M1910='112'!$I$6))),"x",""))</f>
        <v/>
      </c>
      <c r="T1910" s="39" t="str">
        <f>IF(ISERROR(FIND('112'!$M$9,G1910,1)),"",IF((AND(LEFT(G1910,2)=LEFT('112'!$M$9,2),B1910&lt;'112'!$N$8,$L1910='112'!$I$6)),"x",""))</f>
        <v/>
      </c>
      <c r="U1910" s="39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39" t="str">
        <f>IF(OR(TH!L1910=TH!$W$7,M1910=TH!$W$7),"x","")</f>
        <v/>
      </c>
      <c r="X1910" s="39" t="str">
        <f>IF(AND(B1910&gt;='IN-NX'!$P$3,B1910&lt;='IN-NX'!$Q$3,'IN-NX'!$D$7=D1910,OR(LEFT(L1910,2)="15",AND(LEFT(M1910,2)&lt;&gt;"15",LEFT(M1910,2)&lt;&gt;"33"))),"x","")</f>
        <v/>
      </c>
      <c r="Y1910" s="39" t="str">
        <f>IF(AND(OR(LEFT(TH!L1910,2)="15",LEFT(TH!M1910,2)="15"),'152-CT'!$J$8=TH!F1910),"x","")</f>
        <v/>
      </c>
      <c r="Z1910" s="39" t="str">
        <f>IF(AND(OR(LEFT(TH!L1910,2)="15",LEFT(TH!M1910,2)="15"),TK!$E$7=TH!F1910),"x","")</f>
        <v/>
      </c>
      <c r="AA1910" s="39" t="str">
        <f>IF(AND(B1910&lt;=NKC!$N$8,B1910&gt;=NKC!$M$8),"x","")</f>
        <v/>
      </c>
      <c r="AB1910" s="821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 t="str">
        <f t="shared" si="101"/>
        <v/>
      </c>
      <c r="C1911" s="191"/>
      <c r="D1911" s="37"/>
      <c r="E1911" s="37"/>
      <c r="F1911" s="192"/>
      <c r="G1911" s="468"/>
      <c r="H1911" s="7"/>
      <c r="I1911" s="256"/>
      <c r="J1911" s="256"/>
      <c r="K1911" s="56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902" t="str">
        <f>IF(AND('341-CT'!$E$9=H1911,OR(LEFT(L1911,3)=$O$7,LEFT(M1911,3)=$O$7)),"x","")</f>
        <v/>
      </c>
      <c r="P1911" s="39" t="str">
        <f>IF(AND($B1911&gt;='111'!$N$11,$B1911&lt;='111'!$O$11,OR($L1911=$P$7,$M1911=$P$7)),"x","")</f>
        <v/>
      </c>
      <c r="Q1911" s="39" t="str">
        <f>IF(AND($L1911=$P$7,$B1911&lt;'111'!$N$11),"x","")</f>
        <v/>
      </c>
      <c r="R1911" s="39" t="str">
        <f>IF(AND($M1911=$P$7,$B1911&lt;'111'!$N$11),"x","")</f>
        <v/>
      </c>
      <c r="S1911" s="39" t="str">
        <f>IF(ISERROR(FIND('112'!$M$9,G1911,1)),"",IF((AND(FIND('112'!$M$9,G1911,1)&gt;=1,$B1911&gt;='112'!$N$8,$B1911&lt;='112'!$O$8,OR($L1911='112'!$I$6,$M1911='112'!$I$6))),"x",""))</f>
        <v/>
      </c>
      <c r="T1911" s="39" t="str">
        <f>IF(ISERROR(FIND('112'!$M$9,G1911,1)),"",IF((AND(LEFT(G1911,2)=LEFT('112'!$M$9,2),B1911&lt;'112'!$N$8,$L1911='112'!$I$6)),"x",""))</f>
        <v/>
      </c>
      <c r="U1911" s="39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39" t="str">
        <f>IF(OR(TH!L1911=TH!$W$7,M1911=TH!$W$7),"x","")</f>
        <v/>
      </c>
      <c r="X1911" s="39" t="str">
        <f>IF(AND(B1911&gt;='IN-NX'!$P$3,B1911&lt;='IN-NX'!$Q$3,'IN-NX'!$D$7=D1911,OR(LEFT(L1911,2)="15",AND(LEFT(M1911,2)&lt;&gt;"15",LEFT(M1911,2)&lt;&gt;"33"))),"x","")</f>
        <v/>
      </c>
      <c r="Y1911" s="39" t="str">
        <f>IF(AND(OR(LEFT(TH!L1911,2)="15",LEFT(TH!M1911,2)="15"),'152-CT'!$J$8=TH!F1911),"x","")</f>
        <v/>
      </c>
      <c r="Z1911" s="39" t="str">
        <f>IF(AND(OR(LEFT(TH!L1911,2)="15",LEFT(TH!M1911,2)="15"),TK!$E$7=TH!F1911),"x","")</f>
        <v/>
      </c>
      <c r="AA1911" s="39" t="str">
        <f>IF(AND(B1911&lt;=NKC!$N$8,B1911&gt;=NKC!$M$8),"x","")</f>
        <v/>
      </c>
      <c r="AB1911" s="821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 t="str">
        <f t="shared" si="101"/>
        <v/>
      </c>
      <c r="C1912" s="191"/>
      <c r="D1912" s="37"/>
      <c r="E1912" s="37"/>
      <c r="F1912" s="192"/>
      <c r="G1912" s="468"/>
      <c r="H1912" s="7"/>
      <c r="I1912" s="256"/>
      <c r="J1912" s="256"/>
      <c r="K1912" s="56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902" t="str">
        <f>IF(AND('341-CT'!$E$9=H1912,OR(LEFT(L1912,3)=$O$7,LEFT(M1912,3)=$O$7)),"x","")</f>
        <v/>
      </c>
      <c r="P1912" s="39" t="str">
        <f>IF(AND($B1912&gt;='111'!$N$11,$B1912&lt;='111'!$O$11,OR($L1912=$P$7,$M1912=$P$7)),"x","")</f>
        <v/>
      </c>
      <c r="Q1912" s="39" t="str">
        <f>IF(AND($L1912=$P$7,$B1912&lt;'111'!$N$11),"x","")</f>
        <v/>
      </c>
      <c r="R1912" s="39" t="str">
        <f>IF(AND($M1912=$P$7,$B1912&lt;'111'!$N$11),"x","")</f>
        <v/>
      </c>
      <c r="S1912" s="39" t="str">
        <f>IF(ISERROR(FIND('112'!$M$9,G1912,1)),"",IF((AND(FIND('112'!$M$9,G1912,1)&gt;=1,$B1912&gt;='112'!$N$8,$B1912&lt;='112'!$O$8,OR($L1912='112'!$I$6,$M1912='112'!$I$6))),"x",""))</f>
        <v/>
      </c>
      <c r="T1912" s="39" t="str">
        <f>IF(ISERROR(FIND('112'!$M$9,G1912,1)),"",IF((AND(LEFT(G1912,2)=LEFT('112'!$M$9,2),B1912&lt;'112'!$N$8,$L1912='112'!$I$6)),"x",""))</f>
        <v/>
      </c>
      <c r="U1912" s="39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39" t="str">
        <f>IF(OR(TH!L1912=TH!$W$7,M1912=TH!$W$7),"x","")</f>
        <v/>
      </c>
      <c r="X1912" s="39" t="str">
        <f>IF(AND(B1912&gt;='IN-NX'!$P$3,B1912&lt;='IN-NX'!$Q$3,'IN-NX'!$D$7=D1912,OR(LEFT(L1912,2)="15",AND(LEFT(M1912,2)&lt;&gt;"15",LEFT(M1912,2)&lt;&gt;"33"))),"x","")</f>
        <v/>
      </c>
      <c r="Y1912" s="39" t="str">
        <f>IF(AND(OR(LEFT(TH!L1912,2)="15",LEFT(TH!M1912,2)="15"),'152-CT'!$J$8=TH!F1912),"x","")</f>
        <v/>
      </c>
      <c r="Z1912" s="39" t="str">
        <f>IF(AND(OR(LEFT(TH!L1912,2)="15",LEFT(TH!M1912,2)="15"),TK!$E$7=TH!F1912),"x","")</f>
        <v/>
      </c>
      <c r="AA1912" s="39" t="str">
        <f>IF(AND(B1912&lt;=NKC!$N$8,B1912&gt;=NKC!$M$8),"x","")</f>
        <v/>
      </c>
      <c r="AB1912" s="821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ref="B1913:B1976" si="102">IF(C1913&lt;&gt;"",MONTH(C1913),"")</f>
        <v/>
      </c>
      <c r="C1913" s="191"/>
      <c r="D1913" s="37"/>
      <c r="E1913" s="37"/>
      <c r="F1913" s="192"/>
      <c r="G1913" s="468"/>
      <c r="H1913" s="7"/>
      <c r="I1913" s="256"/>
      <c r="J1913" s="256"/>
      <c r="K1913" s="56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902" t="str">
        <f>IF(AND('341-CT'!$E$9=H1913,OR(LEFT(L1913,3)=$O$7,LEFT(M1913,3)=$O$7)),"x","")</f>
        <v/>
      </c>
      <c r="P1913" s="39" t="str">
        <f>IF(AND($B1913&gt;='111'!$N$11,$B1913&lt;='111'!$O$11,OR($L1913=$P$7,$M1913=$P$7)),"x","")</f>
        <v/>
      </c>
      <c r="Q1913" s="39" t="str">
        <f>IF(AND($L1913=$P$7,$B1913&lt;'111'!$N$11),"x","")</f>
        <v/>
      </c>
      <c r="R1913" s="39" t="str">
        <f>IF(AND($M1913=$P$7,$B1913&lt;'111'!$N$11),"x","")</f>
        <v/>
      </c>
      <c r="S1913" s="39" t="str">
        <f>IF(ISERROR(FIND('112'!$M$9,G1913,1)),"",IF((AND(FIND('112'!$M$9,G1913,1)&gt;=1,$B1913&gt;='112'!$N$8,$B1913&lt;='112'!$O$8,OR($L1913='112'!$I$6,$M1913='112'!$I$6))),"x",""))</f>
        <v/>
      </c>
      <c r="T1913" s="39" t="str">
        <f>IF(ISERROR(FIND('112'!$M$9,G1913,1)),"",IF((AND(LEFT(G1913,2)=LEFT('112'!$M$9,2),B1913&lt;'112'!$N$8,$L1913='112'!$I$6)),"x",""))</f>
        <v/>
      </c>
      <c r="U1913" s="39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39" t="str">
        <f>IF(OR(TH!L1913=TH!$W$7,M1913=TH!$W$7),"x","")</f>
        <v/>
      </c>
      <c r="X1913" s="39" t="str">
        <f>IF(AND(B1913&gt;='IN-NX'!$P$3,B1913&lt;='IN-NX'!$Q$3,'IN-NX'!$D$7=D1913,OR(LEFT(L1913,2)="15",AND(LEFT(M1913,2)&lt;&gt;"15",LEFT(M1913,2)&lt;&gt;"33"))),"x","")</f>
        <v/>
      </c>
      <c r="Y1913" s="39" t="str">
        <f>IF(AND(OR(LEFT(TH!L1913,2)="15",LEFT(TH!M1913,2)="15"),'152-CT'!$J$8=TH!F1913),"x","")</f>
        <v/>
      </c>
      <c r="Z1913" s="39" t="str">
        <f>IF(AND(OR(LEFT(TH!L1913,2)="15",LEFT(TH!M1913,2)="15"),TK!$E$7=TH!F1913),"x","")</f>
        <v/>
      </c>
      <c r="AA1913" s="39" t="str">
        <f>IF(AND(B1913&lt;=NKC!$N$8,B1913&gt;=NKC!$M$8),"x","")</f>
        <v/>
      </c>
      <c r="AB1913" s="821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102"/>
        <v/>
      </c>
      <c r="C1914" s="191"/>
      <c r="D1914" s="37"/>
      <c r="E1914" s="37"/>
      <c r="F1914" s="192"/>
      <c r="G1914" s="468"/>
      <c r="H1914" s="7"/>
      <c r="I1914" s="256"/>
      <c r="J1914" s="256"/>
      <c r="K1914" s="568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902" t="str">
        <f>IF(AND('341-CT'!$E$9=H1914,OR(LEFT(L1914,3)=$O$7,LEFT(M1914,3)=$O$7)),"x","")</f>
        <v/>
      </c>
      <c r="P1914" s="39" t="str">
        <f>IF(AND($B1914&gt;='111'!$N$11,$B1914&lt;='111'!$O$11,OR($L1914=$P$7,$M1914=$P$7)),"x","")</f>
        <v/>
      </c>
      <c r="Q1914" s="39" t="str">
        <f>IF(AND($L1914=$P$7,$B1914&lt;'111'!$N$11),"x","")</f>
        <v/>
      </c>
      <c r="R1914" s="39" t="str">
        <f>IF(AND($M1914=$P$7,$B1914&lt;'111'!$N$11),"x","")</f>
        <v/>
      </c>
      <c r="S1914" s="39" t="str">
        <f>IF(ISERROR(FIND('112'!$M$9,G1914,1)),"",IF((AND(FIND('112'!$M$9,G1914,1)&gt;=1,$B1914&gt;='112'!$N$8,$B1914&lt;='112'!$O$8,OR($L1914='112'!$I$6,$M1914='112'!$I$6))),"x",""))</f>
        <v/>
      </c>
      <c r="T1914" s="39" t="str">
        <f>IF(ISERROR(FIND('112'!$M$9,G1914,1)),"",IF((AND(LEFT(G1914,2)=LEFT('112'!$M$9,2),B1914&lt;'112'!$N$8,$L1914='112'!$I$6)),"x",""))</f>
        <v/>
      </c>
      <c r="U1914" s="39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39" t="str">
        <f>IF(OR(TH!L1914=TH!$W$7,M1914=TH!$W$7),"x","")</f>
        <v/>
      </c>
      <c r="X1914" s="39" t="str">
        <f>IF(AND(B1914&gt;='IN-NX'!$P$3,B1914&lt;='IN-NX'!$Q$3,'IN-NX'!$D$7=D1914,OR(LEFT(L1914,2)="15",AND(LEFT(M1914,2)&lt;&gt;"15",LEFT(M1914,2)&lt;&gt;"33"))),"x","")</f>
        <v/>
      </c>
      <c r="Y1914" s="39" t="str">
        <f>IF(AND(OR(LEFT(TH!L1914,2)="15",LEFT(TH!M1914,2)="15"),'152-CT'!$J$8=TH!F1914),"x","")</f>
        <v/>
      </c>
      <c r="Z1914" s="39" t="str">
        <f>IF(AND(OR(LEFT(TH!L1914,2)="15",LEFT(TH!M1914,2)="15"),TK!$E$7=TH!F1914),"x","")</f>
        <v/>
      </c>
      <c r="AA1914" s="39" t="str">
        <f>IF(AND(B1914&lt;=NKC!$N$8,B1914&gt;=NKC!$M$8),"x","")</f>
        <v/>
      </c>
      <c r="AB1914" s="821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102"/>
        <v/>
      </c>
      <c r="C1915" s="191"/>
      <c r="D1915" s="37"/>
      <c r="E1915" s="37"/>
      <c r="F1915" s="192"/>
      <c r="G1915" s="468"/>
      <c r="H1915" s="7"/>
      <c r="I1915" s="256"/>
      <c r="J1915" s="256"/>
      <c r="K1915" s="568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902" t="str">
        <f>IF(AND('341-CT'!$E$9=H1915,OR(LEFT(L1915,3)=$O$7,LEFT(M1915,3)=$O$7)),"x","")</f>
        <v/>
      </c>
      <c r="P1915" s="39" t="str">
        <f>IF(AND($B1915&gt;='111'!$N$11,$B1915&lt;='111'!$O$11,OR($L1915=$P$7,$M1915=$P$7)),"x","")</f>
        <v/>
      </c>
      <c r="Q1915" s="39" t="str">
        <f>IF(AND($L1915=$P$7,$B1915&lt;'111'!$N$11),"x","")</f>
        <v/>
      </c>
      <c r="R1915" s="39" t="str">
        <f>IF(AND($M1915=$P$7,$B1915&lt;'111'!$N$11),"x","")</f>
        <v/>
      </c>
      <c r="S1915" s="39" t="str">
        <f>IF(ISERROR(FIND('112'!$M$9,G1915,1)),"",IF((AND(FIND('112'!$M$9,G1915,1)&gt;=1,$B1915&gt;='112'!$N$8,$B1915&lt;='112'!$O$8,OR($L1915='112'!$I$6,$M1915='112'!$I$6))),"x",""))</f>
        <v/>
      </c>
      <c r="T1915" s="39" t="str">
        <f>IF(ISERROR(FIND('112'!$M$9,G1915,1)),"",IF((AND(LEFT(G1915,2)=LEFT('112'!$M$9,2),B1915&lt;'112'!$N$8,$L1915='112'!$I$6)),"x",""))</f>
        <v/>
      </c>
      <c r="U1915" s="39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39" t="str">
        <f>IF(OR(TH!L1915=TH!$W$7,M1915=TH!$W$7),"x","")</f>
        <v/>
      </c>
      <c r="X1915" s="39" t="str">
        <f>IF(AND(B1915&gt;='IN-NX'!$P$3,B1915&lt;='IN-NX'!$Q$3,'IN-NX'!$D$7=D1915,OR(LEFT(L1915,2)="15",AND(LEFT(M1915,2)&lt;&gt;"15",LEFT(M1915,2)&lt;&gt;"33"))),"x","")</f>
        <v/>
      </c>
      <c r="Y1915" s="39" t="str">
        <f>IF(AND(OR(LEFT(TH!L1915,2)="15",LEFT(TH!M1915,2)="15"),'152-CT'!$J$8=TH!F1915),"x","")</f>
        <v/>
      </c>
      <c r="Z1915" s="39" t="str">
        <f>IF(AND(OR(LEFT(TH!L1915,2)="15",LEFT(TH!M1915,2)="15"),TK!$E$7=TH!F1915),"x","")</f>
        <v/>
      </c>
      <c r="AA1915" s="39" t="str">
        <f>IF(AND(B1915&lt;=NKC!$N$8,B1915&gt;=NKC!$M$8),"x","")</f>
        <v/>
      </c>
      <c r="AB1915" s="821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102"/>
        <v/>
      </c>
      <c r="C1916" s="191"/>
      <c r="D1916" s="191"/>
      <c r="E1916" s="191"/>
      <c r="F1916" s="192"/>
      <c r="G1916" s="468"/>
      <c r="H1916" s="193"/>
      <c r="I1916" s="256"/>
      <c r="J1916" s="256"/>
      <c r="K1916" s="568"/>
      <c r="L1916" s="194"/>
      <c r="M1916" s="194"/>
      <c r="N1916" s="39" t="str">
        <f>IF(AND('331-CT'!$E$7=TH!H1916,OR(L1916="331",M1916="331")),"331",IF(AND(OR(L1916="131",M1916="131"),H1916='131-CT'!$E$7),"131",""))</f>
        <v/>
      </c>
      <c r="O1916" s="902" t="str">
        <f>IF(AND('341-CT'!$E$9=H1916,OR(LEFT(L1916,3)=$O$7,LEFT(M1916,3)=$O$7)),"x","")</f>
        <v/>
      </c>
      <c r="P1916" s="39" t="str">
        <f>IF(AND($B1916&gt;='111'!$N$11,$B1916&lt;='111'!$O$11,OR($L1916=$P$7,$M1916=$P$7)),"x","")</f>
        <v/>
      </c>
      <c r="Q1916" s="39" t="str">
        <f>IF(AND($L1916=$P$7,$B1916&lt;'111'!$N$11),"x","")</f>
        <v/>
      </c>
      <c r="R1916" s="39" t="str">
        <f>IF(AND($M1916=$P$7,$B1916&lt;'111'!$N$11),"x","")</f>
        <v/>
      </c>
      <c r="S1916" s="39" t="str">
        <f>IF(ISERROR(FIND('112'!$M$9,G1916,1)),"",IF((AND(FIND('112'!$M$9,G1916,1)&gt;=1,$B1916&gt;='112'!$N$8,$B1916&lt;='112'!$O$8,OR($L1916='112'!$I$6,$M1916='112'!$I$6))),"x",""))</f>
        <v/>
      </c>
      <c r="T1916" s="39" t="str">
        <f>IF(ISERROR(FIND('112'!$M$9,G1916,1)),"",IF((AND(LEFT(G1916,2)=LEFT('112'!$M$9,2),B1916&lt;'112'!$N$8,$L1916='112'!$I$6)),"x",""))</f>
        <v/>
      </c>
      <c r="U1916" s="39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39" t="str">
        <f>IF(OR(TH!L1916=TH!$W$7,M1916=TH!$W$7),"x","")</f>
        <v/>
      </c>
      <c r="X1916" s="39" t="str">
        <f>IF(AND(B1916&gt;='IN-NX'!$P$3,B1916&lt;='IN-NX'!$Q$3,'IN-NX'!$D$7=D1916,OR(LEFT(L1916,2)="15",AND(LEFT(M1916,2)&lt;&gt;"15",LEFT(M1916,2)&lt;&gt;"33"))),"x","")</f>
        <v/>
      </c>
      <c r="Y1916" s="39" t="str">
        <f>IF(AND(OR(LEFT(TH!L1916,2)="15",LEFT(TH!M1916,2)="15"),'152-CT'!$J$8=TH!F1916),"x","")</f>
        <v/>
      </c>
      <c r="Z1916" s="39" t="str">
        <f>IF(AND(OR(LEFT(TH!L1916,2)="15",LEFT(TH!M1916,2)="15"),TK!$E$7=TH!F1916),"x","")</f>
        <v/>
      </c>
      <c r="AA1916" s="39" t="str">
        <f>IF(AND(B1916&lt;=NKC!$N$8,B1916&gt;=NKC!$M$8),"x","")</f>
        <v/>
      </c>
      <c r="AB1916" s="821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102"/>
        <v/>
      </c>
      <c r="C1917" s="191"/>
      <c r="D1917" s="191"/>
      <c r="E1917" s="191"/>
      <c r="F1917" s="192"/>
      <c r="G1917" s="468"/>
      <c r="H1917" s="193"/>
      <c r="I1917" s="256"/>
      <c r="J1917" s="256"/>
      <c r="K1917" s="568"/>
      <c r="L1917" s="194"/>
      <c r="M1917" s="194"/>
      <c r="N1917" s="39" t="str">
        <f>IF(AND('331-CT'!$E$7=TH!H1917,OR(L1917="331",M1917="331")),"331",IF(AND(OR(L1917="131",M1917="131"),H1917='131-CT'!$E$7),"131",""))</f>
        <v/>
      </c>
      <c r="O1917" s="902" t="str">
        <f>IF(AND('341-CT'!$E$9=H1917,OR(LEFT(L1917,3)=$O$7,LEFT(M1917,3)=$O$7)),"x","")</f>
        <v/>
      </c>
      <c r="P1917" s="39" t="str">
        <f>IF(AND($B1917&gt;='111'!$N$11,$B1917&lt;='111'!$O$11,OR($L1917=$P$7,$M1917=$P$7)),"x","")</f>
        <v/>
      </c>
      <c r="Q1917" s="39" t="str">
        <f>IF(AND($L1917=$P$7,$B1917&lt;'111'!$N$11),"x","")</f>
        <v/>
      </c>
      <c r="R1917" s="39" t="str">
        <f>IF(AND($M1917=$P$7,$B1917&lt;'111'!$N$11),"x","")</f>
        <v/>
      </c>
      <c r="S1917" s="39" t="str">
        <f>IF(ISERROR(FIND('112'!$M$9,G1917,1)),"",IF((AND(FIND('112'!$M$9,G1917,1)&gt;=1,$B1917&gt;='112'!$N$8,$B1917&lt;='112'!$O$8,OR($L1917='112'!$I$6,$M1917='112'!$I$6))),"x",""))</f>
        <v/>
      </c>
      <c r="T1917" s="39" t="str">
        <f>IF(ISERROR(FIND('112'!$M$9,G1917,1)),"",IF((AND(LEFT(G1917,2)=LEFT('112'!$M$9,2),B1917&lt;'112'!$N$8,$L1917='112'!$I$6)),"x",""))</f>
        <v/>
      </c>
      <c r="U1917" s="39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39" t="str">
        <f>IF(OR(TH!L1917=TH!$W$7,M1917=TH!$W$7),"x","")</f>
        <v/>
      </c>
      <c r="X1917" s="39" t="str">
        <f>IF(AND(B1917&gt;='IN-NX'!$P$3,B1917&lt;='IN-NX'!$Q$3,'IN-NX'!$D$7=D1917,OR(LEFT(L1917,2)="15",AND(LEFT(M1917,2)&lt;&gt;"15",LEFT(M1917,2)&lt;&gt;"33"))),"x","")</f>
        <v/>
      </c>
      <c r="Y1917" s="39" t="str">
        <f>IF(AND(OR(LEFT(TH!L1917,2)="15",LEFT(TH!M1917,2)="15"),'152-CT'!$J$8=TH!F1917),"x","")</f>
        <v/>
      </c>
      <c r="Z1917" s="39" t="str">
        <f>IF(AND(OR(LEFT(TH!L1917,2)="15",LEFT(TH!M1917,2)="15"),TK!$E$7=TH!F1917),"x","")</f>
        <v/>
      </c>
      <c r="AA1917" s="39" t="str">
        <f>IF(AND(B1917&lt;=NKC!$N$8,B1917&gt;=NKC!$M$8),"x","")</f>
        <v/>
      </c>
      <c r="AB1917" s="821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102"/>
        <v/>
      </c>
      <c r="C1918" s="191"/>
      <c r="D1918" s="191"/>
      <c r="E1918" s="191"/>
      <c r="F1918" s="192"/>
      <c r="G1918" s="468"/>
      <c r="H1918" s="193"/>
      <c r="I1918" s="256"/>
      <c r="J1918" s="256"/>
      <c r="K1918" s="568"/>
      <c r="L1918" s="194"/>
      <c r="M1918" s="194"/>
      <c r="N1918" s="39" t="str">
        <f>IF(AND('331-CT'!$E$7=TH!H1918,OR(L1918="331",M1918="331")),"331",IF(AND(OR(L1918="131",M1918="131"),H1918='131-CT'!$E$7),"131",""))</f>
        <v/>
      </c>
      <c r="O1918" s="902" t="str">
        <f>IF(AND('341-CT'!$E$9=H1918,OR(LEFT(L1918,3)=$O$7,LEFT(M1918,3)=$O$7)),"x","")</f>
        <v/>
      </c>
      <c r="P1918" s="39" t="str">
        <f>IF(AND($B1918&gt;='111'!$N$11,$B1918&lt;='111'!$O$11,OR($L1918=$P$7,$M1918=$P$7)),"x","")</f>
        <v/>
      </c>
      <c r="Q1918" s="39" t="str">
        <f>IF(AND($L1918=$P$7,$B1918&lt;'111'!$N$11),"x","")</f>
        <v/>
      </c>
      <c r="R1918" s="39" t="str">
        <f>IF(AND($M1918=$P$7,$B1918&lt;'111'!$N$11),"x","")</f>
        <v/>
      </c>
      <c r="S1918" s="39" t="str">
        <f>IF(ISERROR(FIND('112'!$M$9,G1918,1)),"",IF((AND(FIND('112'!$M$9,G1918,1)&gt;=1,$B1918&gt;='112'!$N$8,$B1918&lt;='112'!$O$8,OR($L1918='112'!$I$6,$M1918='112'!$I$6))),"x",""))</f>
        <v/>
      </c>
      <c r="T1918" s="39" t="str">
        <f>IF(ISERROR(FIND('112'!$M$9,G1918,1)),"",IF((AND(LEFT(G1918,2)=LEFT('112'!$M$9,2),B1918&lt;'112'!$N$8,$L1918='112'!$I$6)),"x",""))</f>
        <v/>
      </c>
      <c r="U1918" s="39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39" t="str">
        <f>IF(OR(TH!L1918=TH!$W$7,M1918=TH!$W$7),"x","")</f>
        <v/>
      </c>
      <c r="X1918" s="39" t="str">
        <f>IF(AND(B1918&gt;='IN-NX'!$P$3,B1918&lt;='IN-NX'!$Q$3,'IN-NX'!$D$7=D1918,OR(LEFT(L1918,2)="15",AND(LEFT(M1918,2)&lt;&gt;"15",LEFT(M1918,2)&lt;&gt;"33"))),"x","")</f>
        <v/>
      </c>
      <c r="Y1918" s="39" t="str">
        <f>IF(AND(OR(LEFT(TH!L1918,2)="15",LEFT(TH!M1918,2)="15"),'152-CT'!$J$8=TH!F1918),"x","")</f>
        <v/>
      </c>
      <c r="Z1918" s="39" t="str">
        <f>IF(AND(OR(LEFT(TH!L1918,2)="15",LEFT(TH!M1918,2)="15"),TK!$E$7=TH!F1918),"x","")</f>
        <v/>
      </c>
      <c r="AA1918" s="39" t="str">
        <f>IF(AND(B1918&lt;=NKC!$N$8,B1918&gt;=NKC!$M$8),"x","")</f>
        <v/>
      </c>
      <c r="AB1918" s="821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102"/>
        <v/>
      </c>
      <c r="C1919" s="191"/>
      <c r="D1919" s="37"/>
      <c r="E1919" s="37"/>
      <c r="F1919" s="296"/>
      <c r="G1919" s="40"/>
      <c r="H1919" s="7"/>
      <c r="I1919" s="256"/>
      <c r="J1919" s="256"/>
      <c r="K1919" s="56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902" t="str">
        <f>IF(AND('341-CT'!$E$9=H1919,OR(LEFT(L1919,3)=$O$7,LEFT(M1919,3)=$O$7)),"x","")</f>
        <v/>
      </c>
      <c r="P1919" s="39" t="str">
        <f>IF(AND($B1919&gt;='111'!$N$11,$B1919&lt;='111'!$O$11,OR($L1919=$P$7,$M1919=$P$7)),"x","")</f>
        <v/>
      </c>
      <c r="Q1919" s="39" t="str">
        <f>IF(AND($L1919=$P$7,$B1919&lt;'111'!$N$11),"x","")</f>
        <v/>
      </c>
      <c r="R1919" s="39" t="str">
        <f>IF(AND($M1919=$P$7,$B1919&lt;'111'!$N$11),"x","")</f>
        <v/>
      </c>
      <c r="S1919" s="39" t="str">
        <f>IF(ISERROR(FIND('112'!$M$9,G1919,1)),"",IF((AND(FIND('112'!$M$9,G1919,1)&gt;=1,$B1919&gt;='112'!$N$8,$B1919&lt;='112'!$O$8,OR($L1919='112'!$I$6,$M1919='112'!$I$6))),"x",""))</f>
        <v/>
      </c>
      <c r="T1919" s="39" t="str">
        <f>IF(ISERROR(FIND('112'!$M$9,G1919,1)),"",IF((AND(LEFT(G1919,2)=LEFT('112'!$M$9,2),B1919&lt;'112'!$N$8,$L1919='112'!$I$6)),"x",""))</f>
        <v/>
      </c>
      <c r="U1919" s="39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39" t="str">
        <f>IF(OR(TH!L1919=TH!$W$7,M1919=TH!$W$7),"x","")</f>
        <v/>
      </c>
      <c r="X1919" s="39" t="str">
        <f>IF(AND(B1919&gt;='IN-NX'!$P$3,B1919&lt;='IN-NX'!$Q$3,'IN-NX'!$D$7=D1919,OR(LEFT(L1919,2)="15",AND(LEFT(M1919,2)&lt;&gt;"15",LEFT(M1919,2)&lt;&gt;"33"))),"x","")</f>
        <v/>
      </c>
      <c r="Y1919" s="39" t="str">
        <f>IF(AND(OR(LEFT(TH!L1919,2)="15",LEFT(TH!M1919,2)="15"),'152-CT'!$J$8=TH!F1919),"x","")</f>
        <v/>
      </c>
      <c r="Z1919" s="39" t="str">
        <f>IF(AND(OR(LEFT(TH!L1919,2)="15",LEFT(TH!M1919,2)="15"),TK!$E$7=TH!F1919),"x","")</f>
        <v/>
      </c>
      <c r="AA1919" s="39" t="str">
        <f>IF(AND(B1919&lt;=NKC!$N$8,B1919&gt;=NKC!$M$8),"x","")</f>
        <v/>
      </c>
      <c r="AB1919" s="821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102"/>
        <v/>
      </c>
      <c r="C1920" s="191"/>
      <c r="D1920" s="37"/>
      <c r="E1920" s="37"/>
      <c r="F1920" s="296"/>
      <c r="G1920" s="40"/>
      <c r="H1920" s="7"/>
      <c r="I1920" s="256"/>
      <c r="J1920" s="256"/>
      <c r="K1920" s="56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902" t="str">
        <f>IF(AND('341-CT'!$E$9=H1920,OR(LEFT(L1920,3)=$O$7,LEFT(M1920,3)=$O$7)),"x","")</f>
        <v/>
      </c>
      <c r="P1920" s="39" t="str">
        <f>IF(AND($B1920&gt;='111'!$N$11,$B1920&lt;='111'!$O$11,OR($L1920=$P$7,$M1920=$P$7)),"x","")</f>
        <v/>
      </c>
      <c r="Q1920" s="39" t="str">
        <f>IF(AND($L1920=$P$7,$B1920&lt;'111'!$N$11),"x","")</f>
        <v/>
      </c>
      <c r="R1920" s="39" t="str">
        <f>IF(AND($M1920=$P$7,$B1920&lt;'111'!$N$11),"x","")</f>
        <v/>
      </c>
      <c r="S1920" s="39" t="str">
        <f>IF(ISERROR(FIND('112'!$M$9,G1920,1)),"",IF((AND(FIND('112'!$M$9,G1920,1)&gt;=1,$B1920&gt;='112'!$N$8,$B1920&lt;='112'!$O$8,OR($L1920='112'!$I$6,$M1920='112'!$I$6))),"x",""))</f>
        <v/>
      </c>
      <c r="T1920" s="39" t="str">
        <f>IF(ISERROR(FIND('112'!$M$9,G1920,1)),"",IF((AND(LEFT(G1920,2)=LEFT('112'!$M$9,2),B1920&lt;'112'!$N$8,$L1920='112'!$I$6)),"x",""))</f>
        <v/>
      </c>
      <c r="U1920" s="39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39" t="str">
        <f>IF(OR(TH!L1920=TH!$W$7,M1920=TH!$W$7),"x","")</f>
        <v/>
      </c>
      <c r="X1920" s="39" t="str">
        <f>IF(AND(B1920&gt;='IN-NX'!$P$3,B1920&lt;='IN-NX'!$Q$3,'IN-NX'!$D$7=D1920,OR(LEFT(L1920,2)="15",AND(LEFT(M1920,2)&lt;&gt;"15",LEFT(M1920,2)&lt;&gt;"33"))),"x","")</f>
        <v/>
      </c>
      <c r="Y1920" s="39" t="str">
        <f>IF(AND(OR(LEFT(TH!L1920,2)="15",LEFT(TH!M1920,2)="15"),'152-CT'!$J$8=TH!F1920),"x","")</f>
        <v/>
      </c>
      <c r="Z1920" s="39" t="str">
        <f>IF(AND(OR(LEFT(TH!L1920,2)="15",LEFT(TH!M1920,2)="15"),TK!$E$7=TH!F1920),"x","")</f>
        <v/>
      </c>
      <c r="AA1920" s="39" t="str">
        <f>IF(AND(B1920&lt;=NKC!$N$8,B1920&gt;=NKC!$M$8),"x","")</f>
        <v/>
      </c>
      <c r="AB1920" s="821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102"/>
        <v/>
      </c>
      <c r="C1921" s="191"/>
      <c r="D1921" s="37"/>
      <c r="E1921" s="37"/>
      <c r="F1921" s="192"/>
      <c r="G1921" s="468"/>
      <c r="H1921" s="193"/>
      <c r="I1921" s="256"/>
      <c r="J1921" s="256"/>
      <c r="K1921" s="568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902" t="str">
        <f>IF(AND('341-CT'!$E$9=H1921,OR(LEFT(L1921,3)=$O$7,LEFT(M1921,3)=$O$7)),"x","")</f>
        <v/>
      </c>
      <c r="P1921" s="39" t="str">
        <f>IF(AND($B1921&gt;='111'!$N$11,$B1921&lt;='111'!$O$11,OR($L1921=$P$7,$M1921=$P$7)),"x","")</f>
        <v/>
      </c>
      <c r="Q1921" s="39" t="str">
        <f>IF(AND($L1921=$P$7,$B1921&lt;'111'!$N$11),"x","")</f>
        <v/>
      </c>
      <c r="R1921" s="39" t="str">
        <f>IF(AND($M1921=$P$7,$B1921&lt;'111'!$N$11),"x","")</f>
        <v/>
      </c>
      <c r="S1921" s="39" t="str">
        <f>IF(ISERROR(FIND('112'!$M$9,G1921,1)),"",IF((AND(FIND('112'!$M$9,G1921,1)&gt;=1,$B1921&gt;='112'!$N$8,$B1921&lt;='112'!$O$8,OR($L1921='112'!$I$6,$M1921='112'!$I$6))),"x",""))</f>
        <v/>
      </c>
      <c r="T1921" s="39" t="str">
        <f>IF(ISERROR(FIND('112'!$M$9,G1921,1)),"",IF((AND(LEFT(G1921,2)=LEFT('112'!$M$9,2),B1921&lt;'112'!$N$8,$L1921='112'!$I$6)),"x",""))</f>
        <v/>
      </c>
      <c r="U1921" s="39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39" t="str">
        <f>IF(OR(TH!L1921=TH!$W$7,M1921=TH!$W$7),"x","")</f>
        <v/>
      </c>
      <c r="X1921" s="39" t="str">
        <f>IF(AND(B1921&gt;='IN-NX'!$P$3,B1921&lt;='IN-NX'!$Q$3,'IN-NX'!$D$7=D1921,OR(LEFT(L1921,2)="15",AND(LEFT(M1921,2)&lt;&gt;"15",LEFT(M1921,2)&lt;&gt;"33"))),"x","")</f>
        <v/>
      </c>
      <c r="Y1921" s="39" t="str">
        <f>IF(AND(OR(LEFT(TH!L1921,2)="15",LEFT(TH!M1921,2)="15"),'152-CT'!$J$8=TH!F1921),"x","")</f>
        <v/>
      </c>
      <c r="Z1921" s="39" t="str">
        <f>IF(AND(OR(LEFT(TH!L1921,2)="15",LEFT(TH!M1921,2)="15"),TK!$E$7=TH!F1921),"x","")</f>
        <v/>
      </c>
      <c r="AA1921" s="39" t="str">
        <f>IF(AND(B1921&lt;=NKC!$N$8,B1921&gt;=NKC!$M$8),"x","")</f>
        <v/>
      </c>
      <c r="AB1921" s="821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102"/>
        <v/>
      </c>
      <c r="C1922" s="191"/>
      <c r="D1922" s="37"/>
      <c r="E1922" s="37"/>
      <c r="F1922" s="192"/>
      <c r="G1922" s="468"/>
      <c r="H1922" s="193"/>
      <c r="I1922" s="256"/>
      <c r="J1922" s="256"/>
      <c r="K1922" s="568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902" t="str">
        <f>IF(AND('341-CT'!$E$9=H1922,OR(LEFT(L1922,3)=$O$7,LEFT(M1922,3)=$O$7)),"x","")</f>
        <v/>
      </c>
      <c r="P1922" s="39" t="str">
        <f>IF(AND($B1922&gt;='111'!$N$11,$B1922&lt;='111'!$O$11,OR($L1922=$P$7,$M1922=$P$7)),"x","")</f>
        <v/>
      </c>
      <c r="Q1922" s="39" t="str">
        <f>IF(AND($L1922=$P$7,$B1922&lt;'111'!$N$11),"x","")</f>
        <v/>
      </c>
      <c r="R1922" s="39" t="str">
        <f>IF(AND($M1922=$P$7,$B1922&lt;'111'!$N$11),"x","")</f>
        <v/>
      </c>
      <c r="S1922" s="39" t="str">
        <f>IF(ISERROR(FIND('112'!$M$9,G1922,1)),"",IF((AND(FIND('112'!$M$9,G1922,1)&gt;=1,$B1922&gt;='112'!$N$8,$B1922&lt;='112'!$O$8,OR($L1922='112'!$I$6,$M1922='112'!$I$6))),"x",""))</f>
        <v/>
      </c>
      <c r="T1922" s="39" t="str">
        <f>IF(ISERROR(FIND('112'!$M$9,G1922,1)),"",IF((AND(LEFT(G1922,2)=LEFT('112'!$M$9,2),B1922&lt;'112'!$N$8,$L1922='112'!$I$6)),"x",""))</f>
        <v/>
      </c>
      <c r="U1922" s="39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39" t="str">
        <f>IF(OR(TH!L1922=TH!$W$7,M1922=TH!$W$7),"x","")</f>
        <v/>
      </c>
      <c r="X1922" s="39" t="str">
        <f>IF(AND(B1922&gt;='IN-NX'!$P$3,B1922&lt;='IN-NX'!$Q$3,'IN-NX'!$D$7=D1922,OR(LEFT(L1922,2)="15",AND(LEFT(M1922,2)&lt;&gt;"15",LEFT(M1922,2)&lt;&gt;"33"))),"x","")</f>
        <v/>
      </c>
      <c r="Y1922" s="39" t="str">
        <f>IF(AND(OR(LEFT(TH!L1922,2)="15",LEFT(TH!M1922,2)="15"),'152-CT'!$J$8=TH!F1922),"x","")</f>
        <v/>
      </c>
      <c r="Z1922" s="39" t="str">
        <f>IF(AND(OR(LEFT(TH!L1922,2)="15",LEFT(TH!M1922,2)="15"),TK!$E$7=TH!F1922),"x","")</f>
        <v/>
      </c>
      <c r="AA1922" s="39" t="str">
        <f>IF(AND(B1922&lt;=NKC!$N$8,B1922&gt;=NKC!$M$8),"x","")</f>
        <v/>
      </c>
      <c r="AB1922" s="821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 t="str">
        <f t="shared" si="102"/>
        <v/>
      </c>
      <c r="C1923" s="184"/>
      <c r="D1923" s="184"/>
      <c r="E1923" s="184"/>
      <c r="F1923" s="189"/>
      <c r="G1923" s="570"/>
      <c r="H1923" s="7"/>
      <c r="I1923" s="256"/>
      <c r="J1923" s="256"/>
      <c r="K1923" s="568"/>
      <c r="L1923" s="569"/>
      <c r="M1923" s="569"/>
      <c r="N1923" s="39" t="str">
        <f>IF(AND('331-CT'!$E$7=TH!H1923,OR(L1923="331",M1923="331")),"331",IF(AND(OR(L1923="131",M1923="131"),H1923='131-CT'!$E$7),"131",""))</f>
        <v/>
      </c>
      <c r="O1923" s="902" t="str">
        <f>IF(AND('341-CT'!$E$9=H1923,OR(LEFT(L1923,3)=$O$7,LEFT(M1923,3)=$O$7)),"x","")</f>
        <v/>
      </c>
      <c r="P1923" s="39" t="str">
        <f>IF(AND($B1923&gt;='111'!$N$11,$B1923&lt;='111'!$O$11,OR($L1923=$P$7,$M1923=$P$7)),"x","")</f>
        <v/>
      </c>
      <c r="Q1923" s="39" t="str">
        <f>IF(AND($L1923=$P$7,$B1923&lt;'111'!$N$11),"x","")</f>
        <v/>
      </c>
      <c r="R1923" s="39" t="str">
        <f>IF(AND($M1923=$P$7,$B1923&lt;'111'!$N$11),"x","")</f>
        <v/>
      </c>
      <c r="S1923" s="39" t="str">
        <f>IF(ISERROR(FIND('112'!$M$9,G1923,1)),"",IF((AND(FIND('112'!$M$9,G1923,1)&gt;=1,$B1923&gt;='112'!$N$8,$B1923&lt;='112'!$O$8,OR($L1923='112'!$I$6,$M1923='112'!$I$6))),"x",""))</f>
        <v/>
      </c>
      <c r="T1923" s="39" t="str">
        <f>IF(ISERROR(FIND('112'!$M$9,G1923,1)),"",IF((AND(LEFT(G1923,2)=LEFT('112'!$M$9,2),B1923&lt;'112'!$N$8,$L1923='112'!$I$6)),"x",""))</f>
        <v/>
      </c>
      <c r="U1923" s="39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39" t="str">
        <f>IF(OR(TH!L1923=TH!$W$7,M1923=TH!$W$7),"x","")</f>
        <v/>
      </c>
      <c r="X1923" s="39" t="str">
        <f>IF(AND(B1923&gt;='IN-NX'!$P$3,B1923&lt;='IN-NX'!$Q$3,'IN-NX'!$D$7=D1923,OR(LEFT(L1923,2)="15",AND(LEFT(M1923,2)&lt;&gt;"15",LEFT(M1923,2)&lt;&gt;"33"))),"x","")</f>
        <v/>
      </c>
      <c r="Y1923" s="39" t="str">
        <f>IF(AND(OR(LEFT(TH!L1923,2)="15",LEFT(TH!M1923,2)="15"),'152-CT'!$J$8=TH!F1923),"x","")</f>
        <v/>
      </c>
      <c r="Z1923" s="39" t="str">
        <f>IF(AND(OR(LEFT(TH!L1923,2)="15",LEFT(TH!M1923,2)="15"),TK!$E$7=TH!F1923),"x","")</f>
        <v/>
      </c>
      <c r="AA1923" s="39" t="str">
        <f>IF(AND(B1923&lt;=NKC!$N$8,B1923&gt;=NKC!$M$8),"x","")</f>
        <v/>
      </c>
      <c r="AB1923" s="821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 t="str">
        <f t="shared" si="102"/>
        <v/>
      </c>
      <c r="C1924" s="184"/>
      <c r="D1924" s="184"/>
      <c r="E1924" s="184"/>
      <c r="F1924" s="189"/>
      <c r="G1924" s="570"/>
      <c r="H1924" s="7"/>
      <c r="I1924" s="256"/>
      <c r="J1924" s="256"/>
      <c r="K1924" s="568"/>
      <c r="L1924" s="569"/>
      <c r="M1924" s="569"/>
      <c r="N1924" s="39" t="str">
        <f>IF(AND('331-CT'!$E$7=TH!H1924,OR(L1924="331",M1924="331")),"331",IF(AND(OR(L1924="131",M1924="131"),H1924='131-CT'!$E$7),"131",""))</f>
        <v/>
      </c>
      <c r="O1924" s="902" t="str">
        <f>IF(AND('341-CT'!$E$9=H1924,OR(LEFT(L1924,3)=$O$7,LEFT(M1924,3)=$O$7)),"x","")</f>
        <v/>
      </c>
      <c r="P1924" s="39" t="str">
        <f>IF(AND($B1924&gt;='111'!$N$11,$B1924&lt;='111'!$O$11,OR($L1924=$P$7,$M1924=$P$7)),"x","")</f>
        <v/>
      </c>
      <c r="Q1924" s="39" t="str">
        <f>IF(AND($L1924=$P$7,$B1924&lt;'111'!$N$11),"x","")</f>
        <v/>
      </c>
      <c r="R1924" s="39" t="str">
        <f>IF(AND($M1924=$P$7,$B1924&lt;'111'!$N$11),"x","")</f>
        <v/>
      </c>
      <c r="S1924" s="39" t="str">
        <f>IF(ISERROR(FIND('112'!$M$9,G1924,1)),"",IF((AND(FIND('112'!$M$9,G1924,1)&gt;=1,$B1924&gt;='112'!$N$8,$B1924&lt;='112'!$O$8,OR($L1924='112'!$I$6,$M1924='112'!$I$6))),"x",""))</f>
        <v/>
      </c>
      <c r="T1924" s="39" t="str">
        <f>IF(ISERROR(FIND('112'!$M$9,G1924,1)),"",IF((AND(LEFT(G1924,2)=LEFT('112'!$M$9,2),B1924&lt;'112'!$N$8,$L1924='112'!$I$6)),"x",""))</f>
        <v/>
      </c>
      <c r="U1924" s="39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39" t="str">
        <f>IF(OR(TH!L1924=TH!$W$7,M1924=TH!$W$7),"x","")</f>
        <v/>
      </c>
      <c r="X1924" s="39" t="str">
        <f>IF(AND(B1924&gt;='IN-NX'!$P$3,B1924&lt;='IN-NX'!$Q$3,'IN-NX'!$D$7=D1924,OR(LEFT(L1924,2)="15",AND(LEFT(M1924,2)&lt;&gt;"15",LEFT(M1924,2)&lt;&gt;"33"))),"x","")</f>
        <v/>
      </c>
      <c r="Y1924" s="39" t="str">
        <f>IF(AND(OR(LEFT(TH!L1924,2)="15",LEFT(TH!M1924,2)="15"),'152-CT'!$J$8=TH!F1924),"x","")</f>
        <v/>
      </c>
      <c r="Z1924" s="39" t="str">
        <f>IF(AND(OR(LEFT(TH!L1924,2)="15",LEFT(TH!M1924,2)="15"),TK!$E$7=TH!F1924),"x","")</f>
        <v/>
      </c>
      <c r="AA1924" s="39" t="str">
        <f>IF(AND(B1924&lt;=NKC!$N$8,B1924&gt;=NKC!$M$8),"x","")</f>
        <v/>
      </c>
      <c r="AB1924" s="821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 t="str">
        <f t="shared" si="102"/>
        <v/>
      </c>
      <c r="C1925" s="191"/>
      <c r="D1925" s="191"/>
      <c r="E1925" s="191"/>
      <c r="F1925" s="192"/>
      <c r="G1925" s="468"/>
      <c r="H1925" s="7"/>
      <c r="I1925" s="256"/>
      <c r="J1925" s="256"/>
      <c r="K1925" s="568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902" t="str">
        <f>IF(AND('341-CT'!$E$9=H1925,OR(LEFT(L1925,3)=$O$7,LEFT(M1925,3)=$O$7)),"x","")</f>
        <v/>
      </c>
      <c r="P1925" s="39" t="str">
        <f>IF(AND($B1925&gt;='111'!$N$11,$B1925&lt;='111'!$O$11,OR($L1925=$P$7,$M1925=$P$7)),"x","")</f>
        <v/>
      </c>
      <c r="Q1925" s="39" t="str">
        <f>IF(AND($L1925=$P$7,$B1925&lt;'111'!$N$11),"x","")</f>
        <v/>
      </c>
      <c r="R1925" s="39" t="str">
        <f>IF(AND($M1925=$P$7,$B1925&lt;'111'!$N$11),"x","")</f>
        <v/>
      </c>
      <c r="S1925" s="39" t="str">
        <f>IF(ISERROR(FIND('112'!$M$9,G1925,1)),"",IF((AND(FIND('112'!$M$9,G1925,1)&gt;=1,$B1925&gt;='112'!$N$8,$B1925&lt;='112'!$O$8,OR($L1925='112'!$I$6,$M1925='112'!$I$6))),"x",""))</f>
        <v/>
      </c>
      <c r="T1925" s="39" t="str">
        <f>IF(ISERROR(FIND('112'!$M$9,G1925,1)),"",IF((AND(LEFT(G1925,2)=LEFT('112'!$M$9,2),B1925&lt;'112'!$N$8,$L1925='112'!$I$6)),"x",""))</f>
        <v/>
      </c>
      <c r="U1925" s="39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39" t="str">
        <f>IF(OR(TH!L1925=TH!$W$7,M1925=TH!$W$7),"x","")</f>
        <v/>
      </c>
      <c r="X1925" s="39" t="str">
        <f>IF(AND(B1925&gt;='IN-NX'!$P$3,B1925&lt;='IN-NX'!$Q$3,'IN-NX'!$D$7=D1925,OR(LEFT(L1925,2)="15",AND(LEFT(M1925,2)&lt;&gt;"15",LEFT(M1925,2)&lt;&gt;"33"))),"x","")</f>
        <v/>
      </c>
      <c r="Y1925" s="39" t="str">
        <f>IF(AND(OR(LEFT(TH!L1925,2)="15",LEFT(TH!M1925,2)="15"),'152-CT'!$J$8=TH!F1925),"x","")</f>
        <v/>
      </c>
      <c r="Z1925" s="39" t="str">
        <f>IF(AND(OR(LEFT(TH!L1925,2)="15",LEFT(TH!M1925,2)="15"),TK!$E$7=TH!F1925),"x","")</f>
        <v/>
      </c>
      <c r="AA1925" s="39" t="str">
        <f>IF(AND(B1925&lt;=NKC!$N$8,B1925&gt;=NKC!$M$8),"x","")</f>
        <v/>
      </c>
      <c r="AB1925" s="821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 t="str">
        <f t="shared" si="102"/>
        <v/>
      </c>
      <c r="C1926" s="191"/>
      <c r="D1926" s="191"/>
      <c r="E1926" s="191"/>
      <c r="F1926" s="192"/>
      <c r="G1926" s="468"/>
      <c r="H1926" s="7"/>
      <c r="I1926" s="256"/>
      <c r="J1926" s="256"/>
      <c r="K1926" s="38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902" t="str">
        <f>IF(AND('341-CT'!$E$9=H1926,OR(LEFT(L1926,3)=$O$7,LEFT(M1926,3)=$O$7)),"x","")</f>
        <v/>
      </c>
      <c r="P1926" s="39" t="str">
        <f>IF(AND($B1926&gt;='111'!$N$11,$B1926&lt;='111'!$O$11,OR($L1926=$P$7,$M1926=$P$7)),"x","")</f>
        <v/>
      </c>
      <c r="Q1926" s="39" t="str">
        <f>IF(AND($L1926=$P$7,$B1926&lt;'111'!$N$11),"x","")</f>
        <v/>
      </c>
      <c r="R1926" s="39" t="str">
        <f>IF(AND($M1926=$P$7,$B1926&lt;'111'!$N$11),"x","")</f>
        <v/>
      </c>
      <c r="S1926" s="39" t="str">
        <f>IF(ISERROR(FIND('112'!$M$9,G1926,1)),"",IF((AND(FIND('112'!$M$9,G1926,1)&gt;=1,$B1926&gt;='112'!$N$8,$B1926&lt;='112'!$O$8,OR($L1926='112'!$I$6,$M1926='112'!$I$6))),"x",""))</f>
        <v/>
      </c>
      <c r="T1926" s="39" t="str">
        <f>IF(ISERROR(FIND('112'!$M$9,G1926,1)),"",IF((AND(LEFT(G1926,2)=LEFT('112'!$M$9,2),B1926&lt;'112'!$N$8,$L1926='112'!$I$6)),"x",""))</f>
        <v/>
      </c>
      <c r="U1926" s="39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39" t="str">
        <f>IF(OR(TH!L1926=TH!$W$7,M1926=TH!$W$7),"x","")</f>
        <v/>
      </c>
      <c r="X1926" s="39" t="str">
        <f>IF(AND(B1926&gt;='IN-NX'!$P$3,B1926&lt;='IN-NX'!$Q$3,'IN-NX'!$D$7=D1926,OR(LEFT(L1926,2)="15",AND(LEFT(M1926,2)&lt;&gt;"15",LEFT(M1926,2)&lt;&gt;"33"))),"x","")</f>
        <v/>
      </c>
      <c r="Y1926" s="39" t="str">
        <f>IF(AND(OR(LEFT(TH!L1926,2)="15",LEFT(TH!M1926,2)="15"),'152-CT'!$J$8=TH!F1926),"x","")</f>
        <v/>
      </c>
      <c r="Z1926" s="39" t="str">
        <f>IF(AND(OR(LEFT(TH!L1926,2)="15",LEFT(TH!M1926,2)="15"),TK!$E$7=TH!F1926),"x","")</f>
        <v/>
      </c>
      <c r="AA1926" s="39" t="str">
        <f>IF(AND(B1926&lt;=NKC!$N$8,B1926&gt;=NKC!$M$8),"x","")</f>
        <v/>
      </c>
      <c r="AB1926" s="821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 t="str">
        <f t="shared" si="102"/>
        <v/>
      </c>
      <c r="C1927" s="184"/>
      <c r="D1927" s="184"/>
      <c r="E1927" s="191"/>
      <c r="F1927" s="189"/>
      <c r="G1927" s="570"/>
      <c r="H1927" s="7"/>
      <c r="I1927" s="256"/>
      <c r="J1927" s="256"/>
      <c r="K1927" s="568"/>
      <c r="L1927" s="569"/>
      <c r="M1927" s="569"/>
      <c r="N1927" s="39" t="str">
        <f>IF(AND('331-CT'!$E$7=TH!H1927,OR(L1927="331",M1927="331")),"331",IF(AND(OR(L1927="131",M1927="131"),H1927='131-CT'!$E$7),"131",""))</f>
        <v/>
      </c>
      <c r="O1927" s="902" t="str">
        <f>IF(AND('341-CT'!$E$9=H1927,OR(LEFT(L1927,3)=$O$7,LEFT(M1927,3)=$O$7)),"x","")</f>
        <v/>
      </c>
      <c r="P1927" s="39" t="str">
        <f>IF(AND($B1927&gt;='111'!$N$11,$B1927&lt;='111'!$O$11,OR($L1927=$P$7,$M1927=$P$7)),"x","")</f>
        <v/>
      </c>
      <c r="Q1927" s="39" t="str">
        <f>IF(AND($L1927=$P$7,$B1927&lt;'111'!$N$11),"x","")</f>
        <v/>
      </c>
      <c r="R1927" s="39" t="str">
        <f>IF(AND($M1927=$P$7,$B1927&lt;'111'!$N$11),"x","")</f>
        <v/>
      </c>
      <c r="S1927" s="39" t="str">
        <f>IF(ISERROR(FIND('112'!$M$9,G1927,1)),"",IF((AND(FIND('112'!$M$9,G1927,1)&gt;=1,$B1927&gt;='112'!$N$8,$B1927&lt;='112'!$O$8,OR($L1927='112'!$I$6,$M1927='112'!$I$6))),"x",""))</f>
        <v/>
      </c>
      <c r="T1927" s="39" t="str">
        <f>IF(ISERROR(FIND('112'!$M$9,G1927,1)),"",IF((AND(LEFT(G1927,2)=LEFT('112'!$M$9,2),B1927&lt;'112'!$N$8,$L1927='112'!$I$6)),"x",""))</f>
        <v/>
      </c>
      <c r="U1927" s="39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39" t="str">
        <f>IF(OR(TH!L1927=TH!$W$7,M1927=TH!$W$7),"x","")</f>
        <v/>
      </c>
      <c r="X1927" s="39" t="str">
        <f>IF(AND(B1927&gt;='IN-NX'!$P$3,B1927&lt;='IN-NX'!$Q$3,'IN-NX'!$D$7=D1927,OR(LEFT(L1927,2)="15",AND(LEFT(M1927,2)&lt;&gt;"15",LEFT(M1927,2)&lt;&gt;"33"))),"x","")</f>
        <v/>
      </c>
      <c r="Y1927" s="39" t="str">
        <f>IF(AND(OR(LEFT(TH!L1927,2)="15",LEFT(TH!M1927,2)="15"),'152-CT'!$J$8=TH!F1927),"x","")</f>
        <v/>
      </c>
      <c r="Z1927" s="39" t="str">
        <f>IF(AND(OR(LEFT(TH!L1927,2)="15",LEFT(TH!M1927,2)="15"),TK!$E$7=TH!F1927),"x","")</f>
        <v/>
      </c>
      <c r="AA1927" s="39" t="str">
        <f>IF(AND(B1927&lt;=NKC!$N$8,B1927&gt;=NKC!$M$8),"x","")</f>
        <v/>
      </c>
      <c r="AB1927" s="821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 t="str">
        <f t="shared" si="102"/>
        <v/>
      </c>
      <c r="C1928" s="184"/>
      <c r="D1928" s="184"/>
      <c r="E1928" s="191"/>
      <c r="F1928" s="189"/>
      <c r="G1928" s="570"/>
      <c r="H1928" s="7"/>
      <c r="I1928" s="256"/>
      <c r="J1928" s="256"/>
      <c r="K1928" s="568"/>
      <c r="L1928" s="569"/>
      <c r="M1928" s="569"/>
      <c r="N1928" s="39" t="str">
        <f>IF(AND('331-CT'!$E$7=TH!H1928,OR(L1928="331",M1928="331")),"331",IF(AND(OR(L1928="131",M1928="131"),H1928='131-CT'!$E$7),"131",""))</f>
        <v/>
      </c>
      <c r="O1928" s="902" t="str">
        <f>IF(AND('341-CT'!$E$9=H1928,OR(LEFT(L1928,3)=$O$7,LEFT(M1928,3)=$O$7)),"x","")</f>
        <v/>
      </c>
      <c r="P1928" s="39" t="str">
        <f>IF(AND($B1928&gt;='111'!$N$11,$B1928&lt;='111'!$O$11,OR($L1928=$P$7,$M1928=$P$7)),"x","")</f>
        <v/>
      </c>
      <c r="Q1928" s="39" t="str">
        <f>IF(AND($L1928=$P$7,$B1928&lt;'111'!$N$11),"x","")</f>
        <v/>
      </c>
      <c r="R1928" s="39" t="str">
        <f>IF(AND($M1928=$P$7,$B1928&lt;'111'!$N$11),"x","")</f>
        <v/>
      </c>
      <c r="S1928" s="39" t="str">
        <f>IF(ISERROR(FIND('112'!$M$9,G1928,1)),"",IF((AND(FIND('112'!$M$9,G1928,1)&gt;=1,$B1928&gt;='112'!$N$8,$B1928&lt;='112'!$O$8,OR($L1928='112'!$I$6,$M1928='112'!$I$6))),"x",""))</f>
        <v/>
      </c>
      <c r="T1928" s="39" t="str">
        <f>IF(ISERROR(FIND('112'!$M$9,G1928,1)),"",IF((AND(LEFT(G1928,2)=LEFT('112'!$M$9,2),B1928&lt;'112'!$N$8,$L1928='112'!$I$6)),"x",""))</f>
        <v/>
      </c>
      <c r="U1928" s="39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39" t="str">
        <f>IF(OR(TH!L1928=TH!$W$7,M1928=TH!$W$7),"x","")</f>
        <v/>
      </c>
      <c r="X1928" s="39" t="str">
        <f>IF(AND(B1928&gt;='IN-NX'!$P$3,B1928&lt;='IN-NX'!$Q$3,'IN-NX'!$D$7=D1928,OR(LEFT(L1928,2)="15",AND(LEFT(M1928,2)&lt;&gt;"15",LEFT(M1928,2)&lt;&gt;"33"))),"x","")</f>
        <v/>
      </c>
      <c r="Y1928" s="39" t="str">
        <f>IF(AND(OR(LEFT(TH!L1928,2)="15",LEFT(TH!M1928,2)="15"),'152-CT'!$J$8=TH!F1928),"x","")</f>
        <v/>
      </c>
      <c r="Z1928" s="39" t="str">
        <f>IF(AND(OR(LEFT(TH!L1928,2)="15",LEFT(TH!M1928,2)="15"),TK!$E$7=TH!F1928),"x","")</f>
        <v/>
      </c>
      <c r="AA1928" s="39" t="str">
        <f>IF(AND(B1928&lt;=NKC!$N$8,B1928&gt;=NKC!$M$8),"x","")</f>
        <v/>
      </c>
      <c r="AB1928" s="821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 t="str">
        <f t="shared" si="102"/>
        <v/>
      </c>
      <c r="C1929" s="184"/>
      <c r="D1929" s="184"/>
      <c r="E1929" s="191"/>
      <c r="F1929" s="189"/>
      <c r="G1929" s="570"/>
      <c r="H1929" s="7"/>
      <c r="I1929" s="256"/>
      <c r="J1929" s="256"/>
      <c r="K1929" s="568"/>
      <c r="L1929" s="569"/>
      <c r="M1929" s="569"/>
      <c r="N1929" s="39" t="str">
        <f>IF(AND('331-CT'!$E$7=TH!H1929,OR(L1929="331",M1929="331")),"331",IF(AND(OR(L1929="131",M1929="131"),H1929='131-CT'!$E$7),"131",""))</f>
        <v/>
      </c>
      <c r="O1929" s="902" t="str">
        <f>IF(AND('341-CT'!$E$9=H1929,OR(LEFT(L1929,3)=$O$7,LEFT(M1929,3)=$O$7)),"x","")</f>
        <v/>
      </c>
      <c r="P1929" s="39" t="str">
        <f>IF(AND($B1929&gt;='111'!$N$11,$B1929&lt;='111'!$O$11,OR($L1929=$P$7,$M1929=$P$7)),"x","")</f>
        <v/>
      </c>
      <c r="Q1929" s="39" t="str">
        <f>IF(AND($L1929=$P$7,$B1929&lt;'111'!$N$11),"x","")</f>
        <v/>
      </c>
      <c r="R1929" s="39" t="str">
        <f>IF(AND($M1929=$P$7,$B1929&lt;'111'!$N$11),"x","")</f>
        <v/>
      </c>
      <c r="S1929" s="39" t="str">
        <f>IF(ISERROR(FIND('112'!$M$9,G1929,1)),"",IF((AND(FIND('112'!$M$9,G1929,1)&gt;=1,$B1929&gt;='112'!$N$8,$B1929&lt;='112'!$O$8,OR($L1929='112'!$I$6,$M1929='112'!$I$6))),"x",""))</f>
        <v/>
      </c>
      <c r="T1929" s="39" t="str">
        <f>IF(ISERROR(FIND('112'!$M$9,G1929,1)),"",IF((AND(LEFT(G1929,2)=LEFT('112'!$M$9,2),B1929&lt;'112'!$N$8,$L1929='112'!$I$6)),"x",""))</f>
        <v/>
      </c>
      <c r="U1929" s="39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39" t="str">
        <f>IF(OR(TH!L1929=TH!$W$7,M1929=TH!$W$7),"x","")</f>
        <v/>
      </c>
      <c r="X1929" s="39" t="str">
        <f>IF(AND(B1929&gt;='IN-NX'!$P$3,B1929&lt;='IN-NX'!$Q$3,'IN-NX'!$D$7=D1929,OR(LEFT(L1929,2)="15",AND(LEFT(M1929,2)&lt;&gt;"15",LEFT(M1929,2)&lt;&gt;"33"))),"x","")</f>
        <v/>
      </c>
      <c r="Y1929" s="39" t="str">
        <f>IF(AND(OR(LEFT(TH!L1929,2)="15",LEFT(TH!M1929,2)="15"),'152-CT'!$J$8=TH!F1929),"x","")</f>
        <v/>
      </c>
      <c r="Z1929" s="39" t="str">
        <f>IF(AND(OR(LEFT(TH!L1929,2)="15",LEFT(TH!M1929,2)="15"),TK!$E$7=TH!F1929),"x","")</f>
        <v/>
      </c>
      <c r="AA1929" s="39" t="str">
        <f>IF(AND(B1929&lt;=NKC!$N$8,B1929&gt;=NKC!$M$8),"x","")</f>
        <v/>
      </c>
      <c r="AB1929" s="821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 t="str">
        <f t="shared" si="102"/>
        <v/>
      </c>
      <c r="C1930" s="191"/>
      <c r="D1930" s="184"/>
      <c r="E1930" s="191"/>
      <c r="F1930" s="189"/>
      <c r="G1930" s="468"/>
      <c r="H1930" s="7"/>
      <c r="I1930" s="256"/>
      <c r="J1930" s="256"/>
      <c r="K1930" s="568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902" t="str">
        <f>IF(AND('341-CT'!$E$9=H1930,OR(LEFT(L1930,3)=$O$7,LEFT(M1930,3)=$O$7)),"x","")</f>
        <v/>
      </c>
      <c r="P1930" s="39" t="str">
        <f>IF(AND($B1930&gt;='111'!$N$11,$B1930&lt;='111'!$O$11,OR($L1930=$P$7,$M1930=$P$7)),"x","")</f>
        <v/>
      </c>
      <c r="Q1930" s="39" t="str">
        <f>IF(AND($L1930=$P$7,$B1930&lt;'111'!$N$11),"x","")</f>
        <v/>
      </c>
      <c r="R1930" s="39" t="str">
        <f>IF(AND($M1930=$P$7,$B1930&lt;'111'!$N$11),"x","")</f>
        <v/>
      </c>
      <c r="S1930" s="39" t="str">
        <f>IF(ISERROR(FIND('112'!$M$9,G1930,1)),"",IF((AND(FIND('112'!$M$9,G1930,1)&gt;=1,$B1930&gt;='112'!$N$8,$B1930&lt;='112'!$O$8,OR($L1930='112'!$I$6,$M1930='112'!$I$6))),"x",""))</f>
        <v/>
      </c>
      <c r="T1930" s="39" t="str">
        <f>IF(ISERROR(FIND('112'!$M$9,G1930,1)),"",IF((AND(LEFT(G1930,2)=LEFT('112'!$M$9,2),B1930&lt;'112'!$N$8,$L1930='112'!$I$6)),"x",""))</f>
        <v/>
      </c>
      <c r="U1930" s="39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39" t="str">
        <f>IF(OR(TH!L1930=TH!$W$7,M1930=TH!$W$7),"x","")</f>
        <v/>
      </c>
      <c r="X1930" s="39" t="str">
        <f>IF(AND(B1930&gt;='IN-NX'!$P$3,B1930&lt;='IN-NX'!$Q$3,'IN-NX'!$D$7=D1930,OR(LEFT(L1930,2)="15",AND(LEFT(M1930,2)&lt;&gt;"15",LEFT(M1930,2)&lt;&gt;"33"))),"x","")</f>
        <v/>
      </c>
      <c r="Y1930" s="39" t="str">
        <f>IF(AND(OR(LEFT(TH!L1930,2)="15",LEFT(TH!M1930,2)="15"),'152-CT'!$J$8=TH!F1930),"x","")</f>
        <v/>
      </c>
      <c r="Z1930" s="39" t="str">
        <f>IF(AND(OR(LEFT(TH!L1930,2)="15",LEFT(TH!M1930,2)="15"),TK!$E$7=TH!F1930),"x","")</f>
        <v/>
      </c>
      <c r="AA1930" s="39" t="str">
        <f>IF(AND(B1930&lt;=NKC!$N$8,B1930&gt;=NKC!$M$8),"x","")</f>
        <v/>
      </c>
      <c r="AB1930" s="821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 t="str">
        <f t="shared" si="102"/>
        <v/>
      </c>
      <c r="C1931" s="191"/>
      <c r="D1931" s="184"/>
      <c r="E1931" s="191"/>
      <c r="F1931" s="189"/>
      <c r="G1931" s="468"/>
      <c r="H1931" s="7"/>
      <c r="I1931" s="256"/>
      <c r="J1931" s="256"/>
      <c r="K1931" s="38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902" t="str">
        <f>IF(AND('341-CT'!$E$9=H1931,OR(LEFT(L1931,3)=$O$7,LEFT(M1931,3)=$O$7)),"x","")</f>
        <v/>
      </c>
      <c r="P1931" s="39" t="str">
        <f>IF(AND($B1931&gt;='111'!$N$11,$B1931&lt;='111'!$O$11,OR($L1931=$P$7,$M1931=$P$7)),"x","")</f>
        <v/>
      </c>
      <c r="Q1931" s="39" t="str">
        <f>IF(AND($L1931=$P$7,$B1931&lt;'111'!$N$11),"x","")</f>
        <v/>
      </c>
      <c r="R1931" s="39" t="str">
        <f>IF(AND($M1931=$P$7,$B1931&lt;'111'!$N$11),"x","")</f>
        <v/>
      </c>
      <c r="S1931" s="39" t="str">
        <f>IF(ISERROR(FIND('112'!$M$9,G1931,1)),"",IF((AND(FIND('112'!$M$9,G1931,1)&gt;=1,$B1931&gt;='112'!$N$8,$B1931&lt;='112'!$O$8,OR($L1931='112'!$I$6,$M1931='112'!$I$6))),"x",""))</f>
        <v/>
      </c>
      <c r="T1931" s="39" t="str">
        <f>IF(ISERROR(FIND('112'!$M$9,G1931,1)),"",IF((AND(LEFT(G1931,2)=LEFT('112'!$M$9,2),B1931&lt;'112'!$N$8,$L1931='112'!$I$6)),"x",""))</f>
        <v/>
      </c>
      <c r="U1931" s="39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39" t="str">
        <f>IF(OR(TH!L1931=TH!$W$7,M1931=TH!$W$7),"x","")</f>
        <v/>
      </c>
      <c r="X1931" s="39" t="str">
        <f>IF(AND(B1931&gt;='IN-NX'!$P$3,B1931&lt;='IN-NX'!$Q$3,'IN-NX'!$D$7=D1931,OR(LEFT(L1931,2)="15",AND(LEFT(M1931,2)&lt;&gt;"15",LEFT(M1931,2)&lt;&gt;"33"))),"x","")</f>
        <v/>
      </c>
      <c r="Y1931" s="39" t="str">
        <f>IF(AND(OR(LEFT(TH!L1931,2)="15",LEFT(TH!M1931,2)="15"),'152-CT'!$J$8=TH!F1931),"x","")</f>
        <v/>
      </c>
      <c r="Z1931" s="39" t="str">
        <f>IF(AND(OR(LEFT(TH!L1931,2)="15",LEFT(TH!M1931,2)="15"),TK!$E$7=TH!F1931),"x","")</f>
        <v/>
      </c>
      <c r="AA1931" s="39" t="str">
        <f>IF(AND(B1931&lt;=NKC!$N$8,B1931&gt;=NKC!$M$8),"x","")</f>
        <v/>
      </c>
      <c r="AB1931" s="821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 t="str">
        <f t="shared" si="102"/>
        <v/>
      </c>
      <c r="C1932" s="191"/>
      <c r="D1932" s="191"/>
      <c r="E1932" s="191"/>
      <c r="F1932" s="192"/>
      <c r="G1932" s="468"/>
      <c r="H1932" s="7"/>
      <c r="I1932" s="257"/>
      <c r="J1932" s="257"/>
      <c r="K1932" s="38"/>
      <c r="L1932" s="194"/>
      <c r="M1932" s="194"/>
      <c r="N1932" s="39" t="str">
        <f>IF(AND('331-CT'!$E$7=TH!H1932,OR(L1932="331",M1932="331")),"331",IF(AND(OR(L1932="131",M1932="131"),H1932='131-CT'!$E$7),"131",""))</f>
        <v/>
      </c>
      <c r="O1932" s="902" t="str">
        <f>IF(AND('341-CT'!$E$9=H1932,OR(LEFT(L1932,3)=$O$7,LEFT(M1932,3)=$O$7)),"x","")</f>
        <v/>
      </c>
      <c r="P1932" s="39" t="str">
        <f>IF(AND($B1932&gt;='111'!$N$11,$B1932&lt;='111'!$O$11,OR($L1932=$P$7,$M1932=$P$7)),"x","")</f>
        <v/>
      </c>
      <c r="Q1932" s="39" t="str">
        <f>IF(AND($L1932=$P$7,$B1932&lt;'111'!$N$11),"x","")</f>
        <v/>
      </c>
      <c r="R1932" s="39" t="str">
        <f>IF(AND($M1932=$P$7,$B1932&lt;'111'!$N$11),"x","")</f>
        <v/>
      </c>
      <c r="S1932" s="39" t="str">
        <f>IF(ISERROR(FIND('112'!$M$9,G1932,1)),"",IF((AND(FIND('112'!$M$9,G1932,1)&gt;=1,$B1932&gt;='112'!$N$8,$B1932&lt;='112'!$O$8,OR($L1932='112'!$I$6,$M1932='112'!$I$6))),"x",""))</f>
        <v/>
      </c>
      <c r="T1932" s="39" t="str">
        <f>IF(ISERROR(FIND('112'!$M$9,G1932,1)),"",IF((AND(LEFT(G1932,2)=LEFT('112'!$M$9,2),B1932&lt;'112'!$N$8,$L1932='112'!$I$6)),"x",""))</f>
        <v/>
      </c>
      <c r="U1932" s="39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39" t="str">
        <f>IF(OR(TH!L1932=TH!$W$7,M1932=TH!$W$7),"x","")</f>
        <v/>
      </c>
      <c r="X1932" s="39" t="str">
        <f>IF(AND(B1932&gt;='IN-NX'!$P$3,B1932&lt;='IN-NX'!$Q$3,'IN-NX'!$D$7=D1932,OR(LEFT(L1932,2)="15",AND(LEFT(M1932,2)&lt;&gt;"15",LEFT(M1932,2)&lt;&gt;"33"))),"x","")</f>
        <v/>
      </c>
      <c r="Y1932" s="39" t="str">
        <f>IF(AND(OR(LEFT(TH!L1932,2)="15",LEFT(TH!M1932,2)="15"),'152-CT'!$J$8=TH!F1932),"x","")</f>
        <v/>
      </c>
      <c r="Z1932" s="39" t="str">
        <f>IF(AND(OR(LEFT(TH!L1932,2)="15",LEFT(TH!M1932,2)="15"),TK!$E$7=TH!F1932),"x","")</f>
        <v/>
      </c>
      <c r="AA1932" s="39" t="str">
        <f>IF(AND(B1932&lt;=NKC!$N$8,B1932&gt;=NKC!$M$8),"x","")</f>
        <v/>
      </c>
      <c r="AB1932" s="821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 t="str">
        <f t="shared" si="102"/>
        <v/>
      </c>
      <c r="C1933" s="191"/>
      <c r="D1933" s="37"/>
      <c r="E1933" s="731"/>
      <c r="F1933" s="443"/>
      <c r="G1933" s="40"/>
      <c r="H1933" s="7"/>
      <c r="I1933" s="256"/>
      <c r="J1933" s="256"/>
      <c r="K1933" s="568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902" t="str">
        <f>IF(AND('341-CT'!$E$9=H1933,OR(LEFT(L1933,3)=$O$7,LEFT(M1933,3)=$O$7)),"x","")</f>
        <v/>
      </c>
      <c r="P1933" s="39" t="str">
        <f>IF(AND($B1933&gt;='111'!$N$11,$B1933&lt;='111'!$O$11,OR($L1933=$P$7,$M1933=$P$7)),"x","")</f>
        <v/>
      </c>
      <c r="Q1933" s="39" t="str">
        <f>IF(AND($L1933=$P$7,$B1933&lt;'111'!$N$11),"x","")</f>
        <v/>
      </c>
      <c r="R1933" s="39" t="str">
        <f>IF(AND($M1933=$P$7,$B1933&lt;'111'!$N$11),"x","")</f>
        <v/>
      </c>
      <c r="S1933" s="39" t="str">
        <f>IF(ISERROR(FIND('112'!$M$9,G1933,1)),"",IF((AND(FIND('112'!$M$9,G1933,1)&gt;=1,$B1933&gt;='112'!$N$8,$B1933&lt;='112'!$O$8,OR($L1933='112'!$I$6,$M1933='112'!$I$6))),"x",""))</f>
        <v/>
      </c>
      <c r="T1933" s="39" t="str">
        <f>IF(ISERROR(FIND('112'!$M$9,G1933,1)),"",IF((AND(LEFT(G1933,2)=LEFT('112'!$M$9,2),B1933&lt;'112'!$N$8,$L1933='112'!$I$6)),"x",""))</f>
        <v/>
      </c>
      <c r="U1933" s="39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39" t="str">
        <f>IF(OR(TH!L1933=TH!$W$7,M1933=TH!$W$7),"x","")</f>
        <v/>
      </c>
      <c r="X1933" s="39" t="str">
        <f>IF(AND(B1933&gt;='IN-NX'!$P$3,B1933&lt;='IN-NX'!$Q$3,'IN-NX'!$D$7=D1933,OR(LEFT(L1933,2)="15",AND(LEFT(M1933,2)&lt;&gt;"15",LEFT(M1933,2)&lt;&gt;"33"))),"x","")</f>
        <v/>
      </c>
      <c r="Y1933" s="39" t="str">
        <f>IF(AND(OR(LEFT(TH!L1933,2)="15",LEFT(TH!M1933,2)="15"),'152-CT'!$J$8=TH!F1933),"x","")</f>
        <v/>
      </c>
      <c r="Z1933" s="39" t="str">
        <f>IF(AND(OR(LEFT(TH!L1933,2)="15",LEFT(TH!M1933,2)="15"),TK!$E$7=TH!F1933),"x","")</f>
        <v/>
      </c>
      <c r="AA1933" s="39" t="str">
        <f>IF(AND(B1933&lt;=NKC!$N$8,B1933&gt;=NKC!$M$8),"x","")</f>
        <v/>
      </c>
      <c r="AB1933" s="821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 t="str">
        <f t="shared" si="102"/>
        <v/>
      </c>
      <c r="C1934" s="191"/>
      <c r="D1934" s="191"/>
      <c r="E1934" s="191"/>
      <c r="F1934" s="192"/>
      <c r="G1934" s="468"/>
      <c r="H1934" s="193"/>
      <c r="I1934" s="256"/>
      <c r="J1934" s="256"/>
      <c r="K1934" s="38"/>
      <c r="L1934" s="194"/>
      <c r="M1934" s="569"/>
      <c r="N1934" s="39" t="str">
        <f>IF(AND('331-CT'!$E$7=TH!H1934,OR(L1934="331",M1934="331")),"331",IF(AND(OR(L1934="131",M1934="131"),H1934='131-CT'!$E$7),"131",""))</f>
        <v/>
      </c>
      <c r="O1934" s="902" t="str">
        <f>IF(AND('341-CT'!$E$9=H1934,OR(LEFT(L1934,3)=$O$7,LEFT(M1934,3)=$O$7)),"x","")</f>
        <v/>
      </c>
      <c r="P1934" s="39" t="str">
        <f>IF(AND($B1934&gt;='111'!$N$11,$B1934&lt;='111'!$O$11,OR($L1934=$P$7,$M1934=$P$7)),"x","")</f>
        <v/>
      </c>
      <c r="Q1934" s="39" t="str">
        <f>IF(AND($L1934=$P$7,$B1934&lt;'111'!$N$11),"x","")</f>
        <v/>
      </c>
      <c r="R1934" s="39" t="str">
        <f>IF(AND($M1934=$P$7,$B1934&lt;'111'!$N$11),"x","")</f>
        <v/>
      </c>
      <c r="S1934" s="39" t="str">
        <f>IF(ISERROR(FIND('112'!$M$9,G1934,1)),"",IF((AND(FIND('112'!$M$9,G1934,1)&gt;=1,$B1934&gt;='112'!$N$8,$B1934&lt;='112'!$O$8,OR($L1934='112'!$I$6,$M1934='112'!$I$6))),"x",""))</f>
        <v/>
      </c>
      <c r="T1934" s="39" t="str">
        <f>IF(ISERROR(FIND('112'!$M$9,G1934,1)),"",IF((AND(LEFT(G1934,2)=LEFT('112'!$M$9,2),B1934&lt;'112'!$N$8,$L1934='112'!$I$6)),"x",""))</f>
        <v/>
      </c>
      <c r="U1934" s="39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39" t="str">
        <f>IF(OR(TH!L1934=TH!$W$7,M1934=TH!$W$7),"x","")</f>
        <v/>
      </c>
      <c r="X1934" s="39" t="str">
        <f>IF(AND(B1934&gt;='IN-NX'!$P$3,B1934&lt;='IN-NX'!$Q$3,'IN-NX'!$D$7=D1934,OR(LEFT(L1934,2)="15",AND(LEFT(M1934,2)&lt;&gt;"15",LEFT(M1934,2)&lt;&gt;"33"))),"x","")</f>
        <v/>
      </c>
      <c r="Y1934" s="39" t="str">
        <f>IF(AND(OR(LEFT(TH!L1934,2)="15",LEFT(TH!M1934,2)="15"),'152-CT'!$J$8=TH!F1934),"x","")</f>
        <v/>
      </c>
      <c r="Z1934" s="39" t="str">
        <f>IF(AND(OR(LEFT(TH!L1934,2)="15",LEFT(TH!M1934,2)="15"),TK!$E$7=TH!F1934),"x","")</f>
        <v/>
      </c>
      <c r="AA1934" s="39" t="str">
        <f>IF(AND(B1934&lt;=NKC!$N$8,B1934&gt;=NKC!$M$8),"x","")</f>
        <v/>
      </c>
      <c r="AB1934" s="821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 t="str">
        <f t="shared" si="102"/>
        <v/>
      </c>
      <c r="C1935" s="191"/>
      <c r="D1935" s="191"/>
      <c r="E1935" s="191"/>
      <c r="F1935" s="192"/>
      <c r="G1935" s="468"/>
      <c r="H1935" s="210"/>
      <c r="I1935" s="256"/>
      <c r="J1935" s="256"/>
      <c r="K1935" s="568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902" t="str">
        <f>IF(AND('341-CT'!$E$9=H1935,OR(LEFT(L1935,3)=$O$7,LEFT(M1935,3)=$O$7)),"x","")</f>
        <v/>
      </c>
      <c r="P1935" s="39" t="str">
        <f>IF(AND($B1935&gt;='111'!$N$11,$B1935&lt;='111'!$O$11,OR($L1935=$P$7,$M1935=$P$7)),"x","")</f>
        <v/>
      </c>
      <c r="Q1935" s="39" t="str">
        <f>IF(AND($L1935=$P$7,$B1935&lt;'111'!$N$11),"x","")</f>
        <v/>
      </c>
      <c r="R1935" s="39" t="str">
        <f>IF(AND($M1935=$P$7,$B1935&lt;'111'!$N$11),"x","")</f>
        <v/>
      </c>
      <c r="S1935" s="39" t="str">
        <f>IF(ISERROR(FIND('112'!$M$9,G1935,1)),"",IF((AND(FIND('112'!$M$9,G1935,1)&gt;=1,$B1935&gt;='112'!$N$8,$B1935&lt;='112'!$O$8,OR($L1935='112'!$I$6,$M1935='112'!$I$6))),"x",""))</f>
        <v/>
      </c>
      <c r="T1935" s="39" t="str">
        <f>IF(ISERROR(FIND('112'!$M$9,G1935,1)),"",IF((AND(LEFT(G1935,2)=LEFT('112'!$M$9,2),B1935&lt;'112'!$N$8,$L1935='112'!$I$6)),"x",""))</f>
        <v/>
      </c>
      <c r="U1935" s="39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39" t="str">
        <f>IF(OR(TH!L1935=TH!$W$7,M1935=TH!$W$7),"x","")</f>
        <v/>
      </c>
      <c r="X1935" s="39" t="str">
        <f>IF(AND(B1935&gt;='IN-NX'!$P$3,B1935&lt;='IN-NX'!$Q$3,'IN-NX'!$D$7=D1935,OR(LEFT(L1935,2)="15",AND(LEFT(M1935,2)&lt;&gt;"15",LEFT(M1935,2)&lt;&gt;"33"))),"x","")</f>
        <v/>
      </c>
      <c r="Y1935" s="39" t="str">
        <f>IF(AND(OR(LEFT(TH!L1935,2)="15",LEFT(TH!M1935,2)="15"),'152-CT'!$J$8=TH!F1935),"x","")</f>
        <v/>
      </c>
      <c r="Z1935" s="39" t="str">
        <f>IF(AND(OR(LEFT(TH!L1935,2)="15",LEFT(TH!M1935,2)="15"),TK!$E$7=TH!F1935),"x","")</f>
        <v/>
      </c>
      <c r="AA1935" s="39" t="str">
        <f>IF(AND(B1935&lt;=NKC!$N$8,B1935&gt;=NKC!$M$8),"x","")</f>
        <v/>
      </c>
      <c r="AB1935" s="821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102"/>
        <v/>
      </c>
      <c r="C1936" s="191"/>
      <c r="D1936" s="191"/>
      <c r="E1936" s="191"/>
      <c r="F1936" s="192"/>
      <c r="G1936" s="468"/>
      <c r="H1936" s="210"/>
      <c r="I1936" s="256"/>
      <c r="J1936" s="256"/>
      <c r="K1936" s="568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902" t="str">
        <f>IF(AND('341-CT'!$E$9=H1936,OR(LEFT(L1936,3)=$O$7,LEFT(M1936,3)=$O$7)),"x","")</f>
        <v/>
      </c>
      <c r="P1936" s="39" t="str">
        <f>IF(AND($B1936&gt;='111'!$N$11,$B1936&lt;='111'!$O$11,OR($L1936=$P$7,$M1936=$P$7)),"x","")</f>
        <v/>
      </c>
      <c r="Q1936" s="39" t="str">
        <f>IF(AND($L1936=$P$7,$B1936&lt;'111'!$N$11),"x","")</f>
        <v/>
      </c>
      <c r="R1936" s="39" t="str">
        <f>IF(AND($M1936=$P$7,$B1936&lt;'111'!$N$11),"x","")</f>
        <v/>
      </c>
      <c r="S1936" s="39" t="str">
        <f>IF(ISERROR(FIND('112'!$M$9,G1936,1)),"",IF((AND(FIND('112'!$M$9,G1936,1)&gt;=1,$B1936&gt;='112'!$N$8,$B1936&lt;='112'!$O$8,OR($L1936='112'!$I$6,$M1936='112'!$I$6))),"x",""))</f>
        <v/>
      </c>
      <c r="T1936" s="39" t="str">
        <f>IF(ISERROR(FIND('112'!$M$9,G1936,1)),"",IF((AND(LEFT(G1936,2)=LEFT('112'!$M$9,2),B1936&lt;'112'!$N$8,$L1936='112'!$I$6)),"x",""))</f>
        <v/>
      </c>
      <c r="U1936" s="39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39" t="str">
        <f>IF(OR(TH!L1936=TH!$W$7,M1936=TH!$W$7),"x","")</f>
        <v/>
      </c>
      <c r="X1936" s="39" t="str">
        <f>IF(AND(B1936&gt;='IN-NX'!$P$3,B1936&lt;='IN-NX'!$Q$3,'IN-NX'!$D$7=D1936,OR(LEFT(L1936,2)="15",AND(LEFT(M1936,2)&lt;&gt;"15",LEFT(M1936,2)&lt;&gt;"33"))),"x","")</f>
        <v/>
      </c>
      <c r="Y1936" s="39" t="str">
        <f>IF(AND(OR(LEFT(TH!L1936,2)="15",LEFT(TH!M1936,2)="15"),'152-CT'!$J$8=TH!F1936),"x","")</f>
        <v/>
      </c>
      <c r="Z1936" s="39" t="str">
        <f>IF(AND(OR(LEFT(TH!L1936,2)="15",LEFT(TH!M1936,2)="15"),TK!$E$7=TH!F1936),"x","")</f>
        <v/>
      </c>
      <c r="AA1936" s="39" t="str">
        <f>IF(AND(B1936&lt;=NKC!$N$8,B1936&gt;=NKC!$M$8),"x","")</f>
        <v/>
      </c>
      <c r="AB1936" s="821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102"/>
        <v/>
      </c>
      <c r="C1937" s="191"/>
      <c r="D1937" s="191"/>
      <c r="E1937" s="191"/>
      <c r="F1937" s="192"/>
      <c r="G1937" s="468"/>
      <c r="H1937" s="210"/>
      <c r="I1937" s="256"/>
      <c r="J1937" s="256"/>
      <c r="K1937" s="568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902" t="str">
        <f>IF(AND('341-CT'!$E$9=H1937,OR(LEFT(L1937,3)=$O$7,LEFT(M1937,3)=$O$7)),"x","")</f>
        <v/>
      </c>
      <c r="P1937" s="39" t="str">
        <f>IF(AND($B1937&gt;='111'!$N$11,$B1937&lt;='111'!$O$11,OR($L1937=$P$7,$M1937=$P$7)),"x","")</f>
        <v/>
      </c>
      <c r="Q1937" s="39" t="str">
        <f>IF(AND($L1937=$P$7,$B1937&lt;'111'!$N$11),"x","")</f>
        <v/>
      </c>
      <c r="R1937" s="39" t="str">
        <f>IF(AND($M1937=$P$7,$B1937&lt;'111'!$N$11),"x","")</f>
        <v/>
      </c>
      <c r="S1937" s="39" t="str">
        <f>IF(ISERROR(FIND('112'!$M$9,G1937,1)),"",IF((AND(FIND('112'!$M$9,G1937,1)&gt;=1,$B1937&gt;='112'!$N$8,$B1937&lt;='112'!$O$8,OR($L1937='112'!$I$6,$M1937='112'!$I$6))),"x",""))</f>
        <v/>
      </c>
      <c r="T1937" s="39" t="str">
        <f>IF(ISERROR(FIND('112'!$M$9,G1937,1)),"",IF((AND(LEFT(G1937,2)=LEFT('112'!$M$9,2),B1937&lt;'112'!$N$8,$L1937='112'!$I$6)),"x",""))</f>
        <v/>
      </c>
      <c r="U1937" s="39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39" t="str">
        <f>IF(OR(TH!L1937=TH!$W$7,M1937=TH!$W$7),"x","")</f>
        <v/>
      </c>
      <c r="X1937" s="39" t="str">
        <f>IF(AND(B1937&gt;='IN-NX'!$P$3,B1937&lt;='IN-NX'!$Q$3,'IN-NX'!$D$7=D1937,OR(LEFT(L1937,2)="15",AND(LEFT(M1937,2)&lt;&gt;"15",LEFT(M1937,2)&lt;&gt;"33"))),"x","")</f>
        <v/>
      </c>
      <c r="Y1937" s="39" t="str">
        <f>IF(AND(OR(LEFT(TH!L1937,2)="15",LEFT(TH!M1937,2)="15"),'152-CT'!$J$8=TH!F1937),"x","")</f>
        <v/>
      </c>
      <c r="Z1937" s="39" t="str">
        <f>IF(AND(OR(LEFT(TH!L1937,2)="15",LEFT(TH!M1937,2)="15"),TK!$E$7=TH!F1937),"x","")</f>
        <v/>
      </c>
      <c r="AA1937" s="39" t="str">
        <f>IF(AND(B1937&lt;=NKC!$N$8,B1937&gt;=NKC!$M$8),"x","")</f>
        <v/>
      </c>
      <c r="AB1937" s="821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102"/>
        <v/>
      </c>
      <c r="C1938" s="191"/>
      <c r="D1938" s="191"/>
      <c r="E1938" s="731"/>
      <c r="F1938" s="189"/>
      <c r="G1938" s="40"/>
      <c r="H1938" s="7"/>
      <c r="I1938" s="256"/>
      <c r="J1938" s="256"/>
      <c r="K1938" s="56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902" t="str">
        <f>IF(AND('341-CT'!$E$9=H1938,OR(LEFT(L1938,3)=$O$7,LEFT(M1938,3)=$O$7)),"x","")</f>
        <v/>
      </c>
      <c r="P1938" s="39" t="str">
        <f>IF(AND($B1938&gt;='111'!$N$11,$B1938&lt;='111'!$O$11,OR($L1938=$P$7,$M1938=$P$7)),"x","")</f>
        <v/>
      </c>
      <c r="Q1938" s="39" t="str">
        <f>IF(AND($L1938=$P$7,$B1938&lt;'111'!$N$11),"x","")</f>
        <v/>
      </c>
      <c r="R1938" s="39" t="str">
        <f>IF(AND($M1938=$P$7,$B1938&lt;'111'!$N$11),"x","")</f>
        <v/>
      </c>
      <c r="S1938" s="39" t="str">
        <f>IF(ISERROR(FIND('112'!$M$9,G1938,1)),"",IF((AND(FIND('112'!$M$9,G1938,1)&gt;=1,$B1938&gt;='112'!$N$8,$B1938&lt;='112'!$O$8,OR($L1938='112'!$I$6,$M1938='112'!$I$6))),"x",""))</f>
        <v/>
      </c>
      <c r="T1938" s="39" t="str">
        <f>IF(ISERROR(FIND('112'!$M$9,G1938,1)),"",IF((AND(LEFT(G1938,2)=LEFT('112'!$M$9,2),B1938&lt;'112'!$N$8,$L1938='112'!$I$6)),"x",""))</f>
        <v/>
      </c>
      <c r="U1938" s="39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39" t="str">
        <f>IF(OR(TH!L1938=TH!$W$7,M1938=TH!$W$7),"x","")</f>
        <v/>
      </c>
      <c r="X1938" s="39" t="str">
        <f>IF(AND(B1938&gt;='IN-NX'!$P$3,B1938&lt;='IN-NX'!$Q$3,'IN-NX'!$D$7=D1938,OR(LEFT(L1938,2)="15",AND(LEFT(M1938,2)&lt;&gt;"15",LEFT(M1938,2)&lt;&gt;"33"))),"x","")</f>
        <v/>
      </c>
      <c r="Y1938" s="39" t="str">
        <f>IF(AND(OR(LEFT(TH!L1938,2)="15",LEFT(TH!M1938,2)="15"),'152-CT'!$J$8=TH!F1938),"x","")</f>
        <v/>
      </c>
      <c r="Z1938" s="39" t="str">
        <f>IF(AND(OR(LEFT(TH!L1938,2)="15",LEFT(TH!M1938,2)="15"),TK!$E$7=TH!F1938),"x","")</f>
        <v/>
      </c>
      <c r="AA1938" s="39" t="str">
        <f>IF(AND(B1938&lt;=NKC!$N$8,B1938&gt;=NKC!$M$8),"x","")</f>
        <v/>
      </c>
      <c r="AB1938" s="821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102"/>
        <v/>
      </c>
      <c r="C1939" s="191"/>
      <c r="D1939" s="191"/>
      <c r="E1939" s="731"/>
      <c r="F1939" s="40"/>
      <c r="G1939" s="40"/>
      <c r="H1939" s="7"/>
      <c r="I1939" s="256"/>
      <c r="J1939" s="256"/>
      <c r="K1939" s="56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902" t="str">
        <f>IF(AND('341-CT'!$E$9=H1939,OR(LEFT(L1939,3)=$O$7,LEFT(M1939,3)=$O$7)),"x","")</f>
        <v/>
      </c>
      <c r="P1939" s="39" t="str">
        <f>IF(AND($B1939&gt;='111'!$N$11,$B1939&lt;='111'!$O$11,OR($L1939=$P$7,$M1939=$P$7)),"x","")</f>
        <v/>
      </c>
      <c r="Q1939" s="39" t="str">
        <f>IF(AND($L1939=$P$7,$B1939&lt;'111'!$N$11),"x","")</f>
        <v/>
      </c>
      <c r="R1939" s="39" t="str">
        <f>IF(AND($M1939=$P$7,$B1939&lt;'111'!$N$11),"x","")</f>
        <v/>
      </c>
      <c r="S1939" s="39" t="str">
        <f>IF(ISERROR(FIND('112'!$M$9,G1939,1)),"",IF((AND(FIND('112'!$M$9,G1939,1)&gt;=1,$B1939&gt;='112'!$N$8,$B1939&lt;='112'!$O$8,OR($L1939='112'!$I$6,$M1939='112'!$I$6))),"x",""))</f>
        <v/>
      </c>
      <c r="T1939" s="39" t="str">
        <f>IF(ISERROR(FIND('112'!$M$9,G1939,1)),"",IF((AND(LEFT(G1939,2)=LEFT('112'!$M$9,2),B1939&lt;'112'!$N$8,$L1939='112'!$I$6)),"x",""))</f>
        <v/>
      </c>
      <c r="U1939" s="39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39" t="str">
        <f>IF(OR(TH!L1939=TH!$W$7,M1939=TH!$W$7),"x","")</f>
        <v/>
      </c>
      <c r="X1939" s="39" t="str">
        <f>IF(AND(B1939&gt;='IN-NX'!$P$3,B1939&lt;='IN-NX'!$Q$3,'IN-NX'!$D$7=D1939,OR(LEFT(L1939,2)="15",AND(LEFT(M1939,2)&lt;&gt;"15",LEFT(M1939,2)&lt;&gt;"33"))),"x","")</f>
        <v/>
      </c>
      <c r="Y1939" s="39" t="str">
        <f>IF(AND(OR(LEFT(TH!L1939,2)="15",LEFT(TH!M1939,2)="15"),'152-CT'!$J$8=TH!F1939),"x","")</f>
        <v/>
      </c>
      <c r="Z1939" s="39" t="str">
        <f>IF(AND(OR(LEFT(TH!L1939,2)="15",LEFT(TH!M1939,2)="15"),TK!$E$7=TH!F1939),"x","")</f>
        <v/>
      </c>
      <c r="AA1939" s="39" t="str">
        <f>IF(AND(B1939&lt;=NKC!$N$8,B1939&gt;=NKC!$M$8),"x","")</f>
        <v/>
      </c>
      <c r="AB1939" s="821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102"/>
        <v/>
      </c>
      <c r="C1940" s="191"/>
      <c r="D1940" s="191"/>
      <c r="E1940" s="731"/>
      <c r="F1940" s="189"/>
      <c r="G1940" s="40"/>
      <c r="H1940" s="7"/>
      <c r="I1940" s="256"/>
      <c r="J1940" s="256"/>
      <c r="K1940" s="56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902" t="str">
        <f>IF(AND('341-CT'!$E$9=H1940,OR(LEFT(L1940,3)=$O$7,LEFT(M1940,3)=$O$7)),"x","")</f>
        <v/>
      </c>
      <c r="P1940" s="39" t="str">
        <f>IF(AND($B1940&gt;='111'!$N$11,$B1940&lt;='111'!$O$11,OR($L1940=$P$7,$M1940=$P$7)),"x","")</f>
        <v/>
      </c>
      <c r="Q1940" s="39" t="str">
        <f>IF(AND($L1940=$P$7,$B1940&lt;'111'!$N$11),"x","")</f>
        <v/>
      </c>
      <c r="R1940" s="39" t="str">
        <f>IF(AND($M1940=$P$7,$B1940&lt;'111'!$N$11),"x","")</f>
        <v/>
      </c>
      <c r="S1940" s="39" t="str">
        <f>IF(ISERROR(FIND('112'!$M$9,G1940,1)),"",IF((AND(FIND('112'!$M$9,G1940,1)&gt;=1,$B1940&gt;='112'!$N$8,$B1940&lt;='112'!$O$8,OR($L1940='112'!$I$6,$M1940='112'!$I$6))),"x",""))</f>
        <v/>
      </c>
      <c r="T1940" s="39" t="str">
        <f>IF(ISERROR(FIND('112'!$M$9,G1940,1)),"",IF((AND(LEFT(G1940,2)=LEFT('112'!$M$9,2),B1940&lt;'112'!$N$8,$L1940='112'!$I$6)),"x",""))</f>
        <v/>
      </c>
      <c r="U1940" s="39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39" t="str">
        <f>IF(OR(TH!L1940=TH!$W$7,M1940=TH!$W$7),"x","")</f>
        <v/>
      </c>
      <c r="X1940" s="39" t="str">
        <f>IF(AND(B1940&gt;='IN-NX'!$P$3,B1940&lt;='IN-NX'!$Q$3,'IN-NX'!$D$7=D1940,OR(LEFT(L1940,2)="15",AND(LEFT(M1940,2)&lt;&gt;"15",LEFT(M1940,2)&lt;&gt;"33"))),"x","")</f>
        <v/>
      </c>
      <c r="Y1940" s="39" t="str">
        <f>IF(AND(OR(LEFT(TH!L1940,2)="15",LEFT(TH!M1940,2)="15"),'152-CT'!$J$8=TH!F1940),"x","")</f>
        <v/>
      </c>
      <c r="Z1940" s="39" t="str">
        <f>IF(AND(OR(LEFT(TH!L1940,2)="15",LEFT(TH!M1940,2)="15"),TK!$E$7=TH!F1940),"x","")</f>
        <v/>
      </c>
      <c r="AA1940" s="39" t="str">
        <f>IF(AND(B1940&lt;=NKC!$N$8,B1940&gt;=NKC!$M$8),"x","")</f>
        <v/>
      </c>
      <c r="AB1940" s="821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102"/>
        <v/>
      </c>
      <c r="C1941" s="191"/>
      <c r="D1941" s="191"/>
      <c r="E1941" s="731"/>
      <c r="F1941" s="189"/>
      <c r="G1941" s="40"/>
      <c r="H1941" s="7"/>
      <c r="I1941" s="256"/>
      <c r="J1941" s="256"/>
      <c r="K1941" s="56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902" t="str">
        <f>IF(AND('341-CT'!$E$9=H1941,OR(LEFT(L1941,3)=$O$7,LEFT(M1941,3)=$O$7)),"x","")</f>
        <v/>
      </c>
      <c r="P1941" s="39" t="str">
        <f>IF(AND($B1941&gt;='111'!$N$11,$B1941&lt;='111'!$O$11,OR($L1941=$P$7,$M1941=$P$7)),"x","")</f>
        <v/>
      </c>
      <c r="Q1941" s="39" t="str">
        <f>IF(AND($L1941=$P$7,$B1941&lt;'111'!$N$11),"x","")</f>
        <v/>
      </c>
      <c r="R1941" s="39" t="str">
        <f>IF(AND($M1941=$P$7,$B1941&lt;'111'!$N$11),"x","")</f>
        <v/>
      </c>
      <c r="S1941" s="39" t="str">
        <f>IF(ISERROR(FIND('112'!$M$9,G1941,1)),"",IF((AND(FIND('112'!$M$9,G1941,1)&gt;=1,$B1941&gt;='112'!$N$8,$B1941&lt;='112'!$O$8,OR($L1941='112'!$I$6,$M1941='112'!$I$6))),"x",""))</f>
        <v/>
      </c>
      <c r="T1941" s="39" t="str">
        <f>IF(ISERROR(FIND('112'!$M$9,G1941,1)),"",IF((AND(LEFT(G1941,2)=LEFT('112'!$M$9,2),B1941&lt;'112'!$N$8,$L1941='112'!$I$6)),"x",""))</f>
        <v/>
      </c>
      <c r="U1941" s="39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39" t="str">
        <f>IF(OR(TH!L1941=TH!$W$7,M1941=TH!$W$7),"x","")</f>
        <v/>
      </c>
      <c r="X1941" s="39" t="str">
        <f>IF(AND(B1941&gt;='IN-NX'!$P$3,B1941&lt;='IN-NX'!$Q$3,'IN-NX'!$D$7=D1941,OR(LEFT(L1941,2)="15",AND(LEFT(M1941,2)&lt;&gt;"15",LEFT(M1941,2)&lt;&gt;"33"))),"x","")</f>
        <v/>
      </c>
      <c r="Y1941" s="39" t="str">
        <f>IF(AND(OR(LEFT(TH!L1941,2)="15",LEFT(TH!M1941,2)="15"),'152-CT'!$J$8=TH!F1941),"x","")</f>
        <v/>
      </c>
      <c r="Z1941" s="39" t="str">
        <f>IF(AND(OR(LEFT(TH!L1941,2)="15",LEFT(TH!M1941,2)="15"),TK!$E$7=TH!F1941),"x","")</f>
        <v/>
      </c>
      <c r="AA1941" s="39" t="str">
        <f>IF(AND(B1941&lt;=NKC!$N$8,B1941&gt;=NKC!$M$8),"x","")</f>
        <v/>
      </c>
      <c r="AB1941" s="821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102"/>
        <v/>
      </c>
      <c r="C1942" s="191"/>
      <c r="D1942" s="191"/>
      <c r="E1942" s="731"/>
      <c r="F1942" s="189"/>
      <c r="G1942" s="40"/>
      <c r="H1942" s="7"/>
      <c r="I1942" s="256"/>
      <c r="J1942" s="256"/>
      <c r="K1942" s="56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902" t="str">
        <f>IF(AND('341-CT'!$E$9=H1942,OR(LEFT(L1942,3)=$O$7,LEFT(M1942,3)=$O$7)),"x","")</f>
        <v/>
      </c>
      <c r="P1942" s="39" t="str">
        <f>IF(AND($B1942&gt;='111'!$N$11,$B1942&lt;='111'!$O$11,OR($L1942=$P$7,$M1942=$P$7)),"x","")</f>
        <v/>
      </c>
      <c r="Q1942" s="39" t="str">
        <f>IF(AND($L1942=$P$7,$B1942&lt;'111'!$N$11),"x","")</f>
        <v/>
      </c>
      <c r="R1942" s="39" t="str">
        <f>IF(AND($M1942=$P$7,$B1942&lt;'111'!$N$11),"x","")</f>
        <v/>
      </c>
      <c r="S1942" s="39" t="str">
        <f>IF(ISERROR(FIND('112'!$M$9,G1942,1)),"",IF((AND(FIND('112'!$M$9,G1942,1)&gt;=1,$B1942&gt;='112'!$N$8,$B1942&lt;='112'!$O$8,OR($L1942='112'!$I$6,$M1942='112'!$I$6))),"x",""))</f>
        <v/>
      </c>
      <c r="T1942" s="39" t="str">
        <f>IF(ISERROR(FIND('112'!$M$9,G1942,1)),"",IF((AND(LEFT(G1942,2)=LEFT('112'!$M$9,2),B1942&lt;'112'!$N$8,$L1942='112'!$I$6)),"x",""))</f>
        <v/>
      </c>
      <c r="U1942" s="39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39" t="str">
        <f>IF(OR(TH!L1942=TH!$W$7,M1942=TH!$W$7),"x","")</f>
        <v/>
      </c>
      <c r="X1942" s="39" t="str">
        <f>IF(AND(B1942&gt;='IN-NX'!$P$3,B1942&lt;='IN-NX'!$Q$3,'IN-NX'!$D$7=D1942,OR(LEFT(L1942,2)="15",AND(LEFT(M1942,2)&lt;&gt;"15",LEFT(M1942,2)&lt;&gt;"33"))),"x","")</f>
        <v/>
      </c>
      <c r="Y1942" s="39" t="str">
        <f>IF(AND(OR(LEFT(TH!L1942,2)="15",LEFT(TH!M1942,2)="15"),'152-CT'!$J$8=TH!F1942),"x","")</f>
        <v/>
      </c>
      <c r="Z1942" s="39" t="str">
        <f>IF(AND(OR(LEFT(TH!L1942,2)="15",LEFT(TH!M1942,2)="15"),TK!$E$7=TH!F1942),"x","")</f>
        <v/>
      </c>
      <c r="AA1942" s="39" t="str">
        <f>IF(AND(B1942&lt;=NKC!$N$8,B1942&gt;=NKC!$M$8),"x","")</f>
        <v/>
      </c>
      <c r="AB1942" s="821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102"/>
        <v/>
      </c>
      <c r="C1943" s="191"/>
      <c r="D1943" s="191"/>
      <c r="E1943" s="731"/>
      <c r="F1943" s="40"/>
      <c r="G1943" s="40"/>
      <c r="H1943" s="7"/>
      <c r="I1943" s="256"/>
      <c r="J1943" s="256"/>
      <c r="K1943" s="56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902" t="str">
        <f>IF(AND('341-CT'!$E$9=H1943,OR(LEFT(L1943,3)=$O$7,LEFT(M1943,3)=$O$7)),"x","")</f>
        <v/>
      </c>
      <c r="P1943" s="39" t="str">
        <f>IF(AND($B1943&gt;='111'!$N$11,$B1943&lt;='111'!$O$11,OR($L1943=$P$7,$M1943=$P$7)),"x","")</f>
        <v/>
      </c>
      <c r="Q1943" s="39" t="str">
        <f>IF(AND($L1943=$P$7,$B1943&lt;'111'!$N$11),"x","")</f>
        <v/>
      </c>
      <c r="R1943" s="39" t="str">
        <f>IF(AND($M1943=$P$7,$B1943&lt;'111'!$N$11),"x","")</f>
        <v/>
      </c>
      <c r="S1943" s="39" t="str">
        <f>IF(ISERROR(FIND('112'!$M$9,G1943,1)),"",IF((AND(FIND('112'!$M$9,G1943,1)&gt;=1,$B1943&gt;='112'!$N$8,$B1943&lt;='112'!$O$8,OR($L1943='112'!$I$6,$M1943='112'!$I$6))),"x",""))</f>
        <v/>
      </c>
      <c r="T1943" s="39" t="str">
        <f>IF(ISERROR(FIND('112'!$M$9,G1943,1)),"",IF((AND(LEFT(G1943,2)=LEFT('112'!$M$9,2),B1943&lt;'112'!$N$8,$L1943='112'!$I$6)),"x",""))</f>
        <v/>
      </c>
      <c r="U1943" s="39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39" t="str">
        <f>IF(OR(TH!L1943=TH!$W$7,M1943=TH!$W$7),"x","")</f>
        <v/>
      </c>
      <c r="X1943" s="39" t="str">
        <f>IF(AND(B1943&gt;='IN-NX'!$P$3,B1943&lt;='IN-NX'!$Q$3,'IN-NX'!$D$7=D1943,OR(LEFT(L1943,2)="15",AND(LEFT(M1943,2)&lt;&gt;"15",LEFT(M1943,2)&lt;&gt;"33"))),"x","")</f>
        <v/>
      </c>
      <c r="Y1943" s="39" t="str">
        <f>IF(AND(OR(LEFT(TH!L1943,2)="15",LEFT(TH!M1943,2)="15"),'152-CT'!$J$8=TH!F1943),"x","")</f>
        <v/>
      </c>
      <c r="Z1943" s="39" t="str">
        <f>IF(AND(OR(LEFT(TH!L1943,2)="15",LEFT(TH!M1943,2)="15"),TK!$E$7=TH!F1943),"x","")</f>
        <v/>
      </c>
      <c r="AA1943" s="39" t="str">
        <f>IF(AND(B1943&lt;=NKC!$N$8,B1943&gt;=NKC!$M$8),"x","")</f>
        <v/>
      </c>
      <c r="AB1943" s="821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102"/>
        <v/>
      </c>
      <c r="C1944" s="191"/>
      <c r="D1944" s="191"/>
      <c r="E1944" s="731"/>
      <c r="F1944" s="40"/>
      <c r="G1944" s="40"/>
      <c r="H1944" s="7"/>
      <c r="I1944" s="256"/>
      <c r="J1944" s="256"/>
      <c r="K1944" s="56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902" t="str">
        <f>IF(AND('341-CT'!$E$9=H1944,OR(LEFT(L1944,3)=$O$7,LEFT(M1944,3)=$O$7)),"x","")</f>
        <v/>
      </c>
      <c r="P1944" s="39" t="str">
        <f>IF(AND($B1944&gt;='111'!$N$11,$B1944&lt;='111'!$O$11,OR($L1944=$P$7,$M1944=$P$7)),"x","")</f>
        <v/>
      </c>
      <c r="Q1944" s="39" t="str">
        <f>IF(AND($L1944=$P$7,$B1944&lt;'111'!$N$11),"x","")</f>
        <v/>
      </c>
      <c r="R1944" s="39" t="str">
        <f>IF(AND($M1944=$P$7,$B1944&lt;'111'!$N$11),"x","")</f>
        <v/>
      </c>
      <c r="S1944" s="39" t="str">
        <f>IF(ISERROR(FIND('112'!$M$9,G1944,1)),"",IF((AND(FIND('112'!$M$9,G1944,1)&gt;=1,$B1944&gt;='112'!$N$8,$B1944&lt;='112'!$O$8,OR($L1944='112'!$I$6,$M1944='112'!$I$6))),"x",""))</f>
        <v/>
      </c>
      <c r="T1944" s="39" t="str">
        <f>IF(ISERROR(FIND('112'!$M$9,G1944,1)),"",IF((AND(LEFT(G1944,2)=LEFT('112'!$M$9,2),B1944&lt;'112'!$N$8,$L1944='112'!$I$6)),"x",""))</f>
        <v/>
      </c>
      <c r="U1944" s="39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39" t="str">
        <f>IF(OR(TH!L1944=TH!$W$7,M1944=TH!$W$7),"x","")</f>
        <v/>
      </c>
      <c r="X1944" s="39" t="str">
        <f>IF(AND(B1944&gt;='IN-NX'!$P$3,B1944&lt;='IN-NX'!$Q$3,'IN-NX'!$D$7=D1944,OR(LEFT(L1944,2)="15",AND(LEFT(M1944,2)&lt;&gt;"15",LEFT(M1944,2)&lt;&gt;"33"))),"x","")</f>
        <v/>
      </c>
      <c r="Y1944" s="39" t="str">
        <f>IF(AND(OR(LEFT(TH!L1944,2)="15",LEFT(TH!M1944,2)="15"),'152-CT'!$J$8=TH!F1944),"x","")</f>
        <v/>
      </c>
      <c r="Z1944" s="39" t="str">
        <f>IF(AND(OR(LEFT(TH!L1944,2)="15",LEFT(TH!M1944,2)="15"),TK!$E$7=TH!F1944),"x","")</f>
        <v/>
      </c>
      <c r="AA1944" s="39" t="str">
        <f>IF(AND(B1944&lt;=NKC!$N$8,B1944&gt;=NKC!$M$8),"x","")</f>
        <v/>
      </c>
      <c r="AB1944" s="821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102"/>
        <v/>
      </c>
      <c r="C1945" s="191"/>
      <c r="D1945" s="191"/>
      <c r="E1945" s="731"/>
      <c r="F1945" s="189"/>
      <c r="G1945" s="40"/>
      <c r="H1945" s="7"/>
      <c r="I1945" s="256"/>
      <c r="J1945" s="256"/>
      <c r="K1945" s="56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902" t="str">
        <f>IF(AND('341-CT'!$E$9=H1945,OR(LEFT(L1945,3)=$O$7,LEFT(M1945,3)=$O$7)),"x","")</f>
        <v/>
      </c>
      <c r="P1945" s="39" t="str">
        <f>IF(AND($B1945&gt;='111'!$N$11,$B1945&lt;='111'!$O$11,OR($L1945=$P$7,$M1945=$P$7)),"x","")</f>
        <v/>
      </c>
      <c r="Q1945" s="39" t="str">
        <f>IF(AND($L1945=$P$7,$B1945&lt;'111'!$N$11),"x","")</f>
        <v/>
      </c>
      <c r="R1945" s="39" t="str">
        <f>IF(AND($M1945=$P$7,$B1945&lt;'111'!$N$11),"x","")</f>
        <v/>
      </c>
      <c r="S1945" s="39" t="str">
        <f>IF(ISERROR(FIND('112'!$M$9,G1945,1)),"",IF((AND(FIND('112'!$M$9,G1945,1)&gt;=1,$B1945&gt;='112'!$N$8,$B1945&lt;='112'!$O$8,OR($L1945='112'!$I$6,$M1945='112'!$I$6))),"x",""))</f>
        <v/>
      </c>
      <c r="T1945" s="39" t="str">
        <f>IF(ISERROR(FIND('112'!$M$9,G1945,1)),"",IF((AND(LEFT(G1945,2)=LEFT('112'!$M$9,2),B1945&lt;'112'!$N$8,$L1945='112'!$I$6)),"x",""))</f>
        <v/>
      </c>
      <c r="U1945" s="39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39" t="str">
        <f>IF(OR(TH!L1945=TH!$W$7,M1945=TH!$W$7),"x","")</f>
        <v/>
      </c>
      <c r="X1945" s="39" t="str">
        <f>IF(AND(B1945&gt;='IN-NX'!$P$3,B1945&lt;='IN-NX'!$Q$3,'IN-NX'!$D$7=D1945,OR(LEFT(L1945,2)="15",AND(LEFT(M1945,2)&lt;&gt;"15",LEFT(M1945,2)&lt;&gt;"33"))),"x","")</f>
        <v/>
      </c>
      <c r="Y1945" s="39" t="str">
        <f>IF(AND(OR(LEFT(TH!L1945,2)="15",LEFT(TH!M1945,2)="15"),'152-CT'!$J$8=TH!F1945),"x","")</f>
        <v/>
      </c>
      <c r="Z1945" s="39" t="str">
        <f>IF(AND(OR(LEFT(TH!L1945,2)="15",LEFT(TH!M1945,2)="15"),TK!$E$7=TH!F1945),"x","")</f>
        <v/>
      </c>
      <c r="AA1945" s="39" t="str">
        <f>IF(AND(B1945&lt;=NKC!$N$8,B1945&gt;=NKC!$M$8),"x","")</f>
        <v/>
      </c>
      <c r="AB1945" s="821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102"/>
        <v/>
      </c>
      <c r="C1946" s="191"/>
      <c r="D1946" s="37"/>
      <c r="E1946" s="731"/>
      <c r="F1946" s="40"/>
      <c r="G1946" s="40"/>
      <c r="H1946" s="7"/>
      <c r="I1946" s="256"/>
      <c r="J1946" s="256"/>
      <c r="K1946" s="568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902" t="str">
        <f>IF(AND('341-CT'!$E$9=H1946,OR(LEFT(L1946,3)=$O$7,LEFT(M1946,3)=$O$7)),"x","")</f>
        <v/>
      </c>
      <c r="P1946" s="39" t="str">
        <f>IF(AND($B1946&gt;='111'!$N$11,$B1946&lt;='111'!$O$11,OR($L1946=$P$7,$M1946=$P$7)),"x","")</f>
        <v/>
      </c>
      <c r="Q1946" s="39" t="str">
        <f>IF(AND($L1946=$P$7,$B1946&lt;'111'!$N$11),"x","")</f>
        <v/>
      </c>
      <c r="R1946" s="39" t="str">
        <f>IF(AND($M1946=$P$7,$B1946&lt;'111'!$N$11),"x","")</f>
        <v/>
      </c>
      <c r="S1946" s="39" t="str">
        <f>IF(ISERROR(FIND('112'!$M$9,G1946,1)),"",IF((AND(FIND('112'!$M$9,G1946,1)&gt;=1,$B1946&gt;='112'!$N$8,$B1946&lt;='112'!$O$8,OR($L1946='112'!$I$6,$M1946='112'!$I$6))),"x",""))</f>
        <v/>
      </c>
      <c r="T1946" s="39" t="str">
        <f>IF(ISERROR(FIND('112'!$M$9,G1946,1)),"",IF((AND(LEFT(G1946,2)=LEFT('112'!$M$9,2),B1946&lt;'112'!$N$8,$L1946='112'!$I$6)),"x",""))</f>
        <v/>
      </c>
      <c r="U1946" s="39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39" t="str">
        <f>IF(OR(TH!L1946=TH!$W$7,M1946=TH!$W$7),"x","")</f>
        <v/>
      </c>
      <c r="X1946" s="39" t="str">
        <f>IF(AND(B1946&gt;='IN-NX'!$P$3,B1946&lt;='IN-NX'!$Q$3,'IN-NX'!$D$7=D1946,OR(LEFT(L1946,2)="15",AND(LEFT(M1946,2)&lt;&gt;"15",LEFT(M1946,2)&lt;&gt;"33"))),"x","")</f>
        <v/>
      </c>
      <c r="Y1946" s="39" t="str">
        <f>IF(AND(OR(LEFT(TH!L1946,2)="15",LEFT(TH!M1946,2)="15"),'152-CT'!$J$8=TH!F1946),"x","")</f>
        <v/>
      </c>
      <c r="Z1946" s="39" t="str">
        <f>IF(AND(OR(LEFT(TH!L1946,2)="15",LEFT(TH!M1946,2)="15"),TK!$E$7=TH!F1946),"x","")</f>
        <v/>
      </c>
      <c r="AA1946" s="39" t="str">
        <f>IF(AND(B1946&lt;=NKC!$N$8,B1946&gt;=NKC!$M$8),"x","")</f>
        <v/>
      </c>
      <c r="AB1946" s="821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102"/>
        <v/>
      </c>
      <c r="C1947" s="191"/>
      <c r="D1947" s="37"/>
      <c r="E1947" s="731"/>
      <c r="F1947" s="192"/>
      <c r="G1947" s="468"/>
      <c r="H1947" s="210"/>
      <c r="I1947" s="256"/>
      <c r="J1947" s="256"/>
      <c r="K1947" s="568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902" t="str">
        <f>IF(AND('341-CT'!$E$9=H1947,OR(LEFT(L1947,3)=$O$7,LEFT(M1947,3)=$O$7)),"x","")</f>
        <v/>
      </c>
      <c r="P1947" s="39" t="str">
        <f>IF(AND($B1947&gt;='111'!$N$11,$B1947&lt;='111'!$O$11,OR($L1947=$P$7,$M1947=$P$7)),"x","")</f>
        <v/>
      </c>
      <c r="Q1947" s="39" t="str">
        <f>IF(AND($L1947=$P$7,$B1947&lt;'111'!$N$11),"x","")</f>
        <v/>
      </c>
      <c r="R1947" s="39" t="str">
        <f>IF(AND($M1947=$P$7,$B1947&lt;'111'!$N$11),"x","")</f>
        <v/>
      </c>
      <c r="S1947" s="39" t="str">
        <f>IF(ISERROR(FIND('112'!$M$9,G1947,1)),"",IF((AND(FIND('112'!$M$9,G1947,1)&gt;=1,$B1947&gt;='112'!$N$8,$B1947&lt;='112'!$O$8,OR($L1947='112'!$I$6,$M1947='112'!$I$6))),"x",""))</f>
        <v/>
      </c>
      <c r="T1947" s="39" t="str">
        <f>IF(ISERROR(FIND('112'!$M$9,G1947,1)),"",IF((AND(LEFT(G1947,2)=LEFT('112'!$M$9,2),B1947&lt;'112'!$N$8,$L1947='112'!$I$6)),"x",""))</f>
        <v/>
      </c>
      <c r="U1947" s="39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39" t="str">
        <f>IF(OR(TH!L1947=TH!$W$7,M1947=TH!$W$7),"x","")</f>
        <v/>
      </c>
      <c r="X1947" s="39" t="str">
        <f>IF(AND(B1947&gt;='IN-NX'!$P$3,B1947&lt;='IN-NX'!$Q$3,'IN-NX'!$D$7=D1947,OR(LEFT(L1947,2)="15",AND(LEFT(M1947,2)&lt;&gt;"15",LEFT(M1947,2)&lt;&gt;"33"))),"x","")</f>
        <v/>
      </c>
      <c r="Y1947" s="39" t="str">
        <f>IF(AND(OR(LEFT(TH!L1947,2)="15",LEFT(TH!M1947,2)="15"),'152-CT'!$J$8=TH!F1947),"x","")</f>
        <v/>
      </c>
      <c r="Z1947" s="39" t="str">
        <f>IF(AND(OR(LEFT(TH!L1947,2)="15",LEFT(TH!M1947,2)="15"),TK!$E$7=TH!F1947),"x","")</f>
        <v/>
      </c>
      <c r="AA1947" s="39" t="str">
        <f>IF(AND(B1947&lt;=NKC!$N$8,B1947&gt;=NKC!$M$8),"x","")</f>
        <v/>
      </c>
      <c r="AB1947" s="821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102"/>
        <v/>
      </c>
      <c r="C1948" s="191"/>
      <c r="D1948" s="191"/>
      <c r="E1948" s="191"/>
      <c r="F1948" s="192"/>
      <c r="G1948" s="465"/>
      <c r="H1948" s="45"/>
      <c r="I1948" s="257"/>
      <c r="J1948" s="256"/>
      <c r="K1948" s="38"/>
      <c r="L1948" s="194"/>
      <c r="M1948" s="569"/>
      <c r="N1948" s="39" t="str">
        <f>IF(AND('331-CT'!$E$7=TH!H1948,OR(L1948="331",M1948="331")),"331",IF(AND(OR(L1948="131",M1948="131"),H1948='131-CT'!$E$7),"131",""))</f>
        <v/>
      </c>
      <c r="O1948" s="902" t="str">
        <f>IF(AND('341-CT'!$E$9=H1948,OR(LEFT(L1948,3)=$O$7,LEFT(M1948,3)=$O$7)),"x","")</f>
        <v/>
      </c>
      <c r="P1948" s="39" t="str">
        <f>IF(AND($B1948&gt;='111'!$N$11,$B1948&lt;='111'!$O$11,OR($L1948=$P$7,$M1948=$P$7)),"x","")</f>
        <v/>
      </c>
      <c r="Q1948" s="39" t="str">
        <f>IF(AND($L1948=$P$7,$B1948&lt;'111'!$N$11),"x","")</f>
        <v/>
      </c>
      <c r="R1948" s="39" t="str">
        <f>IF(AND($M1948=$P$7,$B1948&lt;'111'!$N$11),"x","")</f>
        <v/>
      </c>
      <c r="S1948" s="39" t="str">
        <f>IF(ISERROR(FIND('112'!$M$9,G1948,1)),"",IF((AND(FIND('112'!$M$9,G1948,1)&gt;=1,$B1948&gt;='112'!$N$8,$B1948&lt;='112'!$O$8,OR($L1948='112'!$I$6,$M1948='112'!$I$6))),"x",""))</f>
        <v/>
      </c>
      <c r="T1948" s="39" t="str">
        <f>IF(ISERROR(FIND('112'!$M$9,G1948,1)),"",IF((AND(LEFT(G1948,2)=LEFT('112'!$M$9,2),B1948&lt;'112'!$N$8,$L1948='112'!$I$6)),"x",""))</f>
        <v/>
      </c>
      <c r="U1948" s="39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39" t="str">
        <f>IF(OR(TH!L1948=TH!$W$7,M1948=TH!$W$7),"x","")</f>
        <v/>
      </c>
      <c r="X1948" s="39" t="str">
        <f>IF(AND(B1948&gt;='IN-NX'!$P$3,B1948&lt;='IN-NX'!$Q$3,'IN-NX'!$D$7=D1948,OR(LEFT(L1948,2)="15",AND(LEFT(M1948,2)&lt;&gt;"15",LEFT(M1948,2)&lt;&gt;"33"))),"x","")</f>
        <v/>
      </c>
      <c r="Y1948" s="39" t="str">
        <f>IF(AND(OR(LEFT(TH!L1948,2)="15",LEFT(TH!M1948,2)="15"),'152-CT'!$J$8=TH!F1948),"x","")</f>
        <v/>
      </c>
      <c r="Z1948" s="39" t="str">
        <f>IF(AND(OR(LEFT(TH!L1948,2)="15",LEFT(TH!M1948,2)="15"),TK!$E$7=TH!F1948),"x","")</f>
        <v/>
      </c>
      <c r="AA1948" s="39" t="str">
        <f>IF(AND(B1948&lt;=NKC!$N$8,B1948&gt;=NKC!$M$8),"x","")</f>
        <v/>
      </c>
      <c r="AB1948" s="821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102"/>
        <v/>
      </c>
      <c r="C1949" s="191"/>
      <c r="D1949" s="191"/>
      <c r="E1949" s="191"/>
      <c r="F1949" s="192"/>
      <c r="G1949" s="465"/>
      <c r="H1949" s="45"/>
      <c r="I1949" s="257"/>
      <c r="J1949" s="256"/>
      <c r="K1949" s="38"/>
      <c r="L1949" s="194"/>
      <c r="M1949" s="569"/>
      <c r="N1949" s="39" t="str">
        <f>IF(AND('331-CT'!$E$7=TH!H1949,OR(L1949="331",M1949="331")),"331",IF(AND(OR(L1949="131",M1949="131"),H1949='131-CT'!$E$7),"131",""))</f>
        <v/>
      </c>
      <c r="O1949" s="902" t="str">
        <f>IF(AND('341-CT'!$E$9=H1949,OR(LEFT(L1949,3)=$O$7,LEFT(M1949,3)=$O$7)),"x","")</f>
        <v/>
      </c>
      <c r="P1949" s="39" t="str">
        <f>IF(AND($B1949&gt;='111'!$N$11,$B1949&lt;='111'!$O$11,OR($L1949=$P$7,$M1949=$P$7)),"x","")</f>
        <v/>
      </c>
      <c r="Q1949" s="39" t="str">
        <f>IF(AND($L1949=$P$7,$B1949&lt;'111'!$N$11),"x","")</f>
        <v/>
      </c>
      <c r="R1949" s="39" t="str">
        <f>IF(AND($M1949=$P$7,$B1949&lt;'111'!$N$11),"x","")</f>
        <v/>
      </c>
      <c r="S1949" s="39" t="str">
        <f>IF(ISERROR(FIND('112'!$M$9,G1949,1)),"",IF((AND(FIND('112'!$M$9,G1949,1)&gt;=1,$B1949&gt;='112'!$N$8,$B1949&lt;='112'!$O$8,OR($L1949='112'!$I$6,$M1949='112'!$I$6))),"x",""))</f>
        <v/>
      </c>
      <c r="T1949" s="39" t="str">
        <f>IF(ISERROR(FIND('112'!$M$9,G1949,1)),"",IF((AND(LEFT(G1949,2)=LEFT('112'!$M$9,2),B1949&lt;'112'!$N$8,$L1949='112'!$I$6)),"x",""))</f>
        <v/>
      </c>
      <c r="U1949" s="39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39" t="str">
        <f>IF(OR(TH!L1949=TH!$W$7,M1949=TH!$W$7),"x","")</f>
        <v/>
      </c>
      <c r="X1949" s="39" t="str">
        <f>IF(AND(B1949&gt;='IN-NX'!$P$3,B1949&lt;='IN-NX'!$Q$3,'IN-NX'!$D$7=D1949,OR(LEFT(L1949,2)="15",AND(LEFT(M1949,2)&lt;&gt;"15",LEFT(M1949,2)&lt;&gt;"33"))),"x","")</f>
        <v/>
      </c>
      <c r="Y1949" s="39" t="str">
        <f>IF(AND(OR(LEFT(TH!L1949,2)="15",LEFT(TH!M1949,2)="15"),'152-CT'!$J$8=TH!F1949),"x","")</f>
        <v/>
      </c>
      <c r="Z1949" s="39" t="str">
        <f>IF(AND(OR(LEFT(TH!L1949,2)="15",LEFT(TH!M1949,2)="15"),TK!$E$7=TH!F1949),"x","")</f>
        <v/>
      </c>
      <c r="AA1949" s="39" t="str">
        <f>IF(AND(B1949&lt;=NKC!$N$8,B1949&gt;=NKC!$M$8),"x","")</f>
        <v/>
      </c>
      <c r="AB1949" s="821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102"/>
        <v/>
      </c>
      <c r="C1950" s="191"/>
      <c r="D1950" s="191"/>
      <c r="E1950" s="731"/>
      <c r="F1950" s="189"/>
      <c r="G1950" s="40"/>
      <c r="H1950" s="7"/>
      <c r="I1950" s="256"/>
      <c r="J1950" s="256"/>
      <c r="K1950" s="56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902" t="str">
        <f>IF(AND('341-CT'!$E$9=H1950,OR(LEFT(L1950,3)=$O$7,LEFT(M1950,3)=$O$7)),"x","")</f>
        <v/>
      </c>
      <c r="P1950" s="39" t="str">
        <f>IF(AND($B1950&gt;='111'!$N$11,$B1950&lt;='111'!$O$11,OR($L1950=$P$7,$M1950=$P$7)),"x","")</f>
        <v/>
      </c>
      <c r="Q1950" s="39" t="str">
        <f>IF(AND($L1950=$P$7,$B1950&lt;'111'!$N$11),"x","")</f>
        <v/>
      </c>
      <c r="R1950" s="39" t="str">
        <f>IF(AND($M1950=$P$7,$B1950&lt;'111'!$N$11),"x","")</f>
        <v/>
      </c>
      <c r="S1950" s="39" t="str">
        <f>IF(ISERROR(FIND('112'!$M$9,G1950,1)),"",IF((AND(FIND('112'!$M$9,G1950,1)&gt;=1,$B1950&gt;='112'!$N$8,$B1950&lt;='112'!$O$8,OR($L1950='112'!$I$6,$M1950='112'!$I$6))),"x",""))</f>
        <v/>
      </c>
      <c r="T1950" s="39" t="str">
        <f>IF(ISERROR(FIND('112'!$M$9,G1950,1)),"",IF((AND(LEFT(G1950,2)=LEFT('112'!$M$9,2),B1950&lt;'112'!$N$8,$L1950='112'!$I$6)),"x",""))</f>
        <v/>
      </c>
      <c r="U1950" s="39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39" t="str">
        <f>IF(OR(TH!L1950=TH!$W$7,M1950=TH!$W$7),"x","")</f>
        <v/>
      </c>
      <c r="X1950" s="39" t="str">
        <f>IF(AND(B1950&gt;='IN-NX'!$P$3,B1950&lt;='IN-NX'!$Q$3,'IN-NX'!$D$7=D1950,OR(LEFT(L1950,2)="15",AND(LEFT(M1950,2)&lt;&gt;"15",LEFT(M1950,2)&lt;&gt;"33"))),"x","")</f>
        <v/>
      </c>
      <c r="Y1950" s="39" t="str">
        <f>IF(AND(OR(LEFT(TH!L1950,2)="15",LEFT(TH!M1950,2)="15"),'152-CT'!$J$8=TH!F1950),"x","")</f>
        <v/>
      </c>
      <c r="Z1950" s="39" t="str">
        <f>IF(AND(OR(LEFT(TH!L1950,2)="15",LEFT(TH!M1950,2)="15"),TK!$E$7=TH!F1950),"x","")</f>
        <v/>
      </c>
      <c r="AA1950" s="39" t="str">
        <f>IF(AND(B1950&lt;=NKC!$N$8,B1950&gt;=NKC!$M$8),"x","")</f>
        <v/>
      </c>
      <c r="AB1950" s="821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si="102"/>
        <v/>
      </c>
      <c r="C1951" s="191"/>
      <c r="D1951" s="191"/>
      <c r="E1951" s="731"/>
      <c r="F1951" s="189"/>
      <c r="G1951" s="40"/>
      <c r="H1951" s="7"/>
      <c r="I1951" s="256"/>
      <c r="J1951" s="256"/>
      <c r="K1951" s="56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902" t="str">
        <f>IF(AND('341-CT'!$E$9=H1951,OR(LEFT(L1951,3)=$O$7,LEFT(M1951,3)=$O$7)),"x","")</f>
        <v/>
      </c>
      <c r="P1951" s="39" t="str">
        <f>IF(AND($B1951&gt;='111'!$N$11,$B1951&lt;='111'!$O$11,OR($L1951=$P$7,$M1951=$P$7)),"x","")</f>
        <v/>
      </c>
      <c r="Q1951" s="39" t="str">
        <f>IF(AND($L1951=$P$7,$B1951&lt;'111'!$N$11),"x","")</f>
        <v/>
      </c>
      <c r="R1951" s="39" t="str">
        <f>IF(AND($M1951=$P$7,$B1951&lt;'111'!$N$11),"x","")</f>
        <v/>
      </c>
      <c r="S1951" s="39" t="str">
        <f>IF(ISERROR(FIND('112'!$M$9,G1951,1)),"",IF((AND(FIND('112'!$M$9,G1951,1)&gt;=1,$B1951&gt;='112'!$N$8,$B1951&lt;='112'!$O$8,OR($L1951='112'!$I$6,$M1951='112'!$I$6))),"x",""))</f>
        <v/>
      </c>
      <c r="T1951" s="39" t="str">
        <f>IF(ISERROR(FIND('112'!$M$9,G1951,1)),"",IF((AND(LEFT(G1951,2)=LEFT('112'!$M$9,2),B1951&lt;'112'!$N$8,$L1951='112'!$I$6)),"x",""))</f>
        <v/>
      </c>
      <c r="U1951" s="39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39" t="str">
        <f>IF(OR(TH!L1951=TH!$W$7,M1951=TH!$W$7),"x","")</f>
        <v/>
      </c>
      <c r="X1951" s="39" t="str">
        <f>IF(AND(B1951&gt;='IN-NX'!$P$3,B1951&lt;='IN-NX'!$Q$3,'IN-NX'!$D$7=D1951,OR(LEFT(L1951,2)="15",AND(LEFT(M1951,2)&lt;&gt;"15",LEFT(M1951,2)&lt;&gt;"33"))),"x","")</f>
        <v/>
      </c>
      <c r="Y1951" s="39" t="str">
        <f>IF(AND(OR(LEFT(TH!L1951,2)="15",LEFT(TH!M1951,2)="15"),'152-CT'!$J$8=TH!F1951),"x","")</f>
        <v/>
      </c>
      <c r="Z1951" s="39" t="str">
        <f>IF(AND(OR(LEFT(TH!L1951,2)="15",LEFT(TH!M1951,2)="15"),TK!$E$7=TH!F1951),"x","")</f>
        <v/>
      </c>
      <c r="AA1951" s="39" t="str">
        <f>IF(AND(B1951&lt;=NKC!$N$8,B1951&gt;=NKC!$M$8),"x","")</f>
        <v/>
      </c>
      <c r="AB1951" s="821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102"/>
        <v/>
      </c>
      <c r="C1952" s="191"/>
      <c r="D1952" s="191"/>
      <c r="E1952" s="731"/>
      <c r="F1952" s="40"/>
      <c r="G1952" s="40"/>
      <c r="H1952" s="7"/>
      <c r="I1952" s="256"/>
      <c r="J1952" s="256"/>
      <c r="K1952" s="56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902" t="str">
        <f>IF(AND('341-CT'!$E$9=H1952,OR(LEFT(L1952,3)=$O$7,LEFT(M1952,3)=$O$7)),"x","")</f>
        <v/>
      </c>
      <c r="P1952" s="39" t="str">
        <f>IF(AND($B1952&gt;='111'!$N$11,$B1952&lt;='111'!$O$11,OR($L1952=$P$7,$M1952=$P$7)),"x","")</f>
        <v/>
      </c>
      <c r="Q1952" s="39" t="str">
        <f>IF(AND($L1952=$P$7,$B1952&lt;'111'!$N$11),"x","")</f>
        <v/>
      </c>
      <c r="R1952" s="39" t="str">
        <f>IF(AND($M1952=$P$7,$B1952&lt;'111'!$N$11),"x","")</f>
        <v/>
      </c>
      <c r="S1952" s="39" t="str">
        <f>IF(ISERROR(FIND('112'!$M$9,G1952,1)),"",IF((AND(FIND('112'!$M$9,G1952,1)&gt;=1,$B1952&gt;='112'!$N$8,$B1952&lt;='112'!$O$8,OR($L1952='112'!$I$6,$M1952='112'!$I$6))),"x",""))</f>
        <v/>
      </c>
      <c r="T1952" s="39" t="str">
        <f>IF(ISERROR(FIND('112'!$M$9,G1952,1)),"",IF((AND(LEFT(G1952,2)=LEFT('112'!$M$9,2),B1952&lt;'112'!$N$8,$L1952='112'!$I$6)),"x",""))</f>
        <v/>
      </c>
      <c r="U1952" s="39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39" t="str">
        <f>IF(OR(TH!L1952=TH!$W$7,M1952=TH!$W$7),"x","")</f>
        <v/>
      </c>
      <c r="X1952" s="39" t="str">
        <f>IF(AND(B1952&gt;='IN-NX'!$P$3,B1952&lt;='IN-NX'!$Q$3,'IN-NX'!$D$7=D1952,OR(LEFT(L1952,2)="15",AND(LEFT(M1952,2)&lt;&gt;"15",LEFT(M1952,2)&lt;&gt;"33"))),"x","")</f>
        <v/>
      </c>
      <c r="Y1952" s="39" t="str">
        <f>IF(AND(OR(LEFT(TH!L1952,2)="15",LEFT(TH!M1952,2)="15"),'152-CT'!$J$8=TH!F1952),"x","")</f>
        <v/>
      </c>
      <c r="Z1952" s="39" t="str">
        <f>IF(AND(OR(LEFT(TH!L1952,2)="15",LEFT(TH!M1952,2)="15"),TK!$E$7=TH!F1952),"x","")</f>
        <v/>
      </c>
      <c r="AA1952" s="39" t="str">
        <f>IF(AND(B1952&lt;=NKC!$N$8,B1952&gt;=NKC!$M$8),"x","")</f>
        <v/>
      </c>
      <c r="AB1952" s="821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102"/>
        <v/>
      </c>
      <c r="C1953" s="191"/>
      <c r="D1953" s="191"/>
      <c r="E1953" s="731"/>
      <c r="F1953" s="40"/>
      <c r="G1953" s="40"/>
      <c r="H1953" s="7"/>
      <c r="I1953" s="256"/>
      <c r="J1953" s="256"/>
      <c r="K1953" s="56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902" t="str">
        <f>IF(AND('341-CT'!$E$9=H1953,OR(LEFT(L1953,3)=$O$7,LEFT(M1953,3)=$O$7)),"x","")</f>
        <v/>
      </c>
      <c r="P1953" s="39" t="str">
        <f>IF(AND($B1953&gt;='111'!$N$11,$B1953&lt;='111'!$O$11,OR($L1953=$P$7,$M1953=$P$7)),"x","")</f>
        <v/>
      </c>
      <c r="Q1953" s="39" t="str">
        <f>IF(AND($L1953=$P$7,$B1953&lt;'111'!$N$11),"x","")</f>
        <v/>
      </c>
      <c r="R1953" s="39" t="str">
        <f>IF(AND($M1953=$P$7,$B1953&lt;'111'!$N$11),"x","")</f>
        <v/>
      </c>
      <c r="S1953" s="39" t="str">
        <f>IF(ISERROR(FIND('112'!$M$9,G1953,1)),"",IF((AND(FIND('112'!$M$9,G1953,1)&gt;=1,$B1953&gt;='112'!$N$8,$B1953&lt;='112'!$O$8,OR($L1953='112'!$I$6,$M1953='112'!$I$6))),"x",""))</f>
        <v/>
      </c>
      <c r="T1953" s="39" t="str">
        <f>IF(ISERROR(FIND('112'!$M$9,G1953,1)),"",IF((AND(LEFT(G1953,2)=LEFT('112'!$M$9,2),B1953&lt;'112'!$N$8,$L1953='112'!$I$6)),"x",""))</f>
        <v/>
      </c>
      <c r="U1953" s="39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39" t="str">
        <f>IF(OR(TH!L1953=TH!$W$7,M1953=TH!$W$7),"x","")</f>
        <v/>
      </c>
      <c r="X1953" s="39" t="str">
        <f>IF(AND(B1953&gt;='IN-NX'!$P$3,B1953&lt;='IN-NX'!$Q$3,'IN-NX'!$D$7=D1953,OR(LEFT(L1953,2)="15",AND(LEFT(M1953,2)&lt;&gt;"15",LEFT(M1953,2)&lt;&gt;"33"))),"x","")</f>
        <v/>
      </c>
      <c r="Y1953" s="39" t="str">
        <f>IF(AND(OR(LEFT(TH!L1953,2)="15",LEFT(TH!M1953,2)="15"),'152-CT'!$J$8=TH!F1953),"x","")</f>
        <v/>
      </c>
      <c r="Z1953" s="39" t="str">
        <f>IF(AND(OR(LEFT(TH!L1953,2)="15",LEFT(TH!M1953,2)="15"),TK!$E$7=TH!F1953),"x","")</f>
        <v/>
      </c>
      <c r="AA1953" s="39" t="str">
        <f>IF(AND(B1953&lt;=NKC!$N$8,B1953&gt;=NKC!$M$8),"x","")</f>
        <v/>
      </c>
      <c r="AB1953" s="821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102"/>
        <v/>
      </c>
      <c r="C1954" s="191"/>
      <c r="D1954" s="191"/>
      <c r="E1954" s="731"/>
      <c r="F1954" s="443"/>
      <c r="G1954" s="40"/>
      <c r="H1954" s="7"/>
      <c r="I1954" s="256"/>
      <c r="J1954" s="256"/>
      <c r="K1954" s="568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902" t="str">
        <f>IF(AND('341-CT'!$E$9=H1954,OR(LEFT(L1954,3)=$O$7,LEFT(M1954,3)=$O$7)),"x","")</f>
        <v/>
      </c>
      <c r="P1954" s="39" t="str">
        <f>IF(AND($B1954&gt;='111'!$N$11,$B1954&lt;='111'!$O$11,OR($L1954=$P$7,$M1954=$P$7)),"x","")</f>
        <v/>
      </c>
      <c r="Q1954" s="39" t="str">
        <f>IF(AND($L1954=$P$7,$B1954&lt;'111'!$N$11),"x","")</f>
        <v/>
      </c>
      <c r="R1954" s="39" t="str">
        <f>IF(AND($M1954=$P$7,$B1954&lt;'111'!$N$11),"x","")</f>
        <v/>
      </c>
      <c r="S1954" s="39" t="str">
        <f>IF(ISERROR(FIND('112'!$M$9,G1954,1)),"",IF((AND(FIND('112'!$M$9,G1954,1)&gt;=1,$B1954&gt;='112'!$N$8,$B1954&lt;='112'!$O$8,OR($L1954='112'!$I$6,$M1954='112'!$I$6))),"x",""))</f>
        <v/>
      </c>
      <c r="T1954" s="39" t="str">
        <f>IF(ISERROR(FIND('112'!$M$9,G1954,1)),"",IF((AND(LEFT(G1954,2)=LEFT('112'!$M$9,2),B1954&lt;'112'!$N$8,$L1954='112'!$I$6)),"x",""))</f>
        <v/>
      </c>
      <c r="U1954" s="39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39" t="str">
        <f>IF(OR(TH!L1954=TH!$W$7,M1954=TH!$W$7),"x","")</f>
        <v/>
      </c>
      <c r="X1954" s="39" t="str">
        <f>IF(AND(B1954&gt;='IN-NX'!$P$3,B1954&lt;='IN-NX'!$Q$3,'IN-NX'!$D$7=D1954,OR(LEFT(L1954,2)="15",AND(LEFT(M1954,2)&lt;&gt;"15",LEFT(M1954,2)&lt;&gt;"33"))),"x","")</f>
        <v/>
      </c>
      <c r="Y1954" s="39" t="str">
        <f>IF(AND(OR(LEFT(TH!L1954,2)="15",LEFT(TH!M1954,2)="15"),'152-CT'!$J$8=TH!F1954),"x","")</f>
        <v/>
      </c>
      <c r="Z1954" s="39" t="str">
        <f>IF(AND(OR(LEFT(TH!L1954,2)="15",LEFT(TH!M1954,2)="15"),TK!$E$7=TH!F1954),"x","")</f>
        <v/>
      </c>
      <c r="AA1954" s="39" t="str">
        <f>IF(AND(B1954&lt;=NKC!$N$8,B1954&gt;=NKC!$M$8),"x","")</f>
        <v/>
      </c>
      <c r="AB1954" s="821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102"/>
        <v/>
      </c>
      <c r="C1955" s="191"/>
      <c r="D1955" s="191"/>
      <c r="E1955" s="731"/>
      <c r="F1955" s="189"/>
      <c r="G1955" s="40"/>
      <c r="H1955" s="7"/>
      <c r="I1955" s="256"/>
      <c r="J1955" s="256"/>
      <c r="K1955" s="568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902" t="str">
        <f>IF(AND('341-CT'!$E$9=H1955,OR(LEFT(L1955,3)=$O$7,LEFT(M1955,3)=$O$7)),"x","")</f>
        <v/>
      </c>
      <c r="P1955" s="39" t="str">
        <f>IF(AND($B1955&gt;='111'!$N$11,$B1955&lt;='111'!$O$11,OR($L1955=$P$7,$M1955=$P$7)),"x","")</f>
        <v/>
      </c>
      <c r="Q1955" s="39" t="str">
        <f>IF(AND($L1955=$P$7,$B1955&lt;'111'!$N$11),"x","")</f>
        <v/>
      </c>
      <c r="R1955" s="39" t="str">
        <f>IF(AND($M1955=$P$7,$B1955&lt;'111'!$N$11),"x","")</f>
        <v/>
      </c>
      <c r="S1955" s="39" t="str">
        <f>IF(ISERROR(FIND('112'!$M$9,G1955,1)),"",IF((AND(FIND('112'!$M$9,G1955,1)&gt;=1,$B1955&gt;='112'!$N$8,$B1955&lt;='112'!$O$8,OR($L1955='112'!$I$6,$M1955='112'!$I$6))),"x",""))</f>
        <v/>
      </c>
      <c r="T1955" s="39" t="str">
        <f>IF(ISERROR(FIND('112'!$M$9,G1955,1)),"",IF((AND(LEFT(G1955,2)=LEFT('112'!$M$9,2),B1955&lt;'112'!$N$8,$L1955='112'!$I$6)),"x",""))</f>
        <v/>
      </c>
      <c r="U1955" s="39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39" t="str">
        <f>IF(OR(TH!L1955=TH!$W$7,M1955=TH!$W$7),"x","")</f>
        <v/>
      </c>
      <c r="X1955" s="39" t="str">
        <f>IF(AND(B1955&gt;='IN-NX'!$P$3,B1955&lt;='IN-NX'!$Q$3,'IN-NX'!$D$7=D1955,OR(LEFT(L1955,2)="15",AND(LEFT(M1955,2)&lt;&gt;"15",LEFT(M1955,2)&lt;&gt;"33"))),"x","")</f>
        <v/>
      </c>
      <c r="Y1955" s="39" t="str">
        <f>IF(AND(OR(LEFT(TH!L1955,2)="15",LEFT(TH!M1955,2)="15"),'152-CT'!$J$8=TH!F1955),"x","")</f>
        <v/>
      </c>
      <c r="Z1955" s="39" t="str">
        <f>IF(AND(OR(LEFT(TH!L1955,2)="15",LEFT(TH!M1955,2)="15"),TK!$E$7=TH!F1955),"x","")</f>
        <v/>
      </c>
      <c r="AA1955" s="39" t="str">
        <f>IF(AND(B1955&lt;=NKC!$N$8,B1955&gt;=NKC!$M$8),"x","")</f>
        <v/>
      </c>
      <c r="AB1955" s="821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102"/>
        <v/>
      </c>
      <c r="C1956" s="191"/>
      <c r="D1956" s="191"/>
      <c r="E1956" s="731"/>
      <c r="F1956" s="40"/>
      <c r="G1956" s="40"/>
      <c r="H1956" s="7"/>
      <c r="I1956" s="256"/>
      <c r="J1956" s="256"/>
      <c r="K1956" s="568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902" t="str">
        <f>IF(AND('341-CT'!$E$9=H1956,OR(LEFT(L1956,3)=$O$7,LEFT(M1956,3)=$O$7)),"x","")</f>
        <v/>
      </c>
      <c r="P1956" s="39" t="str">
        <f>IF(AND($B1956&gt;='111'!$N$11,$B1956&lt;='111'!$O$11,OR($L1956=$P$7,$M1956=$P$7)),"x","")</f>
        <v/>
      </c>
      <c r="Q1956" s="39" t="str">
        <f>IF(AND($L1956=$P$7,$B1956&lt;'111'!$N$11),"x","")</f>
        <v/>
      </c>
      <c r="R1956" s="39" t="str">
        <f>IF(AND($M1956=$P$7,$B1956&lt;'111'!$N$11),"x","")</f>
        <v/>
      </c>
      <c r="S1956" s="39" t="str">
        <f>IF(ISERROR(FIND('112'!$M$9,G1956,1)),"",IF((AND(FIND('112'!$M$9,G1956,1)&gt;=1,$B1956&gt;='112'!$N$8,$B1956&lt;='112'!$O$8,OR($L1956='112'!$I$6,$M1956='112'!$I$6))),"x",""))</f>
        <v/>
      </c>
      <c r="T1956" s="39" t="str">
        <f>IF(ISERROR(FIND('112'!$M$9,G1956,1)),"",IF((AND(LEFT(G1956,2)=LEFT('112'!$M$9,2),B1956&lt;'112'!$N$8,$L1956='112'!$I$6)),"x",""))</f>
        <v/>
      </c>
      <c r="U1956" s="39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39" t="str">
        <f>IF(OR(TH!L1956=TH!$W$7,M1956=TH!$W$7),"x","")</f>
        <v/>
      </c>
      <c r="X1956" s="39" t="str">
        <f>IF(AND(B1956&gt;='IN-NX'!$P$3,B1956&lt;='IN-NX'!$Q$3,'IN-NX'!$D$7=D1956,OR(LEFT(L1956,2)="15",AND(LEFT(M1956,2)&lt;&gt;"15",LEFT(M1956,2)&lt;&gt;"33"))),"x","")</f>
        <v/>
      </c>
      <c r="Y1956" s="39" t="str">
        <f>IF(AND(OR(LEFT(TH!L1956,2)="15",LEFT(TH!M1956,2)="15"),'152-CT'!$J$8=TH!F1956),"x","")</f>
        <v/>
      </c>
      <c r="Z1956" s="39" t="str">
        <f>IF(AND(OR(LEFT(TH!L1956,2)="15",LEFT(TH!M1956,2)="15"),TK!$E$7=TH!F1956),"x","")</f>
        <v/>
      </c>
      <c r="AA1956" s="39" t="str">
        <f>IF(AND(B1956&lt;=NKC!$N$8,B1956&gt;=NKC!$M$8),"x","")</f>
        <v/>
      </c>
      <c r="AB1956" s="821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102"/>
        <v/>
      </c>
      <c r="C1957" s="191"/>
      <c r="D1957" s="191"/>
      <c r="E1957" s="731"/>
      <c r="F1957" s="189"/>
      <c r="G1957" s="40"/>
      <c r="H1957" s="7"/>
      <c r="I1957" s="256"/>
      <c r="J1957" s="256"/>
      <c r="K1957" s="56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902" t="str">
        <f>IF(AND('341-CT'!$E$9=H1957,OR(LEFT(L1957,3)=$O$7,LEFT(M1957,3)=$O$7)),"x","")</f>
        <v/>
      </c>
      <c r="P1957" s="39" t="str">
        <f>IF(AND($B1957&gt;='111'!$N$11,$B1957&lt;='111'!$O$11,OR($L1957=$P$7,$M1957=$P$7)),"x","")</f>
        <v/>
      </c>
      <c r="Q1957" s="39" t="str">
        <f>IF(AND($L1957=$P$7,$B1957&lt;'111'!$N$11),"x","")</f>
        <v/>
      </c>
      <c r="R1957" s="39" t="str">
        <f>IF(AND($M1957=$P$7,$B1957&lt;'111'!$N$11),"x","")</f>
        <v/>
      </c>
      <c r="S1957" s="39" t="str">
        <f>IF(ISERROR(FIND('112'!$M$9,G1957,1)),"",IF((AND(FIND('112'!$M$9,G1957,1)&gt;=1,$B1957&gt;='112'!$N$8,$B1957&lt;='112'!$O$8,OR($L1957='112'!$I$6,$M1957='112'!$I$6))),"x",""))</f>
        <v/>
      </c>
      <c r="T1957" s="39" t="str">
        <f>IF(ISERROR(FIND('112'!$M$9,G1957,1)),"",IF((AND(LEFT(G1957,2)=LEFT('112'!$M$9,2),B1957&lt;'112'!$N$8,$L1957='112'!$I$6)),"x",""))</f>
        <v/>
      </c>
      <c r="U1957" s="39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39" t="str">
        <f>IF(OR(TH!L1957=TH!$W$7,M1957=TH!$W$7),"x","")</f>
        <v/>
      </c>
      <c r="X1957" s="39" t="str">
        <f>IF(AND(B1957&gt;='IN-NX'!$P$3,B1957&lt;='IN-NX'!$Q$3,'IN-NX'!$D$7=D1957,OR(LEFT(L1957,2)="15",AND(LEFT(M1957,2)&lt;&gt;"15",LEFT(M1957,2)&lt;&gt;"33"))),"x","")</f>
        <v/>
      </c>
      <c r="Y1957" s="39" t="str">
        <f>IF(AND(OR(LEFT(TH!L1957,2)="15",LEFT(TH!M1957,2)="15"),'152-CT'!$J$8=TH!F1957),"x","")</f>
        <v/>
      </c>
      <c r="Z1957" s="39" t="str">
        <f>IF(AND(OR(LEFT(TH!L1957,2)="15",LEFT(TH!M1957,2)="15"),TK!$E$7=TH!F1957),"x","")</f>
        <v/>
      </c>
      <c r="AA1957" s="39" t="str">
        <f>IF(AND(B1957&lt;=NKC!$N$8,B1957&gt;=NKC!$M$8),"x","")</f>
        <v/>
      </c>
      <c r="AB1957" s="821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102"/>
        <v/>
      </c>
      <c r="C1958" s="191"/>
      <c r="D1958" s="191"/>
      <c r="E1958" s="731"/>
      <c r="F1958" s="40"/>
      <c r="G1958" s="40"/>
      <c r="H1958" s="7"/>
      <c r="I1958" s="256"/>
      <c r="J1958" s="256"/>
      <c r="K1958" s="56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902" t="str">
        <f>IF(AND('341-CT'!$E$9=H1958,OR(LEFT(L1958,3)=$O$7,LEFT(M1958,3)=$O$7)),"x","")</f>
        <v/>
      </c>
      <c r="P1958" s="39" t="str">
        <f>IF(AND($B1958&gt;='111'!$N$11,$B1958&lt;='111'!$O$11,OR($L1958=$P$7,$M1958=$P$7)),"x","")</f>
        <v/>
      </c>
      <c r="Q1958" s="39" t="str">
        <f>IF(AND($L1958=$P$7,$B1958&lt;'111'!$N$11),"x","")</f>
        <v/>
      </c>
      <c r="R1958" s="39" t="str">
        <f>IF(AND($M1958=$P$7,$B1958&lt;'111'!$N$11),"x","")</f>
        <v/>
      </c>
      <c r="S1958" s="39" t="str">
        <f>IF(ISERROR(FIND('112'!$M$9,G1958,1)),"",IF((AND(FIND('112'!$M$9,G1958,1)&gt;=1,$B1958&gt;='112'!$N$8,$B1958&lt;='112'!$O$8,OR($L1958='112'!$I$6,$M1958='112'!$I$6))),"x",""))</f>
        <v/>
      </c>
      <c r="T1958" s="39" t="str">
        <f>IF(ISERROR(FIND('112'!$M$9,G1958,1)),"",IF((AND(LEFT(G1958,2)=LEFT('112'!$M$9,2),B1958&lt;'112'!$N$8,$L1958='112'!$I$6)),"x",""))</f>
        <v/>
      </c>
      <c r="U1958" s="39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39" t="str">
        <f>IF(OR(TH!L1958=TH!$W$7,M1958=TH!$W$7),"x","")</f>
        <v/>
      </c>
      <c r="X1958" s="39" t="str">
        <f>IF(AND(B1958&gt;='IN-NX'!$P$3,B1958&lt;='IN-NX'!$Q$3,'IN-NX'!$D$7=D1958,OR(LEFT(L1958,2)="15",AND(LEFT(M1958,2)&lt;&gt;"15",LEFT(M1958,2)&lt;&gt;"33"))),"x","")</f>
        <v/>
      </c>
      <c r="Y1958" s="39" t="str">
        <f>IF(AND(OR(LEFT(TH!L1958,2)="15",LEFT(TH!M1958,2)="15"),'152-CT'!$J$8=TH!F1958),"x","")</f>
        <v/>
      </c>
      <c r="Z1958" s="39" t="str">
        <f>IF(AND(OR(LEFT(TH!L1958,2)="15",LEFT(TH!M1958,2)="15"),TK!$E$7=TH!F1958),"x","")</f>
        <v/>
      </c>
      <c r="AA1958" s="39" t="str">
        <f>IF(AND(B1958&lt;=NKC!$N$8,B1958&gt;=NKC!$M$8),"x","")</f>
        <v/>
      </c>
      <c r="AB1958" s="821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102"/>
        <v/>
      </c>
      <c r="C1959" s="191"/>
      <c r="D1959" s="191"/>
      <c r="E1959" s="731"/>
      <c r="F1959" s="40"/>
      <c r="G1959" s="40"/>
      <c r="H1959" s="7"/>
      <c r="I1959" s="256"/>
      <c r="J1959" s="256"/>
      <c r="K1959" s="56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902" t="str">
        <f>IF(AND('341-CT'!$E$9=H1959,OR(LEFT(L1959,3)=$O$7,LEFT(M1959,3)=$O$7)),"x","")</f>
        <v/>
      </c>
      <c r="P1959" s="39" t="str">
        <f>IF(AND($B1959&gt;='111'!$N$11,$B1959&lt;='111'!$O$11,OR($L1959=$P$7,$M1959=$P$7)),"x","")</f>
        <v/>
      </c>
      <c r="Q1959" s="39" t="str">
        <f>IF(AND($L1959=$P$7,$B1959&lt;'111'!$N$11),"x","")</f>
        <v/>
      </c>
      <c r="R1959" s="39" t="str">
        <f>IF(AND($M1959=$P$7,$B1959&lt;'111'!$N$11),"x","")</f>
        <v/>
      </c>
      <c r="S1959" s="39" t="str">
        <f>IF(ISERROR(FIND('112'!$M$9,G1959,1)),"",IF((AND(FIND('112'!$M$9,G1959,1)&gt;=1,$B1959&gt;='112'!$N$8,$B1959&lt;='112'!$O$8,OR($L1959='112'!$I$6,$M1959='112'!$I$6))),"x",""))</f>
        <v/>
      </c>
      <c r="T1959" s="39" t="str">
        <f>IF(ISERROR(FIND('112'!$M$9,G1959,1)),"",IF((AND(LEFT(G1959,2)=LEFT('112'!$M$9,2),B1959&lt;'112'!$N$8,$L1959='112'!$I$6)),"x",""))</f>
        <v/>
      </c>
      <c r="U1959" s="39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39" t="str">
        <f>IF(OR(TH!L1959=TH!$W$7,M1959=TH!$W$7),"x","")</f>
        <v/>
      </c>
      <c r="X1959" s="39" t="str">
        <f>IF(AND(B1959&gt;='IN-NX'!$P$3,B1959&lt;='IN-NX'!$Q$3,'IN-NX'!$D$7=D1959,OR(LEFT(L1959,2)="15",AND(LEFT(M1959,2)&lt;&gt;"15",LEFT(M1959,2)&lt;&gt;"33"))),"x","")</f>
        <v/>
      </c>
      <c r="Y1959" s="39" t="str">
        <f>IF(AND(OR(LEFT(TH!L1959,2)="15",LEFT(TH!M1959,2)="15"),'152-CT'!$J$8=TH!F1959),"x","")</f>
        <v/>
      </c>
      <c r="Z1959" s="39" t="str">
        <f>IF(AND(OR(LEFT(TH!L1959,2)="15",LEFT(TH!M1959,2)="15"),TK!$E$7=TH!F1959),"x","")</f>
        <v/>
      </c>
      <c r="AA1959" s="39" t="str">
        <f>IF(AND(B1959&lt;=NKC!$N$8,B1959&gt;=NKC!$M$8),"x","")</f>
        <v/>
      </c>
      <c r="AB1959" s="821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102"/>
        <v/>
      </c>
      <c r="C1960" s="191"/>
      <c r="D1960" s="191"/>
      <c r="E1960" s="731"/>
      <c r="F1960" s="189"/>
      <c r="G1960" s="40"/>
      <c r="H1960" s="7"/>
      <c r="I1960" s="256"/>
      <c r="J1960" s="256"/>
      <c r="K1960" s="56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902" t="str">
        <f>IF(AND('341-CT'!$E$9=H1960,OR(LEFT(L1960,3)=$O$7,LEFT(M1960,3)=$O$7)),"x","")</f>
        <v/>
      </c>
      <c r="P1960" s="39" t="str">
        <f>IF(AND($B1960&gt;='111'!$N$11,$B1960&lt;='111'!$O$11,OR($L1960=$P$7,$M1960=$P$7)),"x","")</f>
        <v/>
      </c>
      <c r="Q1960" s="39" t="str">
        <f>IF(AND($L1960=$P$7,$B1960&lt;'111'!$N$11),"x","")</f>
        <v/>
      </c>
      <c r="R1960" s="39" t="str">
        <f>IF(AND($M1960=$P$7,$B1960&lt;'111'!$N$11),"x","")</f>
        <v/>
      </c>
      <c r="S1960" s="39" t="str">
        <f>IF(ISERROR(FIND('112'!$M$9,G1960,1)),"",IF((AND(FIND('112'!$M$9,G1960,1)&gt;=1,$B1960&gt;='112'!$N$8,$B1960&lt;='112'!$O$8,OR($L1960='112'!$I$6,$M1960='112'!$I$6))),"x",""))</f>
        <v/>
      </c>
      <c r="T1960" s="39" t="str">
        <f>IF(ISERROR(FIND('112'!$M$9,G1960,1)),"",IF((AND(LEFT(G1960,2)=LEFT('112'!$M$9,2),B1960&lt;'112'!$N$8,$L1960='112'!$I$6)),"x",""))</f>
        <v/>
      </c>
      <c r="U1960" s="39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39" t="str">
        <f>IF(OR(TH!L1960=TH!$W$7,M1960=TH!$W$7),"x","")</f>
        <v/>
      </c>
      <c r="X1960" s="39" t="str">
        <f>IF(AND(B1960&gt;='IN-NX'!$P$3,B1960&lt;='IN-NX'!$Q$3,'IN-NX'!$D$7=D1960,OR(LEFT(L1960,2)="15",AND(LEFT(M1960,2)&lt;&gt;"15",LEFT(M1960,2)&lt;&gt;"33"))),"x","")</f>
        <v/>
      </c>
      <c r="Y1960" s="39" t="str">
        <f>IF(AND(OR(LEFT(TH!L1960,2)="15",LEFT(TH!M1960,2)="15"),'152-CT'!$J$8=TH!F1960),"x","")</f>
        <v/>
      </c>
      <c r="Z1960" s="39" t="str">
        <f>IF(AND(OR(LEFT(TH!L1960,2)="15",LEFT(TH!M1960,2)="15"),TK!$E$7=TH!F1960),"x","")</f>
        <v/>
      </c>
      <c r="AA1960" s="39" t="str">
        <f>IF(AND(B1960&lt;=NKC!$N$8,B1960&gt;=NKC!$M$8),"x","")</f>
        <v/>
      </c>
      <c r="AB1960" s="821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102"/>
        <v/>
      </c>
      <c r="C1961" s="191"/>
      <c r="D1961" s="191"/>
      <c r="E1961" s="731"/>
      <c r="F1961" s="40"/>
      <c r="G1961" s="40"/>
      <c r="H1961" s="7"/>
      <c r="I1961" s="256"/>
      <c r="J1961" s="256"/>
      <c r="K1961" s="568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902" t="str">
        <f>IF(AND('341-CT'!$E$9=H1961,OR(LEFT(L1961,3)=$O$7,LEFT(M1961,3)=$O$7)),"x","")</f>
        <v/>
      </c>
      <c r="P1961" s="39" t="str">
        <f>IF(AND($B1961&gt;='111'!$N$11,$B1961&lt;='111'!$O$11,OR($L1961=$P$7,$M1961=$P$7)),"x","")</f>
        <v/>
      </c>
      <c r="Q1961" s="39" t="str">
        <f>IF(AND($L1961=$P$7,$B1961&lt;'111'!$N$11),"x","")</f>
        <v/>
      </c>
      <c r="R1961" s="39" t="str">
        <f>IF(AND($M1961=$P$7,$B1961&lt;'111'!$N$11),"x","")</f>
        <v/>
      </c>
      <c r="S1961" s="39" t="str">
        <f>IF(ISERROR(FIND('112'!$M$9,G1961,1)),"",IF((AND(FIND('112'!$M$9,G1961,1)&gt;=1,$B1961&gt;='112'!$N$8,$B1961&lt;='112'!$O$8,OR($L1961='112'!$I$6,$M1961='112'!$I$6))),"x",""))</f>
        <v/>
      </c>
      <c r="T1961" s="39" t="str">
        <f>IF(ISERROR(FIND('112'!$M$9,G1961,1)),"",IF((AND(LEFT(G1961,2)=LEFT('112'!$M$9,2),B1961&lt;'112'!$N$8,$L1961='112'!$I$6)),"x",""))</f>
        <v/>
      </c>
      <c r="U1961" s="39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39" t="str">
        <f>IF(OR(TH!L1961=TH!$W$7,M1961=TH!$W$7),"x","")</f>
        <v/>
      </c>
      <c r="X1961" s="39" t="str">
        <f>IF(AND(B1961&gt;='IN-NX'!$P$3,B1961&lt;='IN-NX'!$Q$3,'IN-NX'!$D$7=D1961,OR(LEFT(L1961,2)="15",AND(LEFT(M1961,2)&lt;&gt;"15",LEFT(M1961,2)&lt;&gt;"33"))),"x","")</f>
        <v/>
      </c>
      <c r="Y1961" s="39" t="str">
        <f>IF(AND(OR(LEFT(TH!L1961,2)="15",LEFT(TH!M1961,2)="15"),'152-CT'!$J$8=TH!F1961),"x","")</f>
        <v/>
      </c>
      <c r="Z1961" s="39" t="str">
        <f>IF(AND(OR(LEFT(TH!L1961,2)="15",LEFT(TH!M1961,2)="15"),TK!$E$7=TH!F1961),"x","")</f>
        <v/>
      </c>
      <c r="AA1961" s="39" t="str">
        <f>IF(AND(B1961&lt;=NKC!$N$8,B1961&gt;=NKC!$M$8),"x","")</f>
        <v/>
      </c>
      <c r="AB1961" s="821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102"/>
        <v/>
      </c>
      <c r="C1962" s="191"/>
      <c r="D1962" s="191"/>
      <c r="E1962" s="731"/>
      <c r="F1962" s="189"/>
      <c r="G1962" s="40"/>
      <c r="H1962" s="7"/>
      <c r="I1962" s="256"/>
      <c r="J1962" s="256"/>
      <c r="K1962" s="568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902" t="str">
        <f>IF(AND('341-CT'!$E$9=H1962,OR(LEFT(L1962,3)=$O$7,LEFT(M1962,3)=$O$7)),"x","")</f>
        <v/>
      </c>
      <c r="P1962" s="39" t="str">
        <f>IF(AND($B1962&gt;='111'!$N$11,$B1962&lt;='111'!$O$11,OR($L1962=$P$7,$M1962=$P$7)),"x","")</f>
        <v/>
      </c>
      <c r="Q1962" s="39" t="str">
        <f>IF(AND($L1962=$P$7,$B1962&lt;'111'!$N$11),"x","")</f>
        <v/>
      </c>
      <c r="R1962" s="39" t="str">
        <f>IF(AND($M1962=$P$7,$B1962&lt;'111'!$N$11),"x","")</f>
        <v/>
      </c>
      <c r="S1962" s="39" t="str">
        <f>IF(ISERROR(FIND('112'!$M$9,G1962,1)),"",IF((AND(FIND('112'!$M$9,G1962,1)&gt;=1,$B1962&gt;='112'!$N$8,$B1962&lt;='112'!$O$8,OR($L1962='112'!$I$6,$M1962='112'!$I$6))),"x",""))</f>
        <v/>
      </c>
      <c r="T1962" s="39" t="str">
        <f>IF(ISERROR(FIND('112'!$M$9,G1962,1)),"",IF((AND(LEFT(G1962,2)=LEFT('112'!$M$9,2),B1962&lt;'112'!$N$8,$L1962='112'!$I$6)),"x",""))</f>
        <v/>
      </c>
      <c r="U1962" s="39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39" t="str">
        <f>IF(OR(TH!L1962=TH!$W$7,M1962=TH!$W$7),"x","")</f>
        <v/>
      </c>
      <c r="X1962" s="39" t="str">
        <f>IF(AND(B1962&gt;='IN-NX'!$P$3,B1962&lt;='IN-NX'!$Q$3,'IN-NX'!$D$7=D1962,OR(LEFT(L1962,2)="15",AND(LEFT(M1962,2)&lt;&gt;"15",LEFT(M1962,2)&lt;&gt;"33"))),"x","")</f>
        <v/>
      </c>
      <c r="Y1962" s="39" t="str">
        <f>IF(AND(OR(LEFT(TH!L1962,2)="15",LEFT(TH!M1962,2)="15"),'152-CT'!$J$8=TH!F1962),"x","")</f>
        <v/>
      </c>
      <c r="Z1962" s="39" t="str">
        <f>IF(AND(OR(LEFT(TH!L1962,2)="15",LEFT(TH!M1962,2)="15"),TK!$E$7=TH!F1962),"x","")</f>
        <v/>
      </c>
      <c r="AA1962" s="39" t="str">
        <f>IF(AND(B1962&lt;=NKC!$N$8,B1962&gt;=NKC!$M$8),"x","")</f>
        <v/>
      </c>
      <c r="AB1962" s="821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102"/>
        <v/>
      </c>
      <c r="C1963" s="191"/>
      <c r="D1963" s="191"/>
      <c r="E1963" s="731"/>
      <c r="F1963" s="189"/>
      <c r="G1963" s="40"/>
      <c r="H1963" s="7"/>
      <c r="I1963" s="256"/>
      <c r="J1963" s="256"/>
      <c r="K1963" s="568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902" t="str">
        <f>IF(AND('341-CT'!$E$9=H1963,OR(LEFT(L1963,3)=$O$7,LEFT(M1963,3)=$O$7)),"x","")</f>
        <v/>
      </c>
      <c r="P1963" s="39" t="str">
        <f>IF(AND($B1963&gt;='111'!$N$11,$B1963&lt;='111'!$O$11,OR($L1963=$P$7,$M1963=$P$7)),"x","")</f>
        <v/>
      </c>
      <c r="Q1963" s="39" t="str">
        <f>IF(AND($L1963=$P$7,$B1963&lt;'111'!$N$11),"x","")</f>
        <v/>
      </c>
      <c r="R1963" s="39" t="str">
        <f>IF(AND($M1963=$P$7,$B1963&lt;'111'!$N$11),"x","")</f>
        <v/>
      </c>
      <c r="S1963" s="39" t="str">
        <f>IF(ISERROR(FIND('112'!$M$9,G1963,1)),"",IF((AND(FIND('112'!$M$9,G1963,1)&gt;=1,$B1963&gt;='112'!$N$8,$B1963&lt;='112'!$O$8,OR($L1963='112'!$I$6,$M1963='112'!$I$6))),"x",""))</f>
        <v/>
      </c>
      <c r="T1963" s="39" t="str">
        <f>IF(ISERROR(FIND('112'!$M$9,G1963,1)),"",IF((AND(LEFT(G1963,2)=LEFT('112'!$M$9,2),B1963&lt;'112'!$N$8,$L1963='112'!$I$6)),"x",""))</f>
        <v/>
      </c>
      <c r="U1963" s="39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39" t="str">
        <f>IF(OR(TH!L1963=TH!$W$7,M1963=TH!$W$7),"x","")</f>
        <v/>
      </c>
      <c r="X1963" s="39" t="str">
        <f>IF(AND(B1963&gt;='IN-NX'!$P$3,B1963&lt;='IN-NX'!$Q$3,'IN-NX'!$D$7=D1963,OR(LEFT(L1963,2)="15",AND(LEFT(M1963,2)&lt;&gt;"15",LEFT(M1963,2)&lt;&gt;"33"))),"x","")</f>
        <v/>
      </c>
      <c r="Y1963" s="39" t="str">
        <f>IF(AND(OR(LEFT(TH!L1963,2)="15",LEFT(TH!M1963,2)="15"),'152-CT'!$J$8=TH!F1963),"x","")</f>
        <v/>
      </c>
      <c r="Z1963" s="39" t="str">
        <f>IF(AND(OR(LEFT(TH!L1963,2)="15",LEFT(TH!M1963,2)="15"),TK!$E$7=TH!F1963),"x","")</f>
        <v/>
      </c>
      <c r="AA1963" s="39" t="str">
        <f>IF(AND(B1963&lt;=NKC!$N$8,B1963&gt;=NKC!$M$8),"x","")</f>
        <v/>
      </c>
      <c r="AB1963" s="821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102"/>
        <v/>
      </c>
      <c r="C1964" s="191"/>
      <c r="D1964" s="191"/>
      <c r="E1964" s="731"/>
      <c r="F1964" s="189"/>
      <c r="G1964" s="40"/>
      <c r="H1964" s="7"/>
      <c r="I1964" s="256"/>
      <c r="J1964" s="256"/>
      <c r="K1964" s="568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902" t="str">
        <f>IF(AND('341-CT'!$E$9=H1964,OR(LEFT(L1964,3)=$O$7,LEFT(M1964,3)=$O$7)),"x","")</f>
        <v/>
      </c>
      <c r="P1964" s="39" t="str">
        <f>IF(AND($B1964&gt;='111'!$N$11,$B1964&lt;='111'!$O$11,OR($L1964=$P$7,$M1964=$P$7)),"x","")</f>
        <v/>
      </c>
      <c r="Q1964" s="39" t="str">
        <f>IF(AND($L1964=$P$7,$B1964&lt;'111'!$N$11),"x","")</f>
        <v/>
      </c>
      <c r="R1964" s="39" t="str">
        <f>IF(AND($M1964=$P$7,$B1964&lt;'111'!$N$11),"x","")</f>
        <v/>
      </c>
      <c r="S1964" s="39" t="str">
        <f>IF(ISERROR(FIND('112'!$M$9,G1964,1)),"",IF((AND(FIND('112'!$M$9,G1964,1)&gt;=1,$B1964&gt;='112'!$N$8,$B1964&lt;='112'!$O$8,OR($L1964='112'!$I$6,$M1964='112'!$I$6))),"x",""))</f>
        <v/>
      </c>
      <c r="T1964" s="39" t="str">
        <f>IF(ISERROR(FIND('112'!$M$9,G1964,1)),"",IF((AND(LEFT(G1964,2)=LEFT('112'!$M$9,2),B1964&lt;'112'!$N$8,$L1964='112'!$I$6)),"x",""))</f>
        <v/>
      </c>
      <c r="U1964" s="39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39" t="str">
        <f>IF(OR(TH!L1964=TH!$W$7,M1964=TH!$W$7),"x","")</f>
        <v/>
      </c>
      <c r="X1964" s="39" t="str">
        <f>IF(AND(B1964&gt;='IN-NX'!$P$3,B1964&lt;='IN-NX'!$Q$3,'IN-NX'!$D$7=D1964,OR(LEFT(L1964,2)="15",AND(LEFT(M1964,2)&lt;&gt;"15",LEFT(M1964,2)&lt;&gt;"33"))),"x","")</f>
        <v/>
      </c>
      <c r="Y1964" s="39" t="str">
        <f>IF(AND(OR(LEFT(TH!L1964,2)="15",LEFT(TH!M1964,2)="15"),'152-CT'!$J$8=TH!F1964),"x","")</f>
        <v/>
      </c>
      <c r="Z1964" s="39" t="str">
        <f>IF(AND(OR(LEFT(TH!L1964,2)="15",LEFT(TH!M1964,2)="15"),TK!$E$7=TH!F1964),"x","")</f>
        <v/>
      </c>
      <c r="AA1964" s="39" t="str">
        <f>IF(AND(B1964&lt;=NKC!$N$8,B1964&gt;=NKC!$M$8),"x","")</f>
        <v/>
      </c>
      <c r="AB1964" s="821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102"/>
        <v/>
      </c>
      <c r="C1965" s="191"/>
      <c r="D1965" s="191"/>
      <c r="E1965" s="731"/>
      <c r="F1965" s="40"/>
      <c r="G1965" s="40"/>
      <c r="H1965" s="7"/>
      <c r="I1965" s="256"/>
      <c r="J1965" s="256"/>
      <c r="K1965" s="568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902" t="str">
        <f>IF(AND('341-CT'!$E$9=H1965,OR(LEFT(L1965,3)=$O$7,LEFT(M1965,3)=$O$7)),"x","")</f>
        <v/>
      </c>
      <c r="P1965" s="39" t="str">
        <f>IF(AND($B1965&gt;='111'!$N$11,$B1965&lt;='111'!$O$11,OR($L1965=$P$7,$M1965=$P$7)),"x","")</f>
        <v/>
      </c>
      <c r="Q1965" s="39" t="str">
        <f>IF(AND($L1965=$P$7,$B1965&lt;'111'!$N$11),"x","")</f>
        <v/>
      </c>
      <c r="R1965" s="39" t="str">
        <f>IF(AND($M1965=$P$7,$B1965&lt;'111'!$N$11),"x","")</f>
        <v/>
      </c>
      <c r="S1965" s="39" t="str">
        <f>IF(ISERROR(FIND('112'!$M$9,G1965,1)),"",IF((AND(FIND('112'!$M$9,G1965,1)&gt;=1,$B1965&gt;='112'!$N$8,$B1965&lt;='112'!$O$8,OR($L1965='112'!$I$6,$M1965='112'!$I$6))),"x",""))</f>
        <v/>
      </c>
      <c r="T1965" s="39" t="str">
        <f>IF(ISERROR(FIND('112'!$M$9,G1965,1)),"",IF((AND(LEFT(G1965,2)=LEFT('112'!$M$9,2),B1965&lt;'112'!$N$8,$L1965='112'!$I$6)),"x",""))</f>
        <v/>
      </c>
      <c r="U1965" s="39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39" t="str">
        <f>IF(OR(TH!L1965=TH!$W$7,M1965=TH!$W$7),"x","")</f>
        <v/>
      </c>
      <c r="X1965" s="39" t="str">
        <f>IF(AND(B1965&gt;='IN-NX'!$P$3,B1965&lt;='IN-NX'!$Q$3,'IN-NX'!$D$7=D1965,OR(LEFT(L1965,2)="15",AND(LEFT(M1965,2)&lt;&gt;"15",LEFT(M1965,2)&lt;&gt;"33"))),"x","")</f>
        <v/>
      </c>
      <c r="Y1965" s="39" t="str">
        <f>IF(AND(OR(LEFT(TH!L1965,2)="15",LEFT(TH!M1965,2)="15"),'152-CT'!$J$8=TH!F1965),"x","")</f>
        <v/>
      </c>
      <c r="Z1965" s="39" t="str">
        <f>IF(AND(OR(LEFT(TH!L1965,2)="15",LEFT(TH!M1965,2)="15"),TK!$E$7=TH!F1965),"x","")</f>
        <v/>
      </c>
      <c r="AA1965" s="39" t="str">
        <f>IF(AND(B1965&lt;=NKC!$N$8,B1965&gt;=NKC!$M$8),"x","")</f>
        <v/>
      </c>
      <c r="AB1965" s="821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102"/>
        <v/>
      </c>
      <c r="C1966" s="191"/>
      <c r="D1966" s="191"/>
      <c r="E1966" s="731"/>
      <c r="F1966" s="189"/>
      <c r="G1966" s="40"/>
      <c r="H1966" s="7"/>
      <c r="I1966" s="256"/>
      <c r="J1966" s="256"/>
      <c r="K1966" s="568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902" t="str">
        <f>IF(AND('341-CT'!$E$9=H1966,OR(LEFT(L1966,3)=$O$7,LEFT(M1966,3)=$O$7)),"x","")</f>
        <v/>
      </c>
      <c r="P1966" s="39" t="str">
        <f>IF(AND($B1966&gt;='111'!$N$11,$B1966&lt;='111'!$O$11,OR($L1966=$P$7,$M1966=$P$7)),"x","")</f>
        <v/>
      </c>
      <c r="Q1966" s="39" t="str">
        <f>IF(AND($L1966=$P$7,$B1966&lt;'111'!$N$11),"x","")</f>
        <v/>
      </c>
      <c r="R1966" s="39" t="str">
        <f>IF(AND($M1966=$P$7,$B1966&lt;'111'!$N$11),"x","")</f>
        <v/>
      </c>
      <c r="S1966" s="39" t="str">
        <f>IF(ISERROR(FIND('112'!$M$9,G1966,1)),"",IF((AND(FIND('112'!$M$9,G1966,1)&gt;=1,$B1966&gt;='112'!$N$8,$B1966&lt;='112'!$O$8,OR($L1966='112'!$I$6,$M1966='112'!$I$6))),"x",""))</f>
        <v/>
      </c>
      <c r="T1966" s="39" t="str">
        <f>IF(ISERROR(FIND('112'!$M$9,G1966,1)),"",IF((AND(LEFT(G1966,2)=LEFT('112'!$M$9,2),B1966&lt;'112'!$N$8,$L1966='112'!$I$6)),"x",""))</f>
        <v/>
      </c>
      <c r="U1966" s="39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39" t="str">
        <f>IF(OR(TH!L1966=TH!$W$7,M1966=TH!$W$7),"x","")</f>
        <v/>
      </c>
      <c r="X1966" s="39" t="str">
        <f>IF(AND(B1966&gt;='IN-NX'!$P$3,B1966&lt;='IN-NX'!$Q$3,'IN-NX'!$D$7=D1966,OR(LEFT(L1966,2)="15",AND(LEFT(M1966,2)&lt;&gt;"15",LEFT(M1966,2)&lt;&gt;"33"))),"x","")</f>
        <v/>
      </c>
      <c r="Y1966" s="39" t="str">
        <f>IF(AND(OR(LEFT(TH!L1966,2)="15",LEFT(TH!M1966,2)="15"),'152-CT'!$J$8=TH!F1966),"x","")</f>
        <v/>
      </c>
      <c r="Z1966" s="39" t="str">
        <f>IF(AND(OR(LEFT(TH!L1966,2)="15",LEFT(TH!M1966,2)="15"),TK!$E$7=TH!F1966),"x","")</f>
        <v/>
      </c>
      <c r="AA1966" s="39" t="str">
        <f>IF(AND(B1966&lt;=NKC!$N$8,B1966&gt;=NKC!$M$8),"x","")</f>
        <v/>
      </c>
      <c r="AB1966" s="821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102"/>
        <v/>
      </c>
      <c r="C1967" s="191"/>
      <c r="D1967" s="191"/>
      <c r="E1967" s="731"/>
      <c r="F1967" s="189"/>
      <c r="G1967" s="40"/>
      <c r="H1967" s="7"/>
      <c r="I1967" s="256"/>
      <c r="J1967" s="256"/>
      <c r="K1967" s="568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902" t="str">
        <f>IF(AND('341-CT'!$E$9=H1967,OR(LEFT(L1967,3)=$O$7,LEFT(M1967,3)=$O$7)),"x","")</f>
        <v/>
      </c>
      <c r="P1967" s="39" t="str">
        <f>IF(AND($B1967&gt;='111'!$N$11,$B1967&lt;='111'!$O$11,OR($L1967=$P$7,$M1967=$P$7)),"x","")</f>
        <v/>
      </c>
      <c r="Q1967" s="39" t="str">
        <f>IF(AND($L1967=$P$7,$B1967&lt;'111'!$N$11),"x","")</f>
        <v/>
      </c>
      <c r="R1967" s="39" t="str">
        <f>IF(AND($M1967=$P$7,$B1967&lt;'111'!$N$11),"x","")</f>
        <v/>
      </c>
      <c r="S1967" s="39" t="str">
        <f>IF(ISERROR(FIND('112'!$M$9,G1967,1)),"",IF((AND(FIND('112'!$M$9,G1967,1)&gt;=1,$B1967&gt;='112'!$N$8,$B1967&lt;='112'!$O$8,OR($L1967='112'!$I$6,$M1967='112'!$I$6))),"x",""))</f>
        <v/>
      </c>
      <c r="T1967" s="39" t="str">
        <f>IF(ISERROR(FIND('112'!$M$9,G1967,1)),"",IF((AND(LEFT(G1967,2)=LEFT('112'!$M$9,2),B1967&lt;'112'!$N$8,$L1967='112'!$I$6)),"x",""))</f>
        <v/>
      </c>
      <c r="U1967" s="39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39" t="str">
        <f>IF(OR(TH!L1967=TH!$W$7,M1967=TH!$W$7),"x","")</f>
        <v/>
      </c>
      <c r="X1967" s="39" t="str">
        <f>IF(AND(B1967&gt;='IN-NX'!$P$3,B1967&lt;='IN-NX'!$Q$3,'IN-NX'!$D$7=D1967,OR(LEFT(L1967,2)="15",AND(LEFT(M1967,2)&lt;&gt;"15",LEFT(M1967,2)&lt;&gt;"33"))),"x","")</f>
        <v/>
      </c>
      <c r="Y1967" s="39" t="str">
        <f>IF(AND(OR(LEFT(TH!L1967,2)="15",LEFT(TH!M1967,2)="15"),'152-CT'!$J$8=TH!F1967),"x","")</f>
        <v/>
      </c>
      <c r="Z1967" s="39" t="str">
        <f>IF(AND(OR(LEFT(TH!L1967,2)="15",LEFT(TH!M1967,2)="15"),TK!$E$7=TH!F1967),"x","")</f>
        <v/>
      </c>
      <c r="AA1967" s="39" t="str">
        <f>IF(AND(B1967&lt;=NKC!$N$8,B1967&gt;=NKC!$M$8),"x","")</f>
        <v/>
      </c>
      <c r="AB1967" s="821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102"/>
        <v/>
      </c>
      <c r="C1968" s="184"/>
      <c r="D1968" s="184"/>
      <c r="E1968" s="184"/>
      <c r="F1968" s="189"/>
      <c r="G1968" s="570"/>
      <c r="H1968" s="7"/>
      <c r="I1968" s="256"/>
      <c r="J1968" s="256"/>
      <c r="K1968" s="568"/>
      <c r="L1968" s="569"/>
      <c r="M1968" s="569"/>
      <c r="N1968" s="39" t="str">
        <f>IF(AND('331-CT'!$E$7=TH!H1968,OR(L1968="331",M1968="331")),"331",IF(AND(OR(L1968="131",M1968="131"),H1968='131-CT'!$E$7),"131",""))</f>
        <v/>
      </c>
      <c r="O1968" s="902" t="str">
        <f>IF(AND('341-CT'!$E$9=H1968,OR(LEFT(L1968,3)=$O$7,LEFT(M1968,3)=$O$7)),"x","")</f>
        <v/>
      </c>
      <c r="P1968" s="39" t="str">
        <f>IF(AND($B1968&gt;='111'!$N$11,$B1968&lt;='111'!$O$11,OR($L1968=$P$7,$M1968=$P$7)),"x","")</f>
        <v/>
      </c>
      <c r="Q1968" s="39" t="str">
        <f>IF(AND($L1968=$P$7,$B1968&lt;'111'!$N$11),"x","")</f>
        <v/>
      </c>
      <c r="R1968" s="39" t="str">
        <f>IF(AND($M1968=$P$7,$B1968&lt;'111'!$N$11),"x","")</f>
        <v/>
      </c>
      <c r="S1968" s="39" t="str">
        <f>IF(ISERROR(FIND('112'!$M$9,G1968,1)),"",IF((AND(FIND('112'!$M$9,G1968,1)&gt;=1,$B1968&gt;='112'!$N$8,$B1968&lt;='112'!$O$8,OR($L1968='112'!$I$6,$M1968='112'!$I$6))),"x",""))</f>
        <v/>
      </c>
      <c r="T1968" s="39" t="str">
        <f>IF(ISERROR(FIND('112'!$M$9,G1968,1)),"",IF((AND(LEFT(G1968,2)=LEFT('112'!$M$9,2),B1968&lt;'112'!$N$8,$L1968='112'!$I$6)),"x",""))</f>
        <v/>
      </c>
      <c r="U1968" s="39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39" t="str">
        <f>IF(OR(TH!L1968=TH!$W$7,M1968=TH!$W$7),"x","")</f>
        <v/>
      </c>
      <c r="X1968" s="39" t="str">
        <f>IF(AND(B1968&gt;='IN-NX'!$P$3,B1968&lt;='IN-NX'!$Q$3,'IN-NX'!$D$7=D1968,OR(LEFT(L1968,2)="15",AND(LEFT(M1968,2)&lt;&gt;"15",LEFT(M1968,2)&lt;&gt;"33"))),"x","")</f>
        <v/>
      </c>
      <c r="Y1968" s="39" t="str">
        <f>IF(AND(OR(LEFT(TH!L1968,2)="15",LEFT(TH!M1968,2)="15"),'152-CT'!$J$8=TH!F1968),"x","")</f>
        <v/>
      </c>
      <c r="Z1968" s="39" t="str">
        <f>IF(AND(OR(LEFT(TH!L1968,2)="15",LEFT(TH!M1968,2)="15"),TK!$E$7=TH!F1968),"x","")</f>
        <v/>
      </c>
      <c r="AA1968" s="39" t="str">
        <f>IF(AND(B1968&lt;=NKC!$N$8,B1968&gt;=NKC!$M$8),"x","")</f>
        <v/>
      </c>
      <c r="AB1968" s="821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102"/>
        <v/>
      </c>
      <c r="C1969" s="184"/>
      <c r="D1969" s="184"/>
      <c r="E1969" s="184"/>
      <c r="F1969" s="189"/>
      <c r="G1969" s="570"/>
      <c r="H1969" s="193"/>
      <c r="I1969" s="256"/>
      <c r="J1969" s="256"/>
      <c r="K1969" s="568"/>
      <c r="L1969" s="569"/>
      <c r="M1969" s="569"/>
      <c r="N1969" s="39" t="str">
        <f>IF(AND('331-CT'!$E$7=TH!H1969,OR(L1969="331",M1969="331")),"331",IF(AND(OR(L1969="131",M1969="131"),H1969='131-CT'!$E$7),"131",""))</f>
        <v/>
      </c>
      <c r="O1969" s="902" t="str">
        <f>IF(AND('341-CT'!$E$9=H1969,OR(LEFT(L1969,3)=$O$7,LEFT(M1969,3)=$O$7)),"x","")</f>
        <v/>
      </c>
      <c r="P1969" s="39" t="str">
        <f>IF(AND($B1969&gt;='111'!$N$11,$B1969&lt;='111'!$O$11,OR($L1969=$P$7,$M1969=$P$7)),"x","")</f>
        <v/>
      </c>
      <c r="Q1969" s="39" t="str">
        <f>IF(AND($L1969=$P$7,$B1969&lt;'111'!$N$11),"x","")</f>
        <v/>
      </c>
      <c r="R1969" s="39" t="str">
        <f>IF(AND($M1969=$P$7,$B1969&lt;'111'!$N$11),"x","")</f>
        <v/>
      </c>
      <c r="S1969" s="39" t="str">
        <f>IF(ISERROR(FIND('112'!$M$9,G1969,1)),"",IF((AND(FIND('112'!$M$9,G1969,1)&gt;=1,$B1969&gt;='112'!$N$8,$B1969&lt;='112'!$O$8,OR($L1969='112'!$I$6,$M1969='112'!$I$6))),"x",""))</f>
        <v/>
      </c>
      <c r="T1969" s="39" t="str">
        <f>IF(ISERROR(FIND('112'!$M$9,G1969,1)),"",IF((AND(LEFT(G1969,2)=LEFT('112'!$M$9,2),B1969&lt;'112'!$N$8,$L1969='112'!$I$6)),"x",""))</f>
        <v/>
      </c>
      <c r="U1969" s="39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39" t="str">
        <f>IF(OR(TH!L1969=TH!$W$7,M1969=TH!$W$7),"x","")</f>
        <v/>
      </c>
      <c r="X1969" s="39" t="str">
        <f>IF(AND(B1969&gt;='IN-NX'!$P$3,B1969&lt;='IN-NX'!$Q$3,'IN-NX'!$D$7=D1969,OR(LEFT(L1969,2)="15",AND(LEFT(M1969,2)&lt;&gt;"15",LEFT(M1969,2)&lt;&gt;"33"))),"x","")</f>
        <v/>
      </c>
      <c r="Y1969" s="39" t="str">
        <f>IF(AND(OR(LEFT(TH!L1969,2)="15",LEFT(TH!M1969,2)="15"),'152-CT'!$J$8=TH!F1969),"x","")</f>
        <v/>
      </c>
      <c r="Z1969" s="39" t="str">
        <f>IF(AND(OR(LEFT(TH!L1969,2)="15",LEFT(TH!M1969,2)="15"),TK!$E$7=TH!F1969),"x","")</f>
        <v/>
      </c>
      <c r="AA1969" s="39" t="str">
        <f>IF(AND(B1969&lt;=NKC!$N$8,B1969&gt;=NKC!$M$8),"x","")</f>
        <v/>
      </c>
      <c r="AB1969" s="821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102"/>
        <v/>
      </c>
      <c r="C1970" s="191"/>
      <c r="D1970" s="191"/>
      <c r="E1970" s="191"/>
      <c r="F1970" s="192"/>
      <c r="G1970" s="468"/>
      <c r="H1970" s="193"/>
      <c r="I1970" s="256"/>
      <c r="J1970" s="256"/>
      <c r="K1970" s="568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902" t="str">
        <f>IF(AND('341-CT'!$E$9=H1970,OR(LEFT(L1970,3)=$O$7,LEFT(M1970,3)=$O$7)),"x","")</f>
        <v/>
      </c>
      <c r="P1970" s="39" t="str">
        <f>IF(AND($B1970&gt;='111'!$N$11,$B1970&lt;='111'!$O$11,OR($L1970=$P$7,$M1970=$P$7)),"x","")</f>
        <v/>
      </c>
      <c r="Q1970" s="39" t="str">
        <f>IF(AND($L1970=$P$7,$B1970&lt;'111'!$N$11),"x","")</f>
        <v/>
      </c>
      <c r="R1970" s="39" t="str">
        <f>IF(AND($M1970=$P$7,$B1970&lt;'111'!$N$11),"x","")</f>
        <v/>
      </c>
      <c r="S1970" s="39" t="str">
        <f>IF(ISERROR(FIND('112'!$M$9,G1970,1)),"",IF((AND(FIND('112'!$M$9,G1970,1)&gt;=1,$B1970&gt;='112'!$N$8,$B1970&lt;='112'!$O$8,OR($L1970='112'!$I$6,$M1970='112'!$I$6))),"x",""))</f>
        <v/>
      </c>
      <c r="T1970" s="39" t="str">
        <f>IF(ISERROR(FIND('112'!$M$9,G1970,1)),"",IF((AND(LEFT(G1970,2)=LEFT('112'!$M$9,2),B1970&lt;'112'!$N$8,$L1970='112'!$I$6)),"x",""))</f>
        <v/>
      </c>
      <c r="U1970" s="39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39" t="str">
        <f>IF(OR(TH!L1970=TH!$W$7,M1970=TH!$W$7),"x","")</f>
        <v/>
      </c>
      <c r="X1970" s="39" t="str">
        <f>IF(AND(B1970&gt;='IN-NX'!$P$3,B1970&lt;='IN-NX'!$Q$3,'IN-NX'!$D$7=D1970,OR(LEFT(L1970,2)="15",AND(LEFT(M1970,2)&lt;&gt;"15",LEFT(M1970,2)&lt;&gt;"33"))),"x","")</f>
        <v/>
      </c>
      <c r="Y1970" s="39" t="str">
        <f>IF(AND(OR(LEFT(TH!L1970,2)="15",LEFT(TH!M1970,2)="15"),'152-CT'!$J$8=TH!F1970),"x","")</f>
        <v/>
      </c>
      <c r="Z1970" s="39" t="str">
        <f>IF(AND(OR(LEFT(TH!L1970,2)="15",LEFT(TH!M1970,2)="15"),TK!$E$7=TH!F1970),"x","")</f>
        <v/>
      </c>
      <c r="AA1970" s="39" t="str">
        <f>IF(AND(B1970&lt;=NKC!$N$8,B1970&gt;=NKC!$M$8),"x","")</f>
        <v/>
      </c>
      <c r="AB1970" s="821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102"/>
        <v/>
      </c>
      <c r="C1971" s="191"/>
      <c r="D1971" s="191"/>
      <c r="E1971" s="191"/>
      <c r="F1971" s="192"/>
      <c r="G1971" s="468"/>
      <c r="H1971" s="193"/>
      <c r="I1971" s="256"/>
      <c r="J1971" s="256"/>
      <c r="K1971" s="568"/>
      <c r="L1971" s="194"/>
      <c r="M1971" s="194"/>
      <c r="N1971" s="39" t="str">
        <f>IF(AND('331-CT'!$E$7=TH!H1971,OR(L1971="331",M1971="331")),"331",IF(AND(OR(L1971="131",M1971="131"),H1971='131-CT'!$E$7),"131",""))</f>
        <v/>
      </c>
      <c r="O1971" s="902" t="str">
        <f>IF(AND('341-CT'!$E$9=H1971,OR(LEFT(L1971,3)=$O$7,LEFT(M1971,3)=$O$7)),"x","")</f>
        <v/>
      </c>
      <c r="P1971" s="39" t="str">
        <f>IF(AND($B1971&gt;='111'!$N$11,$B1971&lt;='111'!$O$11,OR($L1971=$P$7,$M1971=$P$7)),"x","")</f>
        <v/>
      </c>
      <c r="Q1971" s="39" t="str">
        <f>IF(AND($L1971=$P$7,$B1971&lt;'111'!$N$11),"x","")</f>
        <v/>
      </c>
      <c r="R1971" s="39" t="str">
        <f>IF(AND($M1971=$P$7,$B1971&lt;'111'!$N$11),"x","")</f>
        <v/>
      </c>
      <c r="S1971" s="39" t="str">
        <f>IF(ISERROR(FIND('112'!$M$9,G1971,1)),"",IF((AND(FIND('112'!$M$9,G1971,1)&gt;=1,$B1971&gt;='112'!$N$8,$B1971&lt;='112'!$O$8,OR($L1971='112'!$I$6,$M1971='112'!$I$6))),"x",""))</f>
        <v/>
      </c>
      <c r="T1971" s="39" t="str">
        <f>IF(ISERROR(FIND('112'!$M$9,G1971,1)),"",IF((AND(LEFT(G1971,2)=LEFT('112'!$M$9,2),B1971&lt;'112'!$N$8,$L1971='112'!$I$6)),"x",""))</f>
        <v/>
      </c>
      <c r="U1971" s="39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39" t="str">
        <f>IF(OR(TH!L1971=TH!$W$7,M1971=TH!$W$7),"x","")</f>
        <v/>
      </c>
      <c r="X1971" s="39" t="str">
        <f>IF(AND(B1971&gt;='IN-NX'!$P$3,B1971&lt;='IN-NX'!$Q$3,'IN-NX'!$D$7=D1971,OR(LEFT(L1971,2)="15",AND(LEFT(M1971,2)&lt;&gt;"15",LEFT(M1971,2)&lt;&gt;"33"))),"x","")</f>
        <v/>
      </c>
      <c r="Y1971" s="39" t="str">
        <f>IF(AND(OR(LEFT(TH!L1971,2)="15",LEFT(TH!M1971,2)="15"),'152-CT'!$J$8=TH!F1971),"x","")</f>
        <v/>
      </c>
      <c r="Z1971" s="39" t="str">
        <f>IF(AND(OR(LEFT(TH!L1971,2)="15",LEFT(TH!M1971,2)="15"),TK!$E$7=TH!F1971),"x","")</f>
        <v/>
      </c>
      <c r="AA1971" s="39" t="str">
        <f>IF(AND(B1971&lt;=NKC!$N$8,B1971&gt;=NKC!$M$8),"x","")</f>
        <v/>
      </c>
      <c r="AB1971" s="821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102"/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568"/>
      <c r="L1972" s="194"/>
      <c r="M1972" s="194"/>
      <c r="N1972" s="39" t="str">
        <f>IF(AND('331-CT'!$E$7=TH!H1972,OR(L1972="331",M1972="331")),"331",IF(AND(OR(L1972="131",M1972="131"),H1972='131-CT'!$E$7),"131",""))</f>
        <v/>
      </c>
      <c r="O1972" s="902" t="str">
        <f>IF(AND('341-CT'!$E$9=H1972,OR(LEFT(L1972,3)=$O$7,LEFT(M1972,3)=$O$7)),"x","")</f>
        <v/>
      </c>
      <c r="P1972" s="39" t="str">
        <f>IF(AND($B1972&gt;='111'!$N$11,$B1972&lt;='111'!$O$11,OR($L1972=$P$7,$M1972=$P$7)),"x","")</f>
        <v/>
      </c>
      <c r="Q1972" s="39" t="str">
        <f>IF(AND($L1972=$P$7,$B1972&lt;'111'!$N$11),"x","")</f>
        <v/>
      </c>
      <c r="R1972" s="39" t="str">
        <f>IF(AND($M1972=$P$7,$B1972&lt;'111'!$N$11),"x","")</f>
        <v/>
      </c>
      <c r="S1972" s="39" t="str">
        <f>IF(ISERROR(FIND('112'!$M$9,G1972,1)),"",IF((AND(FIND('112'!$M$9,G1972,1)&gt;=1,$B1972&gt;='112'!$N$8,$B1972&lt;='112'!$O$8,OR($L1972='112'!$I$6,$M1972='112'!$I$6))),"x",""))</f>
        <v/>
      </c>
      <c r="T1972" s="39" t="str">
        <f>IF(ISERROR(FIND('112'!$M$9,G1972,1)),"",IF((AND(LEFT(G1972,2)=LEFT('112'!$M$9,2),B1972&lt;'112'!$N$8,$L1972='112'!$I$6)),"x",""))</f>
        <v/>
      </c>
      <c r="U1972" s="39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39" t="str">
        <f>IF(OR(TH!L1972=TH!$W$7,M1972=TH!$W$7),"x","")</f>
        <v/>
      </c>
      <c r="X1972" s="39" t="str">
        <f>IF(AND(B1972&gt;='IN-NX'!$P$3,B1972&lt;='IN-NX'!$Q$3,'IN-NX'!$D$7=D1972,OR(LEFT(L1972,2)="15",AND(LEFT(M1972,2)&lt;&gt;"15",LEFT(M1972,2)&lt;&gt;"33"))),"x","")</f>
        <v/>
      </c>
      <c r="Y1972" s="39" t="str">
        <f>IF(AND(OR(LEFT(TH!L1972,2)="15",LEFT(TH!M1972,2)="15"),'152-CT'!$J$8=TH!F1972),"x","")</f>
        <v/>
      </c>
      <c r="Z1972" s="39" t="str">
        <f>IF(AND(OR(LEFT(TH!L1972,2)="15",LEFT(TH!M1972,2)="15"),TK!$E$7=TH!F1972),"x","")</f>
        <v/>
      </c>
      <c r="AA1972" s="39" t="str">
        <f>IF(AND(B1972&lt;=NKC!$N$8,B1972&gt;=NKC!$M$8),"x","")</f>
        <v/>
      </c>
      <c r="AB1972" s="821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102"/>
        <v/>
      </c>
      <c r="C1973" s="191"/>
      <c r="D1973" s="191"/>
      <c r="E1973" s="191"/>
      <c r="F1973" s="192"/>
      <c r="G1973" s="468"/>
      <c r="H1973" s="193"/>
      <c r="I1973" s="256"/>
      <c r="J1973" s="256"/>
      <c r="K1973" s="568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902" t="str">
        <f>IF(AND('341-CT'!$E$9=H1973,OR(LEFT(L1973,3)=$O$7,LEFT(M1973,3)=$O$7)),"x","")</f>
        <v/>
      </c>
      <c r="P1973" s="39" t="str">
        <f>IF(AND($B1973&gt;='111'!$N$11,$B1973&lt;='111'!$O$11,OR($L1973=$P$7,$M1973=$P$7)),"x","")</f>
        <v/>
      </c>
      <c r="Q1973" s="39" t="str">
        <f>IF(AND($L1973=$P$7,$B1973&lt;'111'!$N$11),"x","")</f>
        <v/>
      </c>
      <c r="R1973" s="39" t="str">
        <f>IF(AND($M1973=$P$7,$B1973&lt;'111'!$N$11),"x","")</f>
        <v/>
      </c>
      <c r="S1973" s="39" t="str">
        <f>IF(ISERROR(FIND('112'!$M$9,G1973,1)),"",IF((AND(FIND('112'!$M$9,G1973,1)&gt;=1,$B1973&gt;='112'!$N$8,$B1973&lt;='112'!$O$8,OR($L1973='112'!$I$6,$M1973='112'!$I$6))),"x",""))</f>
        <v/>
      </c>
      <c r="T1973" s="39" t="str">
        <f>IF(ISERROR(FIND('112'!$M$9,G1973,1)),"",IF((AND(LEFT(G1973,2)=LEFT('112'!$M$9,2),B1973&lt;'112'!$N$8,$L1973='112'!$I$6)),"x",""))</f>
        <v/>
      </c>
      <c r="U1973" s="39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39" t="str">
        <f>IF(OR(TH!L1973=TH!$W$7,M1973=TH!$W$7),"x","")</f>
        <v/>
      </c>
      <c r="X1973" s="39" t="str">
        <f>IF(AND(B1973&gt;='IN-NX'!$P$3,B1973&lt;='IN-NX'!$Q$3,'IN-NX'!$D$7=D1973,OR(LEFT(L1973,2)="15",AND(LEFT(M1973,2)&lt;&gt;"15",LEFT(M1973,2)&lt;&gt;"33"))),"x","")</f>
        <v/>
      </c>
      <c r="Y1973" s="39" t="str">
        <f>IF(AND(OR(LEFT(TH!L1973,2)="15",LEFT(TH!M1973,2)="15"),'152-CT'!$J$8=TH!F1973),"x","")</f>
        <v/>
      </c>
      <c r="Z1973" s="39" t="str">
        <f>IF(AND(OR(LEFT(TH!L1973,2)="15",LEFT(TH!M1973,2)="15"),TK!$E$7=TH!F1973),"x","")</f>
        <v/>
      </c>
      <c r="AA1973" s="39" t="str">
        <f>IF(AND(B1973&lt;=NKC!$N$8,B1973&gt;=NKC!$M$8),"x","")</f>
        <v/>
      </c>
      <c r="AB1973" s="821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102"/>
        <v/>
      </c>
      <c r="C1974" s="191"/>
      <c r="D1974" s="191"/>
      <c r="E1974" s="191"/>
      <c r="F1974" s="192"/>
      <c r="G1974" s="468"/>
      <c r="H1974" s="193"/>
      <c r="I1974" s="256"/>
      <c r="J1974" s="256"/>
      <c r="K1974" s="568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902" t="str">
        <f>IF(AND('341-CT'!$E$9=H1974,OR(LEFT(L1974,3)=$O$7,LEFT(M1974,3)=$O$7)),"x","")</f>
        <v/>
      </c>
      <c r="P1974" s="39" t="str">
        <f>IF(AND($B1974&gt;='111'!$N$11,$B1974&lt;='111'!$O$11,OR($L1974=$P$7,$M1974=$P$7)),"x","")</f>
        <v/>
      </c>
      <c r="Q1974" s="39" t="str">
        <f>IF(AND($L1974=$P$7,$B1974&lt;'111'!$N$11),"x","")</f>
        <v/>
      </c>
      <c r="R1974" s="39" t="str">
        <f>IF(AND($M1974=$P$7,$B1974&lt;'111'!$N$11),"x","")</f>
        <v/>
      </c>
      <c r="S1974" s="39" t="str">
        <f>IF(ISERROR(FIND('112'!$M$9,G1974,1)),"",IF((AND(FIND('112'!$M$9,G1974,1)&gt;=1,$B1974&gt;='112'!$N$8,$B1974&lt;='112'!$O$8,OR($L1974='112'!$I$6,$M1974='112'!$I$6))),"x",""))</f>
        <v/>
      </c>
      <c r="T1974" s="39" t="str">
        <f>IF(ISERROR(FIND('112'!$M$9,G1974,1)),"",IF((AND(LEFT(G1974,2)=LEFT('112'!$M$9,2),B1974&lt;'112'!$N$8,$L1974='112'!$I$6)),"x",""))</f>
        <v/>
      </c>
      <c r="U1974" s="39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39" t="str">
        <f>IF(OR(TH!L1974=TH!$W$7,M1974=TH!$W$7),"x","")</f>
        <v/>
      </c>
      <c r="X1974" s="39" t="str">
        <f>IF(AND(B1974&gt;='IN-NX'!$P$3,B1974&lt;='IN-NX'!$Q$3,'IN-NX'!$D$7=D1974,OR(LEFT(L1974,2)="15",AND(LEFT(M1974,2)&lt;&gt;"15",LEFT(M1974,2)&lt;&gt;"33"))),"x","")</f>
        <v/>
      </c>
      <c r="Y1974" s="39" t="str">
        <f>IF(AND(OR(LEFT(TH!L1974,2)="15",LEFT(TH!M1974,2)="15"),'152-CT'!$J$8=TH!F1974),"x","")</f>
        <v/>
      </c>
      <c r="Z1974" s="39" t="str">
        <f>IF(AND(OR(LEFT(TH!L1974,2)="15",LEFT(TH!M1974,2)="15"),TK!$E$7=TH!F1974),"x","")</f>
        <v/>
      </c>
      <c r="AA1974" s="39" t="str">
        <f>IF(AND(B1974&lt;=NKC!$N$8,B1974&gt;=NKC!$M$8),"x","")</f>
        <v/>
      </c>
      <c r="AB1974" s="821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102"/>
        <v/>
      </c>
      <c r="C1975" s="191"/>
      <c r="D1975" s="191"/>
      <c r="E1975" s="191"/>
      <c r="F1975" s="192"/>
      <c r="G1975" s="468"/>
      <c r="H1975" s="193"/>
      <c r="I1975" s="256"/>
      <c r="J1975" s="256"/>
      <c r="K1975" s="568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902" t="str">
        <f>IF(AND('341-CT'!$E$9=H1975,OR(LEFT(L1975,3)=$O$7,LEFT(M1975,3)=$O$7)),"x","")</f>
        <v/>
      </c>
      <c r="P1975" s="39" t="str">
        <f>IF(AND($B1975&gt;='111'!$N$11,$B1975&lt;='111'!$O$11,OR($L1975=$P$7,$M1975=$P$7)),"x","")</f>
        <v/>
      </c>
      <c r="Q1975" s="39" t="str">
        <f>IF(AND($L1975=$P$7,$B1975&lt;'111'!$N$11),"x","")</f>
        <v/>
      </c>
      <c r="R1975" s="39" t="str">
        <f>IF(AND($M1975=$P$7,$B1975&lt;'111'!$N$11),"x","")</f>
        <v/>
      </c>
      <c r="S1975" s="39" t="str">
        <f>IF(ISERROR(FIND('112'!$M$9,G1975,1)),"",IF((AND(FIND('112'!$M$9,G1975,1)&gt;=1,$B1975&gt;='112'!$N$8,$B1975&lt;='112'!$O$8,OR($L1975='112'!$I$6,$M1975='112'!$I$6))),"x",""))</f>
        <v/>
      </c>
      <c r="T1975" s="39" t="str">
        <f>IF(ISERROR(FIND('112'!$M$9,G1975,1)),"",IF((AND(LEFT(G1975,2)=LEFT('112'!$M$9,2),B1975&lt;'112'!$N$8,$L1975='112'!$I$6)),"x",""))</f>
        <v/>
      </c>
      <c r="U1975" s="39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39" t="str">
        <f>IF(OR(TH!L1975=TH!$W$7,M1975=TH!$W$7),"x","")</f>
        <v/>
      </c>
      <c r="X1975" s="39" t="str">
        <f>IF(AND(B1975&gt;='IN-NX'!$P$3,B1975&lt;='IN-NX'!$Q$3,'IN-NX'!$D$7=D1975,OR(LEFT(L1975,2)="15",AND(LEFT(M1975,2)&lt;&gt;"15",LEFT(M1975,2)&lt;&gt;"33"))),"x","")</f>
        <v/>
      </c>
      <c r="Y1975" s="39" t="str">
        <f>IF(AND(OR(LEFT(TH!L1975,2)="15",LEFT(TH!M1975,2)="15"),'152-CT'!$J$8=TH!F1975),"x","")</f>
        <v/>
      </c>
      <c r="Z1975" s="39" t="str">
        <f>IF(AND(OR(LEFT(TH!L1975,2)="15",LEFT(TH!M1975,2)="15"),TK!$E$7=TH!F1975),"x","")</f>
        <v/>
      </c>
      <c r="AA1975" s="39" t="str">
        <f>IF(AND(B1975&lt;=NKC!$N$8,B1975&gt;=NKC!$M$8),"x","")</f>
        <v/>
      </c>
      <c r="AB1975" s="821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102"/>
        <v/>
      </c>
      <c r="C1976" s="191"/>
      <c r="D1976" s="191"/>
      <c r="E1976" s="191"/>
      <c r="F1976" s="192"/>
      <c r="G1976" s="468"/>
      <c r="H1976" s="193"/>
      <c r="I1976" s="256"/>
      <c r="J1976" s="256"/>
      <c r="K1976" s="568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902" t="str">
        <f>IF(AND('341-CT'!$E$9=H1976,OR(LEFT(L1976,3)=$O$7,LEFT(M1976,3)=$O$7)),"x","")</f>
        <v/>
      </c>
      <c r="P1976" s="39" t="str">
        <f>IF(AND($B1976&gt;='111'!$N$11,$B1976&lt;='111'!$O$11,OR($L1976=$P$7,$M1976=$P$7)),"x","")</f>
        <v/>
      </c>
      <c r="Q1976" s="39" t="str">
        <f>IF(AND($L1976=$P$7,$B1976&lt;'111'!$N$11),"x","")</f>
        <v/>
      </c>
      <c r="R1976" s="39" t="str">
        <f>IF(AND($M1976=$P$7,$B1976&lt;'111'!$N$11),"x","")</f>
        <v/>
      </c>
      <c r="S1976" s="39" t="str">
        <f>IF(ISERROR(FIND('112'!$M$9,G1976,1)),"",IF((AND(FIND('112'!$M$9,G1976,1)&gt;=1,$B1976&gt;='112'!$N$8,$B1976&lt;='112'!$O$8,OR($L1976='112'!$I$6,$M1976='112'!$I$6))),"x",""))</f>
        <v/>
      </c>
      <c r="T1976" s="39" t="str">
        <f>IF(ISERROR(FIND('112'!$M$9,G1976,1)),"",IF((AND(LEFT(G1976,2)=LEFT('112'!$M$9,2),B1976&lt;'112'!$N$8,$L1976='112'!$I$6)),"x",""))</f>
        <v/>
      </c>
      <c r="U1976" s="39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39" t="str">
        <f>IF(OR(TH!L1976=TH!$W$7,M1976=TH!$W$7),"x","")</f>
        <v/>
      </c>
      <c r="X1976" s="39" t="str">
        <f>IF(AND(B1976&gt;='IN-NX'!$P$3,B1976&lt;='IN-NX'!$Q$3,'IN-NX'!$D$7=D1976,OR(LEFT(L1976,2)="15",AND(LEFT(M1976,2)&lt;&gt;"15",LEFT(M1976,2)&lt;&gt;"33"))),"x","")</f>
        <v/>
      </c>
      <c r="Y1976" s="39" t="str">
        <f>IF(AND(OR(LEFT(TH!L1976,2)="15",LEFT(TH!M1976,2)="15"),'152-CT'!$J$8=TH!F1976),"x","")</f>
        <v/>
      </c>
      <c r="Z1976" s="39" t="str">
        <f>IF(AND(OR(LEFT(TH!L1976,2)="15",LEFT(TH!M1976,2)="15"),TK!$E$7=TH!F1976),"x","")</f>
        <v/>
      </c>
      <c r="AA1976" s="39" t="str">
        <f>IF(AND(B1976&lt;=NKC!$N$8,B1976&gt;=NKC!$M$8),"x","")</f>
        <v/>
      </c>
      <c r="AB1976" s="821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ref="B1977:B2040" si="103">IF(C1977&lt;&gt;"",MONTH(C1977),"")</f>
        <v/>
      </c>
      <c r="C1977" s="191"/>
      <c r="D1977" s="191"/>
      <c r="E1977" s="191"/>
      <c r="F1977" s="192"/>
      <c r="G1977" s="468"/>
      <c r="H1977" s="193"/>
      <c r="I1977" s="256"/>
      <c r="J1977" s="256"/>
      <c r="K1977" s="568"/>
      <c r="L1977" s="194"/>
      <c r="M1977" s="194"/>
      <c r="N1977" s="39" t="str">
        <f>IF(AND('331-CT'!$E$7=TH!H1977,OR(L1977="331",M1977="331")),"331",IF(AND(OR(L1977="131",M1977="131"),H1977='131-CT'!$E$7),"131",""))</f>
        <v/>
      </c>
      <c r="O1977" s="902" t="str">
        <f>IF(AND('341-CT'!$E$9=H1977,OR(LEFT(L1977,3)=$O$7,LEFT(M1977,3)=$O$7)),"x","")</f>
        <v/>
      </c>
      <c r="P1977" s="39" t="str">
        <f>IF(AND($B1977&gt;='111'!$N$11,$B1977&lt;='111'!$O$11,OR($L1977=$P$7,$M1977=$P$7)),"x","")</f>
        <v/>
      </c>
      <c r="Q1977" s="39" t="str">
        <f>IF(AND($L1977=$P$7,$B1977&lt;'111'!$N$11),"x","")</f>
        <v/>
      </c>
      <c r="R1977" s="39" t="str">
        <f>IF(AND($M1977=$P$7,$B1977&lt;'111'!$N$11),"x","")</f>
        <v/>
      </c>
      <c r="S1977" s="39" t="str">
        <f>IF(ISERROR(FIND('112'!$M$9,G1977,1)),"",IF((AND(FIND('112'!$M$9,G1977,1)&gt;=1,$B1977&gt;='112'!$N$8,$B1977&lt;='112'!$O$8,OR($L1977='112'!$I$6,$M1977='112'!$I$6))),"x",""))</f>
        <v/>
      </c>
      <c r="T1977" s="39" t="str">
        <f>IF(ISERROR(FIND('112'!$M$9,G1977,1)),"",IF((AND(LEFT(G1977,2)=LEFT('112'!$M$9,2),B1977&lt;'112'!$N$8,$L1977='112'!$I$6)),"x",""))</f>
        <v/>
      </c>
      <c r="U1977" s="39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39" t="str">
        <f>IF(OR(TH!L1977=TH!$W$7,M1977=TH!$W$7),"x","")</f>
        <v/>
      </c>
      <c r="X1977" s="39" t="str">
        <f>IF(AND(B1977&gt;='IN-NX'!$P$3,B1977&lt;='IN-NX'!$Q$3,'IN-NX'!$D$7=D1977,OR(LEFT(L1977,2)="15",AND(LEFT(M1977,2)&lt;&gt;"15",LEFT(M1977,2)&lt;&gt;"33"))),"x","")</f>
        <v/>
      </c>
      <c r="Y1977" s="39" t="str">
        <f>IF(AND(OR(LEFT(TH!L1977,2)="15",LEFT(TH!M1977,2)="15"),'152-CT'!$J$8=TH!F1977),"x","")</f>
        <v/>
      </c>
      <c r="Z1977" s="39" t="str">
        <f>IF(AND(OR(LEFT(TH!L1977,2)="15",LEFT(TH!M1977,2)="15"),TK!$E$7=TH!F1977),"x","")</f>
        <v/>
      </c>
      <c r="AA1977" s="39" t="str">
        <f>IF(AND(B1977&lt;=NKC!$N$8,B1977&gt;=NKC!$M$8),"x","")</f>
        <v/>
      </c>
      <c r="AB1977" s="821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 t="str">
        <f t="shared" si="103"/>
        <v/>
      </c>
      <c r="C1978" s="191"/>
      <c r="D1978" s="191"/>
      <c r="E1978" s="191"/>
      <c r="F1978" s="192"/>
      <c r="G1978" s="468"/>
      <c r="H1978" s="193"/>
      <c r="I1978" s="256"/>
      <c r="J1978" s="256"/>
      <c r="K1978" s="568"/>
      <c r="L1978" s="194"/>
      <c r="M1978" s="194"/>
      <c r="N1978" s="39" t="str">
        <f>IF(AND('331-CT'!$E$7=TH!H1978,OR(L1978="331",M1978="331")),"331",IF(AND(OR(L1978="131",M1978="131"),H1978='131-CT'!$E$7),"131",""))</f>
        <v/>
      </c>
      <c r="O1978" s="902" t="str">
        <f>IF(AND('341-CT'!$E$9=H1978,OR(LEFT(L1978,3)=$O$7,LEFT(M1978,3)=$O$7)),"x","")</f>
        <v/>
      </c>
      <c r="P1978" s="39" t="str">
        <f>IF(AND($B1978&gt;='111'!$N$11,$B1978&lt;='111'!$O$11,OR($L1978=$P$7,$M1978=$P$7)),"x","")</f>
        <v/>
      </c>
      <c r="Q1978" s="39" t="str">
        <f>IF(AND($L1978=$P$7,$B1978&lt;'111'!$N$11),"x","")</f>
        <v/>
      </c>
      <c r="R1978" s="39" t="str">
        <f>IF(AND($M1978=$P$7,$B1978&lt;'111'!$N$11),"x","")</f>
        <v/>
      </c>
      <c r="S1978" s="39" t="str">
        <f>IF(ISERROR(FIND('112'!$M$9,G1978,1)),"",IF((AND(FIND('112'!$M$9,G1978,1)&gt;=1,$B1978&gt;='112'!$N$8,$B1978&lt;='112'!$O$8,OR($L1978='112'!$I$6,$M1978='112'!$I$6))),"x",""))</f>
        <v/>
      </c>
      <c r="T1978" s="39" t="str">
        <f>IF(ISERROR(FIND('112'!$M$9,G1978,1)),"",IF((AND(LEFT(G1978,2)=LEFT('112'!$M$9,2),B1978&lt;'112'!$N$8,$L1978='112'!$I$6)),"x",""))</f>
        <v/>
      </c>
      <c r="U1978" s="39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39" t="str">
        <f>IF(OR(TH!L1978=TH!$W$7,M1978=TH!$W$7),"x","")</f>
        <v/>
      </c>
      <c r="X1978" s="39" t="str">
        <f>IF(AND(B1978&gt;='IN-NX'!$P$3,B1978&lt;='IN-NX'!$Q$3,'IN-NX'!$D$7=D1978,OR(LEFT(L1978,2)="15",AND(LEFT(M1978,2)&lt;&gt;"15",LEFT(M1978,2)&lt;&gt;"33"))),"x","")</f>
        <v/>
      </c>
      <c r="Y1978" s="39" t="str">
        <f>IF(AND(OR(LEFT(TH!L1978,2)="15",LEFT(TH!M1978,2)="15"),'152-CT'!$J$8=TH!F1978),"x","")</f>
        <v/>
      </c>
      <c r="Z1978" s="39" t="str">
        <f>IF(AND(OR(LEFT(TH!L1978,2)="15",LEFT(TH!M1978,2)="15"),TK!$E$7=TH!F1978),"x","")</f>
        <v/>
      </c>
      <c r="AA1978" s="39" t="str">
        <f>IF(AND(B1978&lt;=NKC!$N$8,B1978&gt;=NKC!$M$8),"x","")</f>
        <v/>
      </c>
      <c r="AB1978" s="821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103"/>
        <v/>
      </c>
      <c r="C1979" s="191"/>
      <c r="D1979" s="191"/>
      <c r="E1979" s="191"/>
      <c r="F1979" s="192"/>
      <c r="G1979" s="468"/>
      <c r="H1979" s="193"/>
      <c r="I1979" s="256"/>
      <c r="J1979" s="256"/>
      <c r="K1979" s="568"/>
      <c r="L1979" s="194"/>
      <c r="M1979" s="194"/>
      <c r="N1979" s="39" t="str">
        <f>IF(AND('331-CT'!$E$7=TH!H1979,OR(L1979="331",M1979="331")),"331",IF(AND(OR(L1979="131",M1979="131"),H1979='131-CT'!$E$7),"131",""))</f>
        <v/>
      </c>
      <c r="O1979" s="902" t="str">
        <f>IF(AND('341-CT'!$E$9=H1979,OR(LEFT(L1979,3)=$O$7,LEFT(M1979,3)=$O$7)),"x","")</f>
        <v/>
      </c>
      <c r="P1979" s="39" t="str">
        <f>IF(AND($B1979&gt;='111'!$N$11,$B1979&lt;='111'!$O$11,OR($L1979=$P$7,$M1979=$P$7)),"x","")</f>
        <v/>
      </c>
      <c r="Q1979" s="39" t="str">
        <f>IF(AND($L1979=$P$7,$B1979&lt;'111'!$N$11),"x","")</f>
        <v/>
      </c>
      <c r="R1979" s="39" t="str">
        <f>IF(AND($M1979=$P$7,$B1979&lt;'111'!$N$11),"x","")</f>
        <v/>
      </c>
      <c r="S1979" s="39" t="str">
        <f>IF(ISERROR(FIND('112'!$M$9,G1979,1)),"",IF((AND(FIND('112'!$M$9,G1979,1)&gt;=1,$B1979&gt;='112'!$N$8,$B1979&lt;='112'!$O$8,OR($L1979='112'!$I$6,$M1979='112'!$I$6))),"x",""))</f>
        <v/>
      </c>
      <c r="T1979" s="39" t="str">
        <f>IF(ISERROR(FIND('112'!$M$9,G1979,1)),"",IF((AND(LEFT(G1979,2)=LEFT('112'!$M$9,2),B1979&lt;'112'!$N$8,$L1979='112'!$I$6)),"x",""))</f>
        <v/>
      </c>
      <c r="U1979" s="39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39" t="str">
        <f>IF(OR(TH!L1979=TH!$W$7,M1979=TH!$W$7),"x","")</f>
        <v/>
      </c>
      <c r="X1979" s="39" t="str">
        <f>IF(AND(B1979&gt;='IN-NX'!$P$3,B1979&lt;='IN-NX'!$Q$3,'IN-NX'!$D$7=D1979,OR(LEFT(L1979,2)="15",AND(LEFT(M1979,2)&lt;&gt;"15",LEFT(M1979,2)&lt;&gt;"33"))),"x","")</f>
        <v/>
      </c>
      <c r="Y1979" s="39" t="str">
        <f>IF(AND(OR(LEFT(TH!L1979,2)="15",LEFT(TH!M1979,2)="15"),'152-CT'!$J$8=TH!F1979),"x","")</f>
        <v/>
      </c>
      <c r="Z1979" s="39" t="str">
        <f>IF(AND(OR(LEFT(TH!L1979,2)="15",LEFT(TH!M1979,2)="15"),TK!$E$7=TH!F1979),"x","")</f>
        <v/>
      </c>
      <c r="AA1979" s="39" t="str">
        <f>IF(AND(B1979&lt;=NKC!$N$8,B1979&gt;=NKC!$M$8),"x","")</f>
        <v/>
      </c>
      <c r="AB1979" s="821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103"/>
        <v/>
      </c>
      <c r="C1980" s="191"/>
      <c r="D1980" s="191"/>
      <c r="E1980" s="191"/>
      <c r="F1980" s="192"/>
      <c r="G1980" s="468"/>
      <c r="H1980" s="193"/>
      <c r="I1980" s="256"/>
      <c r="J1980" s="256"/>
      <c r="K1980" s="568"/>
      <c r="L1980" s="194"/>
      <c r="M1980" s="194"/>
      <c r="N1980" s="39" t="str">
        <f>IF(AND('331-CT'!$E$7=TH!H1980,OR(L1980="331",M1980="331")),"331",IF(AND(OR(L1980="131",M1980="131"),H1980='131-CT'!$E$7),"131",""))</f>
        <v/>
      </c>
      <c r="O1980" s="902" t="str">
        <f>IF(AND('341-CT'!$E$9=H1980,OR(LEFT(L1980,3)=$O$7,LEFT(M1980,3)=$O$7)),"x","")</f>
        <v/>
      </c>
      <c r="P1980" s="39" t="str">
        <f>IF(AND($B1980&gt;='111'!$N$11,$B1980&lt;='111'!$O$11,OR($L1980=$P$7,$M1980=$P$7)),"x","")</f>
        <v/>
      </c>
      <c r="Q1980" s="39" t="str">
        <f>IF(AND($L1980=$P$7,$B1980&lt;'111'!$N$11),"x","")</f>
        <v/>
      </c>
      <c r="R1980" s="39" t="str">
        <f>IF(AND($M1980=$P$7,$B1980&lt;'111'!$N$11),"x","")</f>
        <v/>
      </c>
      <c r="S1980" s="39" t="str">
        <f>IF(ISERROR(FIND('112'!$M$9,G1980,1)),"",IF((AND(FIND('112'!$M$9,G1980,1)&gt;=1,$B1980&gt;='112'!$N$8,$B1980&lt;='112'!$O$8,OR($L1980='112'!$I$6,$M1980='112'!$I$6))),"x",""))</f>
        <v/>
      </c>
      <c r="T1980" s="39" t="str">
        <f>IF(ISERROR(FIND('112'!$M$9,G1980,1)),"",IF((AND(LEFT(G1980,2)=LEFT('112'!$M$9,2),B1980&lt;'112'!$N$8,$L1980='112'!$I$6)),"x",""))</f>
        <v/>
      </c>
      <c r="U1980" s="39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39" t="str">
        <f>IF(OR(TH!L1980=TH!$W$7,M1980=TH!$W$7),"x","")</f>
        <v/>
      </c>
      <c r="X1980" s="39" t="str">
        <f>IF(AND(B1980&gt;='IN-NX'!$P$3,B1980&lt;='IN-NX'!$Q$3,'IN-NX'!$D$7=D1980,OR(LEFT(L1980,2)="15",AND(LEFT(M1980,2)&lt;&gt;"15",LEFT(M1980,2)&lt;&gt;"33"))),"x","")</f>
        <v/>
      </c>
      <c r="Y1980" s="39" t="str">
        <f>IF(AND(OR(LEFT(TH!L1980,2)="15",LEFT(TH!M1980,2)="15"),'152-CT'!$J$8=TH!F1980),"x","")</f>
        <v/>
      </c>
      <c r="Z1980" s="39" t="str">
        <f>IF(AND(OR(LEFT(TH!L1980,2)="15",LEFT(TH!M1980,2)="15"),TK!$E$7=TH!F1980),"x","")</f>
        <v/>
      </c>
      <c r="AA1980" s="39" t="str">
        <f>IF(AND(B1980&lt;=NKC!$N$8,B1980&gt;=NKC!$M$8),"x","")</f>
        <v/>
      </c>
      <c r="AB1980" s="821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103"/>
        <v/>
      </c>
      <c r="C1981" s="191"/>
      <c r="D1981" s="191"/>
      <c r="E1981" s="191"/>
      <c r="F1981" s="192"/>
      <c r="G1981" s="468"/>
      <c r="H1981" s="193"/>
      <c r="I1981" s="256"/>
      <c r="J1981" s="256"/>
      <c r="K1981" s="568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902" t="str">
        <f>IF(AND('341-CT'!$E$9=H1981,OR(LEFT(L1981,3)=$O$7,LEFT(M1981,3)=$O$7)),"x","")</f>
        <v/>
      </c>
      <c r="P1981" s="39" t="str">
        <f>IF(AND($B1981&gt;='111'!$N$11,$B1981&lt;='111'!$O$11,OR($L1981=$P$7,$M1981=$P$7)),"x","")</f>
        <v/>
      </c>
      <c r="Q1981" s="39" t="str">
        <f>IF(AND($L1981=$P$7,$B1981&lt;'111'!$N$11),"x","")</f>
        <v/>
      </c>
      <c r="R1981" s="39" t="str">
        <f>IF(AND($M1981=$P$7,$B1981&lt;'111'!$N$11),"x","")</f>
        <v/>
      </c>
      <c r="S1981" s="39" t="str">
        <f>IF(ISERROR(FIND('112'!$M$9,G1981,1)),"",IF((AND(FIND('112'!$M$9,G1981,1)&gt;=1,$B1981&gt;='112'!$N$8,$B1981&lt;='112'!$O$8,OR($L1981='112'!$I$6,$M1981='112'!$I$6))),"x",""))</f>
        <v/>
      </c>
      <c r="T1981" s="39" t="str">
        <f>IF(ISERROR(FIND('112'!$M$9,G1981,1)),"",IF((AND(LEFT(G1981,2)=LEFT('112'!$M$9,2),B1981&lt;'112'!$N$8,$L1981='112'!$I$6)),"x",""))</f>
        <v/>
      </c>
      <c r="U1981" s="39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39" t="str">
        <f>IF(OR(TH!L1981=TH!$W$7,M1981=TH!$W$7),"x","")</f>
        <v/>
      </c>
      <c r="X1981" s="39" t="str">
        <f>IF(AND(B1981&gt;='IN-NX'!$P$3,B1981&lt;='IN-NX'!$Q$3,'IN-NX'!$D$7=D1981,OR(LEFT(L1981,2)="15",AND(LEFT(M1981,2)&lt;&gt;"15",LEFT(M1981,2)&lt;&gt;"33"))),"x","")</f>
        <v/>
      </c>
      <c r="Y1981" s="39" t="str">
        <f>IF(AND(OR(LEFT(TH!L1981,2)="15",LEFT(TH!M1981,2)="15"),'152-CT'!$J$8=TH!F1981),"x","")</f>
        <v/>
      </c>
      <c r="Z1981" s="39" t="str">
        <f>IF(AND(OR(LEFT(TH!L1981,2)="15",LEFT(TH!M1981,2)="15"),TK!$E$7=TH!F1981),"x","")</f>
        <v/>
      </c>
      <c r="AA1981" s="39" t="str">
        <f>IF(AND(B1981&lt;=NKC!$N$8,B1981&gt;=NKC!$M$8),"x","")</f>
        <v/>
      </c>
      <c r="AB1981" s="821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103"/>
        <v/>
      </c>
      <c r="C1982" s="191"/>
      <c r="D1982" s="191"/>
      <c r="E1982" s="191"/>
      <c r="F1982" s="192"/>
      <c r="G1982" s="468"/>
      <c r="H1982" s="193"/>
      <c r="I1982" s="256"/>
      <c r="J1982" s="256"/>
      <c r="K1982" s="568"/>
      <c r="L1982" s="194"/>
      <c r="M1982" s="194"/>
      <c r="N1982" s="39" t="str">
        <f>IF(AND('331-CT'!$E$7=TH!H1982,OR(L1982="331",M1982="331")),"331",IF(AND(OR(L1982="131",M1982="131"),H1982='131-CT'!$E$7),"131",""))</f>
        <v/>
      </c>
      <c r="O1982" s="902" t="str">
        <f>IF(AND('341-CT'!$E$9=H1982,OR(LEFT(L1982,3)=$O$7,LEFT(M1982,3)=$O$7)),"x","")</f>
        <v/>
      </c>
      <c r="P1982" s="39" t="str">
        <f>IF(AND($B1982&gt;='111'!$N$11,$B1982&lt;='111'!$O$11,OR($L1982=$P$7,$M1982=$P$7)),"x","")</f>
        <v/>
      </c>
      <c r="Q1982" s="39" t="str">
        <f>IF(AND($L1982=$P$7,$B1982&lt;'111'!$N$11),"x","")</f>
        <v/>
      </c>
      <c r="R1982" s="39" t="str">
        <f>IF(AND($M1982=$P$7,$B1982&lt;'111'!$N$11),"x","")</f>
        <v/>
      </c>
      <c r="S1982" s="39" t="str">
        <f>IF(ISERROR(FIND('112'!$M$9,G1982,1)),"",IF((AND(FIND('112'!$M$9,G1982,1)&gt;=1,$B1982&gt;='112'!$N$8,$B1982&lt;='112'!$O$8,OR($L1982='112'!$I$6,$M1982='112'!$I$6))),"x",""))</f>
        <v/>
      </c>
      <c r="T1982" s="39" t="str">
        <f>IF(ISERROR(FIND('112'!$M$9,G1982,1)),"",IF((AND(LEFT(G1982,2)=LEFT('112'!$M$9,2),B1982&lt;'112'!$N$8,$L1982='112'!$I$6)),"x",""))</f>
        <v/>
      </c>
      <c r="U1982" s="39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39" t="str">
        <f>IF(OR(TH!L1982=TH!$W$7,M1982=TH!$W$7),"x","")</f>
        <v/>
      </c>
      <c r="X1982" s="39" t="str">
        <f>IF(AND(B1982&gt;='IN-NX'!$P$3,B1982&lt;='IN-NX'!$Q$3,'IN-NX'!$D$7=D1982,OR(LEFT(L1982,2)="15",AND(LEFT(M1982,2)&lt;&gt;"15",LEFT(M1982,2)&lt;&gt;"33"))),"x","")</f>
        <v/>
      </c>
      <c r="Y1982" s="39" t="str">
        <f>IF(AND(OR(LEFT(TH!L1982,2)="15",LEFT(TH!M1982,2)="15"),'152-CT'!$J$8=TH!F1982),"x","")</f>
        <v/>
      </c>
      <c r="Z1982" s="39" t="str">
        <f>IF(AND(OR(LEFT(TH!L1982,2)="15",LEFT(TH!M1982,2)="15"),TK!$E$7=TH!F1982),"x","")</f>
        <v/>
      </c>
      <c r="AA1982" s="39" t="str">
        <f>IF(AND(B1982&lt;=NKC!$N$8,B1982&gt;=NKC!$M$8),"x","")</f>
        <v/>
      </c>
      <c r="AB1982" s="821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103"/>
        <v/>
      </c>
      <c r="C1983" s="191"/>
      <c r="D1983" s="191"/>
      <c r="E1983" s="191"/>
      <c r="F1983" s="192"/>
      <c r="G1983" s="468"/>
      <c r="H1983" s="193"/>
      <c r="I1983" s="256"/>
      <c r="J1983" s="256"/>
      <c r="K1983" s="568"/>
      <c r="L1983" s="194"/>
      <c r="M1983" s="194"/>
      <c r="N1983" s="39" t="str">
        <f>IF(AND('331-CT'!$E$7=TH!H1983,OR(L1983="331",M1983="331")),"331",IF(AND(OR(L1983="131",M1983="131"),H1983='131-CT'!$E$7),"131",""))</f>
        <v/>
      </c>
      <c r="O1983" s="902" t="str">
        <f>IF(AND('341-CT'!$E$9=H1983,OR(LEFT(L1983,3)=$O$7,LEFT(M1983,3)=$O$7)),"x","")</f>
        <v/>
      </c>
      <c r="P1983" s="39" t="str">
        <f>IF(AND($B1983&gt;='111'!$N$11,$B1983&lt;='111'!$O$11,OR($L1983=$P$7,$M1983=$P$7)),"x","")</f>
        <v/>
      </c>
      <c r="Q1983" s="39" t="str">
        <f>IF(AND($L1983=$P$7,$B1983&lt;'111'!$N$11),"x","")</f>
        <v/>
      </c>
      <c r="R1983" s="39" t="str">
        <f>IF(AND($M1983=$P$7,$B1983&lt;'111'!$N$11),"x","")</f>
        <v/>
      </c>
      <c r="S1983" s="39" t="str">
        <f>IF(ISERROR(FIND('112'!$M$9,G1983,1)),"",IF((AND(FIND('112'!$M$9,G1983,1)&gt;=1,$B1983&gt;='112'!$N$8,$B1983&lt;='112'!$O$8,OR($L1983='112'!$I$6,$M1983='112'!$I$6))),"x",""))</f>
        <v/>
      </c>
      <c r="T1983" s="39" t="str">
        <f>IF(ISERROR(FIND('112'!$M$9,G1983,1)),"",IF((AND(LEFT(G1983,2)=LEFT('112'!$M$9,2),B1983&lt;'112'!$N$8,$L1983='112'!$I$6)),"x",""))</f>
        <v/>
      </c>
      <c r="U1983" s="39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39" t="str">
        <f>IF(OR(TH!L1983=TH!$W$7,M1983=TH!$W$7),"x","")</f>
        <v/>
      </c>
      <c r="X1983" s="39" t="str">
        <f>IF(AND(B1983&gt;='IN-NX'!$P$3,B1983&lt;='IN-NX'!$Q$3,'IN-NX'!$D$7=D1983,OR(LEFT(L1983,2)="15",AND(LEFT(M1983,2)&lt;&gt;"15",LEFT(M1983,2)&lt;&gt;"33"))),"x","")</f>
        <v/>
      </c>
      <c r="Y1983" s="39" t="str">
        <f>IF(AND(OR(LEFT(TH!L1983,2)="15",LEFT(TH!M1983,2)="15"),'152-CT'!$J$8=TH!F1983),"x","")</f>
        <v/>
      </c>
      <c r="Z1983" s="39" t="str">
        <f>IF(AND(OR(LEFT(TH!L1983,2)="15",LEFT(TH!M1983,2)="15"),TK!$E$7=TH!F1983),"x","")</f>
        <v/>
      </c>
      <c r="AA1983" s="39" t="str">
        <f>IF(AND(B1983&lt;=NKC!$N$8,B1983&gt;=NKC!$M$8),"x","")</f>
        <v/>
      </c>
      <c r="AB1983" s="821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103"/>
        <v/>
      </c>
      <c r="C1984" s="191"/>
      <c r="D1984" s="191"/>
      <c r="E1984" s="191"/>
      <c r="F1984" s="192"/>
      <c r="G1984" s="468"/>
      <c r="H1984" s="193"/>
      <c r="I1984" s="256"/>
      <c r="J1984" s="256"/>
      <c r="K1984" s="568"/>
      <c r="L1984" s="194"/>
      <c r="M1984" s="194"/>
      <c r="N1984" s="39" t="str">
        <f>IF(AND('331-CT'!$E$7=TH!H1984,OR(L1984="331",M1984="331")),"331",IF(AND(OR(L1984="131",M1984="131"),H1984='131-CT'!$E$7),"131",""))</f>
        <v/>
      </c>
      <c r="O1984" s="902" t="str">
        <f>IF(AND('341-CT'!$E$9=H1984,OR(LEFT(L1984,3)=$O$7,LEFT(M1984,3)=$O$7)),"x","")</f>
        <v/>
      </c>
      <c r="P1984" s="39" t="str">
        <f>IF(AND($B1984&gt;='111'!$N$11,$B1984&lt;='111'!$O$11,OR($L1984=$P$7,$M1984=$P$7)),"x","")</f>
        <v/>
      </c>
      <c r="Q1984" s="39" t="str">
        <f>IF(AND($L1984=$P$7,$B1984&lt;'111'!$N$11),"x","")</f>
        <v/>
      </c>
      <c r="R1984" s="39" t="str">
        <f>IF(AND($M1984=$P$7,$B1984&lt;'111'!$N$11),"x","")</f>
        <v/>
      </c>
      <c r="S1984" s="39" t="str">
        <f>IF(ISERROR(FIND('112'!$M$9,G1984,1)),"",IF((AND(FIND('112'!$M$9,G1984,1)&gt;=1,$B1984&gt;='112'!$N$8,$B1984&lt;='112'!$O$8,OR($L1984='112'!$I$6,$M1984='112'!$I$6))),"x",""))</f>
        <v/>
      </c>
      <c r="T1984" s="39" t="str">
        <f>IF(ISERROR(FIND('112'!$M$9,G1984,1)),"",IF((AND(LEFT(G1984,2)=LEFT('112'!$M$9,2),B1984&lt;'112'!$N$8,$L1984='112'!$I$6)),"x",""))</f>
        <v/>
      </c>
      <c r="U1984" s="39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39" t="str">
        <f>IF(OR(TH!L1984=TH!$W$7,M1984=TH!$W$7),"x","")</f>
        <v/>
      </c>
      <c r="X1984" s="39" t="str">
        <f>IF(AND(B1984&gt;='IN-NX'!$P$3,B1984&lt;='IN-NX'!$Q$3,'IN-NX'!$D$7=D1984,OR(LEFT(L1984,2)="15",AND(LEFT(M1984,2)&lt;&gt;"15",LEFT(M1984,2)&lt;&gt;"33"))),"x","")</f>
        <v/>
      </c>
      <c r="Y1984" s="39" t="str">
        <f>IF(AND(OR(LEFT(TH!L1984,2)="15",LEFT(TH!M1984,2)="15"),'152-CT'!$J$8=TH!F1984),"x","")</f>
        <v/>
      </c>
      <c r="Z1984" s="39" t="str">
        <f>IF(AND(OR(LEFT(TH!L1984,2)="15",LEFT(TH!M1984,2)="15"),TK!$E$7=TH!F1984),"x","")</f>
        <v/>
      </c>
      <c r="AA1984" s="39" t="str">
        <f>IF(AND(B1984&lt;=NKC!$N$8,B1984&gt;=NKC!$M$8),"x","")</f>
        <v/>
      </c>
      <c r="AB1984" s="821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103"/>
        <v/>
      </c>
      <c r="C1985" s="191"/>
      <c r="D1985" s="191"/>
      <c r="E1985" s="191"/>
      <c r="F1985" s="192"/>
      <c r="G1985" s="468"/>
      <c r="H1985" s="193"/>
      <c r="I1985" s="256"/>
      <c r="J1985" s="256"/>
      <c r="K1985" s="568"/>
      <c r="L1985" s="194"/>
      <c r="M1985" s="194"/>
      <c r="N1985" s="39" t="str">
        <f>IF(AND('331-CT'!$E$7=TH!H1985,OR(L1985="331",M1985="331")),"331",IF(AND(OR(L1985="131",M1985="131"),H1985='131-CT'!$E$7),"131",""))</f>
        <v/>
      </c>
      <c r="O1985" s="902" t="str">
        <f>IF(AND('341-CT'!$E$9=H1985,OR(LEFT(L1985,3)=$O$7,LEFT(M1985,3)=$O$7)),"x","")</f>
        <v/>
      </c>
      <c r="P1985" s="39" t="str">
        <f>IF(AND($B1985&gt;='111'!$N$11,$B1985&lt;='111'!$O$11,OR($L1985=$P$7,$M1985=$P$7)),"x","")</f>
        <v/>
      </c>
      <c r="Q1985" s="39" t="str">
        <f>IF(AND($L1985=$P$7,$B1985&lt;'111'!$N$11),"x","")</f>
        <v/>
      </c>
      <c r="R1985" s="39" t="str">
        <f>IF(AND($M1985=$P$7,$B1985&lt;'111'!$N$11),"x","")</f>
        <v/>
      </c>
      <c r="S1985" s="39" t="str">
        <f>IF(ISERROR(FIND('112'!$M$9,G1985,1)),"",IF((AND(FIND('112'!$M$9,G1985,1)&gt;=1,$B1985&gt;='112'!$N$8,$B1985&lt;='112'!$O$8,OR($L1985='112'!$I$6,$M1985='112'!$I$6))),"x",""))</f>
        <v/>
      </c>
      <c r="T1985" s="39" t="str">
        <f>IF(ISERROR(FIND('112'!$M$9,G1985,1)),"",IF((AND(LEFT(G1985,2)=LEFT('112'!$M$9,2),B1985&lt;'112'!$N$8,$L1985='112'!$I$6)),"x",""))</f>
        <v/>
      </c>
      <c r="U1985" s="39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39" t="str">
        <f>IF(OR(TH!L1985=TH!$W$7,M1985=TH!$W$7),"x","")</f>
        <v/>
      </c>
      <c r="X1985" s="39" t="str">
        <f>IF(AND(B1985&gt;='IN-NX'!$P$3,B1985&lt;='IN-NX'!$Q$3,'IN-NX'!$D$7=D1985,OR(LEFT(L1985,2)="15",AND(LEFT(M1985,2)&lt;&gt;"15",LEFT(M1985,2)&lt;&gt;"33"))),"x","")</f>
        <v/>
      </c>
      <c r="Y1985" s="39" t="str">
        <f>IF(AND(OR(LEFT(TH!L1985,2)="15",LEFT(TH!M1985,2)="15"),'152-CT'!$J$8=TH!F1985),"x","")</f>
        <v/>
      </c>
      <c r="Z1985" s="39" t="str">
        <f>IF(AND(OR(LEFT(TH!L1985,2)="15",LEFT(TH!M1985,2)="15"),TK!$E$7=TH!F1985),"x","")</f>
        <v/>
      </c>
      <c r="AA1985" s="39" t="str">
        <f>IF(AND(B1985&lt;=NKC!$N$8,B1985&gt;=NKC!$M$8),"x","")</f>
        <v/>
      </c>
      <c r="AB1985" s="821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103"/>
        <v/>
      </c>
      <c r="C1986" s="191"/>
      <c r="D1986" s="191"/>
      <c r="E1986" s="191"/>
      <c r="F1986" s="192"/>
      <c r="G1986" s="468"/>
      <c r="H1986" s="193"/>
      <c r="I1986" s="256"/>
      <c r="J1986" s="256"/>
      <c r="K1986" s="568"/>
      <c r="L1986" s="194"/>
      <c r="M1986" s="194"/>
      <c r="N1986" s="39" t="str">
        <f>IF(AND('331-CT'!$E$7=TH!H1986,OR(L1986="331",M1986="331")),"331",IF(AND(OR(L1986="131",M1986="131"),H1986='131-CT'!$E$7),"131",""))</f>
        <v/>
      </c>
      <c r="O1986" s="902" t="str">
        <f>IF(AND('341-CT'!$E$9=H1986,OR(LEFT(L1986,3)=$O$7,LEFT(M1986,3)=$O$7)),"x","")</f>
        <v/>
      </c>
      <c r="P1986" s="39" t="str">
        <f>IF(AND($B1986&gt;='111'!$N$11,$B1986&lt;='111'!$O$11,OR($L1986=$P$7,$M1986=$P$7)),"x","")</f>
        <v/>
      </c>
      <c r="Q1986" s="39" t="str">
        <f>IF(AND($L1986=$P$7,$B1986&lt;'111'!$N$11),"x","")</f>
        <v/>
      </c>
      <c r="R1986" s="39" t="str">
        <f>IF(AND($M1986=$P$7,$B1986&lt;'111'!$N$11),"x","")</f>
        <v/>
      </c>
      <c r="S1986" s="39" t="str">
        <f>IF(ISERROR(FIND('112'!$M$9,G1986,1)),"",IF((AND(FIND('112'!$M$9,G1986,1)&gt;=1,$B1986&gt;='112'!$N$8,$B1986&lt;='112'!$O$8,OR($L1986='112'!$I$6,$M1986='112'!$I$6))),"x",""))</f>
        <v/>
      </c>
      <c r="T1986" s="39" t="str">
        <f>IF(ISERROR(FIND('112'!$M$9,G1986,1)),"",IF((AND(LEFT(G1986,2)=LEFT('112'!$M$9,2),B1986&lt;'112'!$N$8,$L1986='112'!$I$6)),"x",""))</f>
        <v/>
      </c>
      <c r="U1986" s="39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39" t="str">
        <f>IF(OR(TH!L1986=TH!$W$7,M1986=TH!$W$7),"x","")</f>
        <v/>
      </c>
      <c r="X1986" s="39" t="str">
        <f>IF(AND(B1986&gt;='IN-NX'!$P$3,B1986&lt;='IN-NX'!$Q$3,'IN-NX'!$D$7=D1986,OR(LEFT(L1986,2)="15",AND(LEFT(M1986,2)&lt;&gt;"15",LEFT(M1986,2)&lt;&gt;"33"))),"x","")</f>
        <v/>
      </c>
      <c r="Y1986" s="39" t="str">
        <f>IF(AND(OR(LEFT(TH!L1986,2)="15",LEFT(TH!M1986,2)="15"),'152-CT'!$J$8=TH!F1986),"x","")</f>
        <v/>
      </c>
      <c r="Z1986" s="39" t="str">
        <f>IF(AND(OR(LEFT(TH!L1986,2)="15",LEFT(TH!M1986,2)="15"),TK!$E$7=TH!F1986),"x","")</f>
        <v/>
      </c>
      <c r="AA1986" s="39" t="str">
        <f>IF(AND(B1986&lt;=NKC!$N$8,B1986&gt;=NKC!$M$8),"x","")</f>
        <v/>
      </c>
      <c r="AB1986" s="821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103"/>
        <v/>
      </c>
      <c r="C1987" s="191"/>
      <c r="D1987" s="37"/>
      <c r="E1987" s="731"/>
      <c r="F1987" s="443"/>
      <c r="G1987" s="40"/>
      <c r="H1987" s="7"/>
      <c r="I1987" s="256"/>
      <c r="J1987" s="256"/>
      <c r="K1987" s="568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902" t="str">
        <f>IF(AND('341-CT'!$E$9=H1987,OR(LEFT(L1987,3)=$O$7,LEFT(M1987,3)=$O$7)),"x","")</f>
        <v/>
      </c>
      <c r="P1987" s="39" t="str">
        <f>IF(AND($B1987&gt;='111'!$N$11,$B1987&lt;='111'!$O$11,OR($L1987=$P$7,$M1987=$P$7)),"x","")</f>
        <v/>
      </c>
      <c r="Q1987" s="39" t="str">
        <f>IF(AND($L1987=$P$7,$B1987&lt;'111'!$N$11),"x","")</f>
        <v/>
      </c>
      <c r="R1987" s="39" t="str">
        <f>IF(AND($M1987=$P$7,$B1987&lt;'111'!$N$11),"x","")</f>
        <v/>
      </c>
      <c r="S1987" s="39" t="str">
        <f>IF(ISERROR(FIND('112'!$M$9,G1987,1)),"",IF((AND(FIND('112'!$M$9,G1987,1)&gt;=1,$B1987&gt;='112'!$N$8,$B1987&lt;='112'!$O$8,OR($L1987='112'!$I$6,$M1987='112'!$I$6))),"x",""))</f>
        <v/>
      </c>
      <c r="T1987" s="39" t="str">
        <f>IF(ISERROR(FIND('112'!$M$9,G1987,1)),"",IF((AND(LEFT(G1987,2)=LEFT('112'!$M$9,2),B1987&lt;'112'!$N$8,$L1987='112'!$I$6)),"x",""))</f>
        <v/>
      </c>
      <c r="U1987" s="39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39" t="str">
        <f>IF(OR(TH!L1987=TH!$W$7,M1987=TH!$W$7),"x","")</f>
        <v/>
      </c>
      <c r="X1987" s="39" t="str">
        <f>IF(AND(B1987&gt;='IN-NX'!$P$3,B1987&lt;='IN-NX'!$Q$3,'IN-NX'!$D$7=D1987,OR(LEFT(L1987,2)="15",AND(LEFT(M1987,2)&lt;&gt;"15",LEFT(M1987,2)&lt;&gt;"33"))),"x","")</f>
        <v/>
      </c>
      <c r="Y1987" s="39" t="str">
        <f>IF(AND(OR(LEFT(TH!L1987,2)="15",LEFT(TH!M1987,2)="15"),'152-CT'!$J$8=TH!F1987),"x","")</f>
        <v/>
      </c>
      <c r="Z1987" s="39" t="str">
        <f>IF(AND(OR(LEFT(TH!L1987,2)="15",LEFT(TH!M1987,2)="15"),TK!$E$7=TH!F1987),"x","")</f>
        <v/>
      </c>
      <c r="AA1987" s="39" t="str">
        <f>IF(AND(B1987&lt;=NKC!$N$8,B1987&gt;=NKC!$M$8),"x","")</f>
        <v/>
      </c>
      <c r="AB1987" s="821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103"/>
        <v/>
      </c>
      <c r="C1988" s="191"/>
      <c r="D1988" s="37"/>
      <c r="E1988" s="731"/>
      <c r="F1988" s="40"/>
      <c r="G1988" s="40"/>
      <c r="H1988" s="7"/>
      <c r="I1988" s="256"/>
      <c r="J1988" s="256"/>
      <c r="K1988" s="56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902" t="str">
        <f>IF(AND('341-CT'!$E$9=H1988,OR(LEFT(L1988,3)=$O$7,LEFT(M1988,3)=$O$7)),"x","")</f>
        <v/>
      </c>
      <c r="P1988" s="39" t="str">
        <f>IF(AND($B1988&gt;='111'!$N$11,$B1988&lt;='111'!$O$11,OR($L1988=$P$7,$M1988=$P$7)),"x","")</f>
        <v/>
      </c>
      <c r="Q1988" s="39" t="str">
        <f>IF(AND($L1988=$P$7,$B1988&lt;'111'!$N$11),"x","")</f>
        <v/>
      </c>
      <c r="R1988" s="39" t="str">
        <f>IF(AND($M1988=$P$7,$B1988&lt;'111'!$N$11),"x","")</f>
        <v/>
      </c>
      <c r="S1988" s="39" t="str">
        <f>IF(ISERROR(FIND('112'!$M$9,G1988,1)),"",IF((AND(FIND('112'!$M$9,G1988,1)&gt;=1,$B1988&gt;='112'!$N$8,$B1988&lt;='112'!$O$8,OR($L1988='112'!$I$6,$M1988='112'!$I$6))),"x",""))</f>
        <v/>
      </c>
      <c r="T1988" s="39" t="str">
        <f>IF(ISERROR(FIND('112'!$M$9,G1988,1)),"",IF((AND(LEFT(G1988,2)=LEFT('112'!$M$9,2),B1988&lt;'112'!$N$8,$L1988='112'!$I$6)),"x",""))</f>
        <v/>
      </c>
      <c r="U1988" s="39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39" t="str">
        <f>IF(OR(TH!L1988=TH!$W$7,M1988=TH!$W$7),"x","")</f>
        <v/>
      </c>
      <c r="X1988" s="39" t="str">
        <f>IF(AND(B1988&gt;='IN-NX'!$P$3,B1988&lt;='IN-NX'!$Q$3,'IN-NX'!$D$7=D1988,OR(LEFT(L1988,2)="15",AND(LEFT(M1988,2)&lt;&gt;"15",LEFT(M1988,2)&lt;&gt;"33"))),"x","")</f>
        <v/>
      </c>
      <c r="Y1988" s="39" t="str">
        <f>IF(AND(OR(LEFT(TH!L1988,2)="15",LEFT(TH!M1988,2)="15"),'152-CT'!$J$8=TH!F1988),"x","")</f>
        <v/>
      </c>
      <c r="Z1988" s="39" t="str">
        <f>IF(AND(OR(LEFT(TH!L1988,2)="15",LEFT(TH!M1988,2)="15"),TK!$E$7=TH!F1988),"x","")</f>
        <v/>
      </c>
      <c r="AA1988" s="39" t="str">
        <f>IF(AND(B1988&lt;=NKC!$N$8,B1988&gt;=NKC!$M$8),"x","")</f>
        <v/>
      </c>
      <c r="AB1988" s="821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103"/>
        <v/>
      </c>
      <c r="C1989" s="191"/>
      <c r="D1989" s="37"/>
      <c r="E1989" s="731"/>
      <c r="F1989" s="40"/>
      <c r="G1989" s="40"/>
      <c r="H1989" s="7"/>
      <c r="I1989" s="256"/>
      <c r="J1989" s="256"/>
      <c r="K1989" s="56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902" t="str">
        <f>IF(AND('341-CT'!$E$9=H1989,OR(LEFT(L1989,3)=$O$7,LEFT(M1989,3)=$O$7)),"x","")</f>
        <v/>
      </c>
      <c r="P1989" s="39" t="str">
        <f>IF(AND($B1989&gt;='111'!$N$11,$B1989&lt;='111'!$O$11,OR($L1989=$P$7,$M1989=$P$7)),"x","")</f>
        <v/>
      </c>
      <c r="Q1989" s="39" t="str">
        <f>IF(AND($L1989=$P$7,$B1989&lt;'111'!$N$11),"x","")</f>
        <v/>
      </c>
      <c r="R1989" s="39" t="str">
        <f>IF(AND($M1989=$P$7,$B1989&lt;'111'!$N$11),"x","")</f>
        <v/>
      </c>
      <c r="S1989" s="39" t="str">
        <f>IF(ISERROR(FIND('112'!$M$9,G1989,1)),"",IF((AND(FIND('112'!$M$9,G1989,1)&gt;=1,$B1989&gt;='112'!$N$8,$B1989&lt;='112'!$O$8,OR($L1989='112'!$I$6,$M1989='112'!$I$6))),"x",""))</f>
        <v/>
      </c>
      <c r="T1989" s="39" t="str">
        <f>IF(ISERROR(FIND('112'!$M$9,G1989,1)),"",IF((AND(LEFT(G1989,2)=LEFT('112'!$M$9,2),B1989&lt;'112'!$N$8,$L1989='112'!$I$6)),"x",""))</f>
        <v/>
      </c>
      <c r="U1989" s="39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39" t="str">
        <f>IF(OR(TH!L1989=TH!$W$7,M1989=TH!$W$7),"x","")</f>
        <v/>
      </c>
      <c r="X1989" s="39" t="str">
        <f>IF(AND(B1989&gt;='IN-NX'!$P$3,B1989&lt;='IN-NX'!$Q$3,'IN-NX'!$D$7=D1989,OR(LEFT(L1989,2)="15",AND(LEFT(M1989,2)&lt;&gt;"15",LEFT(M1989,2)&lt;&gt;"33"))),"x","")</f>
        <v/>
      </c>
      <c r="Y1989" s="39" t="str">
        <f>IF(AND(OR(LEFT(TH!L1989,2)="15",LEFT(TH!M1989,2)="15"),'152-CT'!$J$8=TH!F1989),"x","")</f>
        <v/>
      </c>
      <c r="Z1989" s="39" t="str">
        <f>IF(AND(OR(LEFT(TH!L1989,2)="15",LEFT(TH!M1989,2)="15"),TK!$E$7=TH!F1989),"x","")</f>
        <v/>
      </c>
      <c r="AA1989" s="39" t="str">
        <f>IF(AND(B1989&lt;=NKC!$N$8,B1989&gt;=NKC!$M$8),"x","")</f>
        <v/>
      </c>
      <c r="AB1989" s="821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103"/>
        <v/>
      </c>
      <c r="C1990" s="191"/>
      <c r="D1990" s="37"/>
      <c r="E1990" s="731"/>
      <c r="F1990" s="40"/>
      <c r="G1990" s="40"/>
      <c r="H1990" s="7"/>
      <c r="I1990" s="256"/>
      <c r="J1990" s="256"/>
      <c r="K1990" s="56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902" t="str">
        <f>IF(AND('341-CT'!$E$9=H1990,OR(LEFT(L1990,3)=$O$7,LEFT(M1990,3)=$O$7)),"x","")</f>
        <v/>
      </c>
      <c r="P1990" s="39" t="str">
        <f>IF(AND($B1990&gt;='111'!$N$11,$B1990&lt;='111'!$O$11,OR($L1990=$P$7,$M1990=$P$7)),"x","")</f>
        <v/>
      </c>
      <c r="Q1990" s="39" t="str">
        <f>IF(AND($L1990=$P$7,$B1990&lt;'111'!$N$11),"x","")</f>
        <v/>
      </c>
      <c r="R1990" s="39" t="str">
        <f>IF(AND($M1990=$P$7,$B1990&lt;'111'!$N$11),"x","")</f>
        <v/>
      </c>
      <c r="S1990" s="39" t="str">
        <f>IF(ISERROR(FIND('112'!$M$9,G1990,1)),"",IF((AND(FIND('112'!$M$9,G1990,1)&gt;=1,$B1990&gt;='112'!$N$8,$B1990&lt;='112'!$O$8,OR($L1990='112'!$I$6,$M1990='112'!$I$6))),"x",""))</f>
        <v/>
      </c>
      <c r="T1990" s="39" t="str">
        <f>IF(ISERROR(FIND('112'!$M$9,G1990,1)),"",IF((AND(LEFT(G1990,2)=LEFT('112'!$M$9,2),B1990&lt;'112'!$N$8,$L1990='112'!$I$6)),"x",""))</f>
        <v/>
      </c>
      <c r="U1990" s="39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39" t="str">
        <f>IF(OR(TH!L1990=TH!$W$7,M1990=TH!$W$7),"x","")</f>
        <v/>
      </c>
      <c r="X1990" s="39" t="str">
        <f>IF(AND(B1990&gt;='IN-NX'!$P$3,B1990&lt;='IN-NX'!$Q$3,'IN-NX'!$D$7=D1990,OR(LEFT(L1990,2)="15",AND(LEFT(M1990,2)&lt;&gt;"15",LEFT(M1990,2)&lt;&gt;"33"))),"x","")</f>
        <v/>
      </c>
      <c r="Y1990" s="39" t="str">
        <f>IF(AND(OR(LEFT(TH!L1990,2)="15",LEFT(TH!M1990,2)="15"),'152-CT'!$J$8=TH!F1990),"x","")</f>
        <v/>
      </c>
      <c r="Z1990" s="39" t="str">
        <f>IF(AND(OR(LEFT(TH!L1990,2)="15",LEFT(TH!M1990,2)="15"),TK!$E$7=TH!F1990),"x","")</f>
        <v/>
      </c>
      <c r="AA1990" s="39" t="str">
        <f>IF(AND(B1990&lt;=NKC!$N$8,B1990&gt;=NKC!$M$8),"x","")</f>
        <v/>
      </c>
      <c r="AB1990" s="821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103"/>
        <v/>
      </c>
      <c r="C1991" s="191"/>
      <c r="D1991" s="37"/>
      <c r="E1991" s="731"/>
      <c r="F1991" s="40"/>
      <c r="G1991" s="40"/>
      <c r="H1991" s="7"/>
      <c r="I1991" s="256"/>
      <c r="J1991" s="256"/>
      <c r="K1991" s="56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902" t="str">
        <f>IF(AND('341-CT'!$E$9=H1991,OR(LEFT(L1991,3)=$O$7,LEFT(M1991,3)=$O$7)),"x","")</f>
        <v/>
      </c>
      <c r="P1991" s="39" t="str">
        <f>IF(AND($B1991&gt;='111'!$N$11,$B1991&lt;='111'!$O$11,OR($L1991=$P$7,$M1991=$P$7)),"x","")</f>
        <v/>
      </c>
      <c r="Q1991" s="39" t="str">
        <f>IF(AND($L1991=$P$7,$B1991&lt;'111'!$N$11),"x","")</f>
        <v/>
      </c>
      <c r="R1991" s="39" t="str">
        <f>IF(AND($M1991=$P$7,$B1991&lt;'111'!$N$11),"x","")</f>
        <v/>
      </c>
      <c r="S1991" s="39" t="str">
        <f>IF(ISERROR(FIND('112'!$M$9,G1991,1)),"",IF((AND(FIND('112'!$M$9,G1991,1)&gt;=1,$B1991&gt;='112'!$N$8,$B1991&lt;='112'!$O$8,OR($L1991='112'!$I$6,$M1991='112'!$I$6))),"x",""))</f>
        <v/>
      </c>
      <c r="T1991" s="39" t="str">
        <f>IF(ISERROR(FIND('112'!$M$9,G1991,1)),"",IF((AND(LEFT(G1991,2)=LEFT('112'!$M$9,2),B1991&lt;'112'!$N$8,$L1991='112'!$I$6)),"x",""))</f>
        <v/>
      </c>
      <c r="U1991" s="39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39" t="str">
        <f>IF(OR(TH!L1991=TH!$W$7,M1991=TH!$W$7),"x","")</f>
        <v/>
      </c>
      <c r="X1991" s="39" t="str">
        <f>IF(AND(B1991&gt;='IN-NX'!$P$3,B1991&lt;='IN-NX'!$Q$3,'IN-NX'!$D$7=D1991,OR(LEFT(L1991,2)="15",AND(LEFT(M1991,2)&lt;&gt;"15",LEFT(M1991,2)&lt;&gt;"33"))),"x","")</f>
        <v/>
      </c>
      <c r="Y1991" s="39" t="str">
        <f>IF(AND(OR(LEFT(TH!L1991,2)="15",LEFT(TH!M1991,2)="15"),'152-CT'!$J$8=TH!F1991),"x","")</f>
        <v/>
      </c>
      <c r="Z1991" s="39" t="str">
        <f>IF(AND(OR(LEFT(TH!L1991,2)="15",LEFT(TH!M1991,2)="15"),TK!$E$7=TH!F1991),"x","")</f>
        <v/>
      </c>
      <c r="AA1991" s="39" t="str">
        <f>IF(AND(B1991&lt;=NKC!$N$8,B1991&gt;=NKC!$M$8),"x","")</f>
        <v/>
      </c>
      <c r="AB1991" s="821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103"/>
        <v/>
      </c>
      <c r="C1992" s="191"/>
      <c r="D1992" s="37"/>
      <c r="E1992" s="731"/>
      <c r="F1992" s="40"/>
      <c r="G1992" s="40"/>
      <c r="H1992" s="7"/>
      <c r="I1992" s="256"/>
      <c r="J1992" s="256"/>
      <c r="K1992" s="56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902" t="str">
        <f>IF(AND('341-CT'!$E$9=H1992,OR(LEFT(L1992,3)=$O$7,LEFT(M1992,3)=$O$7)),"x","")</f>
        <v/>
      </c>
      <c r="P1992" s="39" t="str">
        <f>IF(AND($B1992&gt;='111'!$N$11,$B1992&lt;='111'!$O$11,OR($L1992=$P$7,$M1992=$P$7)),"x","")</f>
        <v/>
      </c>
      <c r="Q1992" s="39" t="str">
        <f>IF(AND($L1992=$P$7,$B1992&lt;'111'!$N$11),"x","")</f>
        <v/>
      </c>
      <c r="R1992" s="39" t="str">
        <f>IF(AND($M1992=$P$7,$B1992&lt;'111'!$N$11),"x","")</f>
        <v/>
      </c>
      <c r="S1992" s="39" t="str">
        <f>IF(ISERROR(FIND('112'!$M$9,G1992,1)),"",IF((AND(FIND('112'!$M$9,G1992,1)&gt;=1,$B1992&gt;='112'!$N$8,$B1992&lt;='112'!$O$8,OR($L1992='112'!$I$6,$M1992='112'!$I$6))),"x",""))</f>
        <v/>
      </c>
      <c r="T1992" s="39" t="str">
        <f>IF(ISERROR(FIND('112'!$M$9,G1992,1)),"",IF((AND(LEFT(G1992,2)=LEFT('112'!$M$9,2),B1992&lt;'112'!$N$8,$L1992='112'!$I$6)),"x",""))</f>
        <v/>
      </c>
      <c r="U1992" s="39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39" t="str">
        <f>IF(OR(TH!L1992=TH!$W$7,M1992=TH!$W$7),"x","")</f>
        <v/>
      </c>
      <c r="X1992" s="39" t="str">
        <f>IF(AND(B1992&gt;='IN-NX'!$P$3,B1992&lt;='IN-NX'!$Q$3,'IN-NX'!$D$7=D1992,OR(LEFT(L1992,2)="15",AND(LEFT(M1992,2)&lt;&gt;"15",LEFT(M1992,2)&lt;&gt;"33"))),"x","")</f>
        <v/>
      </c>
      <c r="Y1992" s="39" t="str">
        <f>IF(AND(OR(LEFT(TH!L1992,2)="15",LEFT(TH!M1992,2)="15"),'152-CT'!$J$8=TH!F1992),"x","")</f>
        <v/>
      </c>
      <c r="Z1992" s="39" t="str">
        <f>IF(AND(OR(LEFT(TH!L1992,2)="15",LEFT(TH!M1992,2)="15"),TK!$E$7=TH!F1992),"x","")</f>
        <v/>
      </c>
      <c r="AA1992" s="39" t="str">
        <f>IF(AND(B1992&lt;=NKC!$N$8,B1992&gt;=NKC!$M$8),"x","")</f>
        <v/>
      </c>
      <c r="AB1992" s="821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103"/>
        <v/>
      </c>
      <c r="C1993" s="191"/>
      <c r="D1993" s="37"/>
      <c r="E1993" s="731"/>
      <c r="F1993" s="40"/>
      <c r="G1993" s="40"/>
      <c r="H1993" s="7"/>
      <c r="I1993" s="256"/>
      <c r="J1993" s="256"/>
      <c r="K1993" s="56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902" t="str">
        <f>IF(AND('341-CT'!$E$9=H1993,OR(LEFT(L1993,3)=$O$7,LEFT(M1993,3)=$O$7)),"x","")</f>
        <v/>
      </c>
      <c r="P1993" s="39" t="str">
        <f>IF(AND($B1993&gt;='111'!$N$11,$B1993&lt;='111'!$O$11,OR($L1993=$P$7,$M1993=$P$7)),"x","")</f>
        <v/>
      </c>
      <c r="Q1993" s="39" t="str">
        <f>IF(AND($L1993=$P$7,$B1993&lt;'111'!$N$11),"x","")</f>
        <v/>
      </c>
      <c r="R1993" s="39" t="str">
        <f>IF(AND($M1993=$P$7,$B1993&lt;'111'!$N$11),"x","")</f>
        <v/>
      </c>
      <c r="S1993" s="39" t="str">
        <f>IF(ISERROR(FIND('112'!$M$9,G1993,1)),"",IF((AND(FIND('112'!$M$9,G1993,1)&gt;=1,$B1993&gt;='112'!$N$8,$B1993&lt;='112'!$O$8,OR($L1993='112'!$I$6,$M1993='112'!$I$6))),"x",""))</f>
        <v/>
      </c>
      <c r="T1993" s="39" t="str">
        <f>IF(ISERROR(FIND('112'!$M$9,G1993,1)),"",IF((AND(LEFT(G1993,2)=LEFT('112'!$M$9,2),B1993&lt;'112'!$N$8,$L1993='112'!$I$6)),"x",""))</f>
        <v/>
      </c>
      <c r="U1993" s="39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39" t="str">
        <f>IF(OR(TH!L1993=TH!$W$7,M1993=TH!$W$7),"x","")</f>
        <v/>
      </c>
      <c r="X1993" s="39" t="str">
        <f>IF(AND(B1993&gt;='IN-NX'!$P$3,B1993&lt;='IN-NX'!$Q$3,'IN-NX'!$D$7=D1993,OR(LEFT(L1993,2)="15",AND(LEFT(M1993,2)&lt;&gt;"15",LEFT(M1993,2)&lt;&gt;"33"))),"x","")</f>
        <v/>
      </c>
      <c r="Y1993" s="39" t="str">
        <f>IF(AND(OR(LEFT(TH!L1993,2)="15",LEFT(TH!M1993,2)="15"),'152-CT'!$J$8=TH!F1993),"x","")</f>
        <v/>
      </c>
      <c r="Z1993" s="39" t="str">
        <f>IF(AND(OR(LEFT(TH!L1993,2)="15",LEFT(TH!M1993,2)="15"),TK!$E$7=TH!F1993),"x","")</f>
        <v/>
      </c>
      <c r="AA1993" s="39" t="str">
        <f>IF(AND(B1993&lt;=NKC!$N$8,B1993&gt;=NKC!$M$8),"x","")</f>
        <v/>
      </c>
      <c r="AB1993" s="821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103"/>
        <v/>
      </c>
      <c r="C1994" s="191"/>
      <c r="D1994" s="37"/>
      <c r="E1994" s="731"/>
      <c r="F1994" s="40"/>
      <c r="G1994" s="40"/>
      <c r="H1994" s="7"/>
      <c r="I1994" s="256"/>
      <c r="J1994" s="256"/>
      <c r="K1994" s="56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902" t="str">
        <f>IF(AND('341-CT'!$E$9=H1994,OR(LEFT(L1994,3)=$O$7,LEFT(M1994,3)=$O$7)),"x","")</f>
        <v/>
      </c>
      <c r="P1994" s="39" t="str">
        <f>IF(AND($B1994&gt;='111'!$N$11,$B1994&lt;='111'!$O$11,OR($L1994=$P$7,$M1994=$P$7)),"x","")</f>
        <v/>
      </c>
      <c r="Q1994" s="39" t="str">
        <f>IF(AND($L1994=$P$7,$B1994&lt;'111'!$N$11),"x","")</f>
        <v/>
      </c>
      <c r="R1994" s="39" t="str">
        <f>IF(AND($M1994=$P$7,$B1994&lt;'111'!$N$11),"x","")</f>
        <v/>
      </c>
      <c r="S1994" s="39" t="str">
        <f>IF(ISERROR(FIND('112'!$M$9,G1994,1)),"",IF((AND(FIND('112'!$M$9,G1994,1)&gt;=1,$B1994&gt;='112'!$N$8,$B1994&lt;='112'!$O$8,OR($L1994='112'!$I$6,$M1994='112'!$I$6))),"x",""))</f>
        <v/>
      </c>
      <c r="T1994" s="39" t="str">
        <f>IF(ISERROR(FIND('112'!$M$9,G1994,1)),"",IF((AND(LEFT(G1994,2)=LEFT('112'!$M$9,2),B1994&lt;'112'!$N$8,$L1994='112'!$I$6)),"x",""))</f>
        <v/>
      </c>
      <c r="U1994" s="39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39" t="str">
        <f>IF(OR(TH!L1994=TH!$W$7,M1994=TH!$W$7),"x","")</f>
        <v/>
      </c>
      <c r="X1994" s="39" t="str">
        <f>IF(AND(B1994&gt;='IN-NX'!$P$3,B1994&lt;='IN-NX'!$Q$3,'IN-NX'!$D$7=D1994,OR(LEFT(L1994,2)="15",AND(LEFT(M1994,2)&lt;&gt;"15",LEFT(M1994,2)&lt;&gt;"33"))),"x","")</f>
        <v/>
      </c>
      <c r="Y1994" s="39" t="str">
        <f>IF(AND(OR(LEFT(TH!L1994,2)="15",LEFT(TH!M1994,2)="15"),'152-CT'!$J$8=TH!F1994),"x","")</f>
        <v/>
      </c>
      <c r="Z1994" s="39" t="str">
        <f>IF(AND(OR(LEFT(TH!L1994,2)="15",LEFT(TH!M1994,2)="15"),TK!$E$7=TH!F1994),"x","")</f>
        <v/>
      </c>
      <c r="AA1994" s="39" t="str">
        <f>IF(AND(B1994&lt;=NKC!$N$8,B1994&gt;=NKC!$M$8),"x","")</f>
        <v/>
      </c>
      <c r="AB1994" s="821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103"/>
        <v/>
      </c>
      <c r="C1995" s="191"/>
      <c r="D1995" s="37"/>
      <c r="E1995" s="731"/>
      <c r="F1995" s="40"/>
      <c r="G1995" s="40"/>
      <c r="H1995" s="7"/>
      <c r="I1995" s="256"/>
      <c r="J1995" s="256"/>
      <c r="K1995" s="56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902" t="str">
        <f>IF(AND('341-CT'!$E$9=H1995,OR(LEFT(L1995,3)=$O$7,LEFT(M1995,3)=$O$7)),"x","")</f>
        <v/>
      </c>
      <c r="P1995" s="39" t="str">
        <f>IF(AND($B1995&gt;='111'!$N$11,$B1995&lt;='111'!$O$11,OR($L1995=$P$7,$M1995=$P$7)),"x","")</f>
        <v/>
      </c>
      <c r="Q1995" s="39" t="str">
        <f>IF(AND($L1995=$P$7,$B1995&lt;'111'!$N$11),"x","")</f>
        <v/>
      </c>
      <c r="R1995" s="39" t="str">
        <f>IF(AND($M1995=$P$7,$B1995&lt;'111'!$N$11),"x","")</f>
        <v/>
      </c>
      <c r="S1995" s="39" t="str">
        <f>IF(ISERROR(FIND('112'!$M$9,G1995,1)),"",IF((AND(FIND('112'!$M$9,G1995,1)&gt;=1,$B1995&gt;='112'!$N$8,$B1995&lt;='112'!$O$8,OR($L1995='112'!$I$6,$M1995='112'!$I$6))),"x",""))</f>
        <v/>
      </c>
      <c r="T1995" s="39" t="str">
        <f>IF(ISERROR(FIND('112'!$M$9,G1995,1)),"",IF((AND(LEFT(G1995,2)=LEFT('112'!$M$9,2),B1995&lt;'112'!$N$8,$L1995='112'!$I$6)),"x",""))</f>
        <v/>
      </c>
      <c r="U1995" s="39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39" t="str">
        <f>IF(OR(TH!L1995=TH!$W$7,M1995=TH!$W$7),"x","")</f>
        <v/>
      </c>
      <c r="X1995" s="39" t="str">
        <f>IF(AND(B1995&gt;='IN-NX'!$P$3,B1995&lt;='IN-NX'!$Q$3,'IN-NX'!$D$7=D1995,OR(LEFT(L1995,2)="15",AND(LEFT(M1995,2)&lt;&gt;"15",LEFT(M1995,2)&lt;&gt;"33"))),"x","")</f>
        <v/>
      </c>
      <c r="Y1995" s="39" t="str">
        <f>IF(AND(OR(LEFT(TH!L1995,2)="15",LEFT(TH!M1995,2)="15"),'152-CT'!$J$8=TH!F1995),"x","")</f>
        <v/>
      </c>
      <c r="Z1995" s="39" t="str">
        <f>IF(AND(OR(LEFT(TH!L1995,2)="15",LEFT(TH!M1995,2)="15"),TK!$E$7=TH!F1995),"x","")</f>
        <v/>
      </c>
      <c r="AA1995" s="39" t="str">
        <f>IF(AND(B1995&lt;=NKC!$N$8,B1995&gt;=NKC!$M$8),"x","")</f>
        <v/>
      </c>
      <c r="AB1995" s="821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103"/>
        <v/>
      </c>
      <c r="C1996" s="191"/>
      <c r="D1996" s="37"/>
      <c r="E1996" s="731"/>
      <c r="F1996" s="40"/>
      <c r="G1996" s="40"/>
      <c r="H1996" s="7"/>
      <c r="I1996" s="256"/>
      <c r="J1996" s="256"/>
      <c r="K1996" s="56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902" t="str">
        <f>IF(AND('341-CT'!$E$9=H1996,OR(LEFT(L1996,3)=$O$7,LEFT(M1996,3)=$O$7)),"x","")</f>
        <v/>
      </c>
      <c r="P1996" s="39" t="str">
        <f>IF(AND($B1996&gt;='111'!$N$11,$B1996&lt;='111'!$O$11,OR($L1996=$P$7,$M1996=$P$7)),"x","")</f>
        <v/>
      </c>
      <c r="Q1996" s="39" t="str">
        <f>IF(AND($L1996=$P$7,$B1996&lt;'111'!$N$11),"x","")</f>
        <v/>
      </c>
      <c r="R1996" s="39" t="str">
        <f>IF(AND($M1996=$P$7,$B1996&lt;'111'!$N$11),"x","")</f>
        <v/>
      </c>
      <c r="S1996" s="39" t="str">
        <f>IF(ISERROR(FIND('112'!$M$9,G1996,1)),"",IF((AND(FIND('112'!$M$9,G1996,1)&gt;=1,$B1996&gt;='112'!$N$8,$B1996&lt;='112'!$O$8,OR($L1996='112'!$I$6,$M1996='112'!$I$6))),"x",""))</f>
        <v/>
      </c>
      <c r="T1996" s="39" t="str">
        <f>IF(ISERROR(FIND('112'!$M$9,G1996,1)),"",IF((AND(LEFT(G1996,2)=LEFT('112'!$M$9,2),B1996&lt;'112'!$N$8,$L1996='112'!$I$6)),"x",""))</f>
        <v/>
      </c>
      <c r="U1996" s="39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39" t="str">
        <f>IF(OR(TH!L1996=TH!$W$7,M1996=TH!$W$7),"x","")</f>
        <v/>
      </c>
      <c r="X1996" s="39" t="str">
        <f>IF(AND(B1996&gt;='IN-NX'!$P$3,B1996&lt;='IN-NX'!$Q$3,'IN-NX'!$D$7=D1996,OR(LEFT(L1996,2)="15",AND(LEFT(M1996,2)&lt;&gt;"15",LEFT(M1996,2)&lt;&gt;"33"))),"x","")</f>
        <v/>
      </c>
      <c r="Y1996" s="39" t="str">
        <f>IF(AND(OR(LEFT(TH!L1996,2)="15",LEFT(TH!M1996,2)="15"),'152-CT'!$J$8=TH!F1996),"x","")</f>
        <v/>
      </c>
      <c r="Z1996" s="39" t="str">
        <f>IF(AND(OR(LEFT(TH!L1996,2)="15",LEFT(TH!M1996,2)="15"),TK!$E$7=TH!F1996),"x","")</f>
        <v/>
      </c>
      <c r="AA1996" s="39" t="str">
        <f>IF(AND(B1996&lt;=NKC!$N$8,B1996&gt;=NKC!$M$8),"x","")</f>
        <v/>
      </c>
      <c r="AB1996" s="821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103"/>
        <v/>
      </c>
      <c r="C1997" s="191"/>
      <c r="D1997" s="37"/>
      <c r="E1997" s="731"/>
      <c r="F1997" s="40"/>
      <c r="G1997" s="40"/>
      <c r="H1997" s="7"/>
      <c r="I1997" s="256"/>
      <c r="J1997" s="256"/>
      <c r="K1997" s="56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902" t="str">
        <f>IF(AND('341-CT'!$E$9=H1997,OR(LEFT(L1997,3)=$O$7,LEFT(M1997,3)=$O$7)),"x","")</f>
        <v/>
      </c>
      <c r="P1997" s="39" t="str">
        <f>IF(AND($B1997&gt;='111'!$N$11,$B1997&lt;='111'!$O$11,OR($L1997=$P$7,$M1997=$P$7)),"x","")</f>
        <v/>
      </c>
      <c r="Q1997" s="39" t="str">
        <f>IF(AND($L1997=$P$7,$B1997&lt;'111'!$N$11),"x","")</f>
        <v/>
      </c>
      <c r="R1997" s="39" t="str">
        <f>IF(AND($M1997=$P$7,$B1997&lt;'111'!$N$11),"x","")</f>
        <v/>
      </c>
      <c r="S1997" s="39" t="str">
        <f>IF(ISERROR(FIND('112'!$M$9,G1997,1)),"",IF((AND(FIND('112'!$M$9,G1997,1)&gt;=1,$B1997&gt;='112'!$N$8,$B1997&lt;='112'!$O$8,OR($L1997='112'!$I$6,$M1997='112'!$I$6))),"x",""))</f>
        <v/>
      </c>
      <c r="T1997" s="39" t="str">
        <f>IF(ISERROR(FIND('112'!$M$9,G1997,1)),"",IF((AND(LEFT(G1997,2)=LEFT('112'!$M$9,2),B1997&lt;'112'!$N$8,$L1997='112'!$I$6)),"x",""))</f>
        <v/>
      </c>
      <c r="U1997" s="39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39" t="str">
        <f>IF(OR(TH!L1997=TH!$W$7,M1997=TH!$W$7),"x","")</f>
        <v/>
      </c>
      <c r="X1997" s="39" t="str">
        <f>IF(AND(B1997&gt;='IN-NX'!$P$3,B1997&lt;='IN-NX'!$Q$3,'IN-NX'!$D$7=D1997,OR(LEFT(L1997,2)="15",AND(LEFT(M1997,2)&lt;&gt;"15",LEFT(M1997,2)&lt;&gt;"33"))),"x","")</f>
        <v/>
      </c>
      <c r="Y1997" s="39" t="str">
        <f>IF(AND(OR(LEFT(TH!L1997,2)="15",LEFT(TH!M1997,2)="15"),'152-CT'!$J$8=TH!F1997),"x","")</f>
        <v/>
      </c>
      <c r="Z1997" s="39" t="str">
        <f>IF(AND(OR(LEFT(TH!L1997,2)="15",LEFT(TH!M1997,2)="15"),TK!$E$7=TH!F1997),"x","")</f>
        <v/>
      </c>
      <c r="AA1997" s="39" t="str">
        <f>IF(AND(B1997&lt;=NKC!$N$8,B1997&gt;=NKC!$M$8),"x","")</f>
        <v/>
      </c>
      <c r="AB1997" s="821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103"/>
        <v/>
      </c>
      <c r="C1998" s="191"/>
      <c r="D1998" s="37"/>
      <c r="E1998" s="731"/>
      <c r="F1998" s="40"/>
      <c r="G1998" s="40"/>
      <c r="H1998" s="7"/>
      <c r="I1998" s="256"/>
      <c r="J1998" s="256"/>
      <c r="K1998" s="56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902" t="str">
        <f>IF(AND('341-CT'!$E$9=H1998,OR(LEFT(L1998,3)=$O$7,LEFT(M1998,3)=$O$7)),"x","")</f>
        <v/>
      </c>
      <c r="P1998" s="39" t="str">
        <f>IF(AND($B1998&gt;='111'!$N$11,$B1998&lt;='111'!$O$11,OR($L1998=$P$7,$M1998=$P$7)),"x","")</f>
        <v/>
      </c>
      <c r="Q1998" s="39" t="str">
        <f>IF(AND($L1998=$P$7,$B1998&lt;'111'!$N$11),"x","")</f>
        <v/>
      </c>
      <c r="R1998" s="39" t="str">
        <f>IF(AND($M1998=$P$7,$B1998&lt;'111'!$N$11),"x","")</f>
        <v/>
      </c>
      <c r="S1998" s="39" t="str">
        <f>IF(ISERROR(FIND('112'!$M$9,G1998,1)),"",IF((AND(FIND('112'!$M$9,G1998,1)&gt;=1,$B1998&gt;='112'!$N$8,$B1998&lt;='112'!$O$8,OR($L1998='112'!$I$6,$M1998='112'!$I$6))),"x",""))</f>
        <v/>
      </c>
      <c r="T1998" s="39" t="str">
        <f>IF(ISERROR(FIND('112'!$M$9,G1998,1)),"",IF((AND(LEFT(G1998,2)=LEFT('112'!$M$9,2),B1998&lt;'112'!$N$8,$L1998='112'!$I$6)),"x",""))</f>
        <v/>
      </c>
      <c r="U1998" s="39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39" t="str">
        <f>IF(OR(TH!L1998=TH!$W$7,M1998=TH!$W$7),"x","")</f>
        <v/>
      </c>
      <c r="X1998" s="39" t="str">
        <f>IF(AND(B1998&gt;='IN-NX'!$P$3,B1998&lt;='IN-NX'!$Q$3,'IN-NX'!$D$7=D1998,OR(LEFT(L1998,2)="15",AND(LEFT(M1998,2)&lt;&gt;"15",LEFT(M1998,2)&lt;&gt;"33"))),"x","")</f>
        <v/>
      </c>
      <c r="Y1998" s="39" t="str">
        <f>IF(AND(OR(LEFT(TH!L1998,2)="15",LEFT(TH!M1998,2)="15"),'152-CT'!$J$8=TH!F1998),"x","")</f>
        <v/>
      </c>
      <c r="Z1998" s="39" t="str">
        <f>IF(AND(OR(LEFT(TH!L1998,2)="15",LEFT(TH!M1998,2)="15"),TK!$E$7=TH!F1998),"x","")</f>
        <v/>
      </c>
      <c r="AA1998" s="39" t="str">
        <f>IF(AND(B1998&lt;=NKC!$N$8,B1998&gt;=NKC!$M$8),"x","")</f>
        <v/>
      </c>
      <c r="AB1998" s="821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103"/>
        <v/>
      </c>
      <c r="C1999" s="191"/>
      <c r="D1999" s="37"/>
      <c r="E1999" s="731"/>
      <c r="F1999" s="40"/>
      <c r="G1999" s="40"/>
      <c r="H1999" s="7"/>
      <c r="I1999" s="256"/>
      <c r="J1999" s="256"/>
      <c r="K1999" s="56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902" t="str">
        <f>IF(AND('341-CT'!$E$9=H1999,OR(LEFT(L1999,3)=$O$7,LEFT(M1999,3)=$O$7)),"x","")</f>
        <v/>
      </c>
      <c r="P1999" s="39" t="str">
        <f>IF(AND($B1999&gt;='111'!$N$11,$B1999&lt;='111'!$O$11,OR($L1999=$P$7,$M1999=$P$7)),"x","")</f>
        <v/>
      </c>
      <c r="Q1999" s="39" t="str">
        <f>IF(AND($L1999=$P$7,$B1999&lt;'111'!$N$11),"x","")</f>
        <v/>
      </c>
      <c r="R1999" s="39" t="str">
        <f>IF(AND($M1999=$P$7,$B1999&lt;'111'!$N$11),"x","")</f>
        <v/>
      </c>
      <c r="S1999" s="39" t="str">
        <f>IF(ISERROR(FIND('112'!$M$9,G1999,1)),"",IF((AND(FIND('112'!$M$9,G1999,1)&gt;=1,$B1999&gt;='112'!$N$8,$B1999&lt;='112'!$O$8,OR($L1999='112'!$I$6,$M1999='112'!$I$6))),"x",""))</f>
        <v/>
      </c>
      <c r="T1999" s="39" t="str">
        <f>IF(ISERROR(FIND('112'!$M$9,G1999,1)),"",IF((AND(LEFT(G1999,2)=LEFT('112'!$M$9,2),B1999&lt;'112'!$N$8,$L1999='112'!$I$6)),"x",""))</f>
        <v/>
      </c>
      <c r="U1999" s="39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39" t="str">
        <f>IF(OR(TH!L1999=TH!$W$7,M1999=TH!$W$7),"x","")</f>
        <v/>
      </c>
      <c r="X1999" s="39" t="str">
        <f>IF(AND(B1999&gt;='IN-NX'!$P$3,B1999&lt;='IN-NX'!$Q$3,'IN-NX'!$D$7=D1999,OR(LEFT(L1999,2)="15",AND(LEFT(M1999,2)&lt;&gt;"15",LEFT(M1999,2)&lt;&gt;"33"))),"x","")</f>
        <v/>
      </c>
      <c r="Y1999" s="39" t="str">
        <f>IF(AND(OR(LEFT(TH!L1999,2)="15",LEFT(TH!M1999,2)="15"),'152-CT'!$J$8=TH!F1999),"x","")</f>
        <v/>
      </c>
      <c r="Z1999" s="39" t="str">
        <f>IF(AND(OR(LEFT(TH!L1999,2)="15",LEFT(TH!M1999,2)="15"),TK!$E$7=TH!F1999),"x","")</f>
        <v/>
      </c>
      <c r="AA1999" s="39" t="str">
        <f>IF(AND(B1999&lt;=NKC!$N$8,B1999&gt;=NKC!$M$8),"x","")</f>
        <v/>
      </c>
      <c r="AB1999" s="821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103"/>
        <v/>
      </c>
      <c r="C2000" s="191"/>
      <c r="D2000" s="37"/>
      <c r="E2000" s="731"/>
      <c r="F2000" s="40"/>
      <c r="G2000" s="40"/>
      <c r="H2000" s="7"/>
      <c r="I2000" s="256"/>
      <c r="J2000" s="256"/>
      <c r="K2000" s="56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902" t="str">
        <f>IF(AND('341-CT'!$E$9=H2000,OR(LEFT(L2000,3)=$O$7,LEFT(M2000,3)=$O$7)),"x","")</f>
        <v/>
      </c>
      <c r="P2000" s="39" t="str">
        <f>IF(AND($B2000&gt;='111'!$N$11,$B2000&lt;='111'!$O$11,OR($L2000=$P$7,$M2000=$P$7)),"x","")</f>
        <v/>
      </c>
      <c r="Q2000" s="39" t="str">
        <f>IF(AND($L2000=$P$7,$B2000&lt;'111'!$N$11),"x","")</f>
        <v/>
      </c>
      <c r="R2000" s="39" t="str">
        <f>IF(AND($M2000=$P$7,$B2000&lt;'111'!$N$11),"x","")</f>
        <v/>
      </c>
      <c r="S2000" s="39" t="str">
        <f>IF(ISERROR(FIND('112'!$M$9,G2000,1)),"",IF((AND(FIND('112'!$M$9,G2000,1)&gt;=1,$B2000&gt;='112'!$N$8,$B2000&lt;='112'!$O$8,OR($L2000='112'!$I$6,$M2000='112'!$I$6))),"x",""))</f>
        <v/>
      </c>
      <c r="T2000" s="39" t="str">
        <f>IF(ISERROR(FIND('112'!$M$9,G2000,1)),"",IF((AND(LEFT(G2000,2)=LEFT('112'!$M$9,2),B2000&lt;'112'!$N$8,$L2000='112'!$I$6)),"x",""))</f>
        <v/>
      </c>
      <c r="U2000" s="39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39" t="str">
        <f>IF(OR(TH!L2000=TH!$W$7,M2000=TH!$W$7),"x","")</f>
        <v/>
      </c>
      <c r="X2000" s="39" t="str">
        <f>IF(AND(B2000&gt;='IN-NX'!$P$3,B2000&lt;='IN-NX'!$Q$3,'IN-NX'!$D$7=D2000,OR(LEFT(L2000,2)="15",AND(LEFT(M2000,2)&lt;&gt;"15",LEFT(M2000,2)&lt;&gt;"33"))),"x","")</f>
        <v/>
      </c>
      <c r="Y2000" s="39" t="str">
        <f>IF(AND(OR(LEFT(TH!L2000,2)="15",LEFT(TH!M2000,2)="15"),'152-CT'!$J$8=TH!F2000),"x","")</f>
        <v/>
      </c>
      <c r="Z2000" s="39" t="str">
        <f>IF(AND(OR(LEFT(TH!L2000,2)="15",LEFT(TH!M2000,2)="15"),TK!$E$7=TH!F2000),"x","")</f>
        <v/>
      </c>
      <c r="AA2000" s="39" t="str">
        <f>IF(AND(B2000&lt;=NKC!$N$8,B2000&gt;=NKC!$M$8),"x","")</f>
        <v/>
      </c>
      <c r="AB2000" s="821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103"/>
        <v/>
      </c>
      <c r="C2001" s="191"/>
      <c r="D2001" s="37"/>
      <c r="E2001" s="731"/>
      <c r="F2001" s="40"/>
      <c r="G2001" s="40"/>
      <c r="H2001" s="7"/>
      <c r="I2001" s="256"/>
      <c r="J2001" s="256"/>
      <c r="K2001" s="56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902" t="str">
        <f>IF(AND('341-CT'!$E$9=H2001,OR(LEFT(L2001,3)=$O$7,LEFT(M2001,3)=$O$7)),"x","")</f>
        <v/>
      </c>
      <c r="P2001" s="39" t="str">
        <f>IF(AND($B2001&gt;='111'!$N$11,$B2001&lt;='111'!$O$11,OR($L2001=$P$7,$M2001=$P$7)),"x","")</f>
        <v/>
      </c>
      <c r="Q2001" s="39" t="str">
        <f>IF(AND($L2001=$P$7,$B2001&lt;'111'!$N$11),"x","")</f>
        <v/>
      </c>
      <c r="R2001" s="39" t="str">
        <f>IF(AND($M2001=$P$7,$B2001&lt;'111'!$N$11),"x","")</f>
        <v/>
      </c>
      <c r="S2001" s="39" t="str">
        <f>IF(ISERROR(FIND('112'!$M$9,G2001,1)),"",IF((AND(FIND('112'!$M$9,G2001,1)&gt;=1,$B2001&gt;='112'!$N$8,$B2001&lt;='112'!$O$8,OR($L2001='112'!$I$6,$M2001='112'!$I$6))),"x",""))</f>
        <v/>
      </c>
      <c r="T2001" s="39" t="str">
        <f>IF(ISERROR(FIND('112'!$M$9,G2001,1)),"",IF((AND(LEFT(G2001,2)=LEFT('112'!$M$9,2),B2001&lt;'112'!$N$8,$L2001='112'!$I$6)),"x",""))</f>
        <v/>
      </c>
      <c r="U2001" s="39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39" t="str">
        <f>IF(OR(TH!L2001=TH!$W$7,M2001=TH!$W$7),"x","")</f>
        <v/>
      </c>
      <c r="X2001" s="39" t="str">
        <f>IF(AND(B2001&gt;='IN-NX'!$P$3,B2001&lt;='IN-NX'!$Q$3,'IN-NX'!$D$7=D2001,OR(LEFT(L2001,2)="15",AND(LEFT(M2001,2)&lt;&gt;"15",LEFT(M2001,2)&lt;&gt;"33"))),"x","")</f>
        <v/>
      </c>
      <c r="Y2001" s="39" t="str">
        <f>IF(AND(OR(LEFT(TH!L2001,2)="15",LEFT(TH!M2001,2)="15"),'152-CT'!$J$8=TH!F2001),"x","")</f>
        <v/>
      </c>
      <c r="Z2001" s="39" t="str">
        <f>IF(AND(OR(LEFT(TH!L2001,2)="15",LEFT(TH!M2001,2)="15"),TK!$E$7=TH!F2001),"x","")</f>
        <v/>
      </c>
      <c r="AA2001" s="39" t="str">
        <f>IF(AND(B2001&lt;=NKC!$N$8,B2001&gt;=NKC!$M$8),"x","")</f>
        <v/>
      </c>
      <c r="AB2001" s="821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103"/>
        <v/>
      </c>
      <c r="C2002" s="191"/>
      <c r="D2002" s="37"/>
      <c r="E2002" s="731"/>
      <c r="F2002" s="40"/>
      <c r="G2002" s="40"/>
      <c r="H2002" s="7"/>
      <c r="I2002" s="256"/>
      <c r="J2002" s="256"/>
      <c r="K2002" s="56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902" t="str">
        <f>IF(AND('341-CT'!$E$9=H2002,OR(LEFT(L2002,3)=$O$7,LEFT(M2002,3)=$O$7)),"x","")</f>
        <v/>
      </c>
      <c r="P2002" s="39" t="str">
        <f>IF(AND($B2002&gt;='111'!$N$11,$B2002&lt;='111'!$O$11,OR($L2002=$P$7,$M2002=$P$7)),"x","")</f>
        <v/>
      </c>
      <c r="Q2002" s="39" t="str">
        <f>IF(AND($L2002=$P$7,$B2002&lt;'111'!$N$11),"x","")</f>
        <v/>
      </c>
      <c r="R2002" s="39" t="str">
        <f>IF(AND($M2002=$P$7,$B2002&lt;'111'!$N$11),"x","")</f>
        <v/>
      </c>
      <c r="S2002" s="39" t="str">
        <f>IF(ISERROR(FIND('112'!$M$9,G2002,1)),"",IF((AND(FIND('112'!$M$9,G2002,1)&gt;=1,$B2002&gt;='112'!$N$8,$B2002&lt;='112'!$O$8,OR($L2002='112'!$I$6,$M2002='112'!$I$6))),"x",""))</f>
        <v/>
      </c>
      <c r="T2002" s="39" t="str">
        <f>IF(ISERROR(FIND('112'!$M$9,G2002,1)),"",IF((AND(LEFT(G2002,2)=LEFT('112'!$M$9,2),B2002&lt;'112'!$N$8,$L2002='112'!$I$6)),"x",""))</f>
        <v/>
      </c>
      <c r="U2002" s="39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39" t="str">
        <f>IF(OR(TH!L2002=TH!$W$7,M2002=TH!$W$7),"x","")</f>
        <v/>
      </c>
      <c r="X2002" s="39" t="str">
        <f>IF(AND(B2002&gt;='IN-NX'!$P$3,B2002&lt;='IN-NX'!$Q$3,'IN-NX'!$D$7=D2002,OR(LEFT(L2002,2)="15",AND(LEFT(M2002,2)&lt;&gt;"15",LEFT(M2002,2)&lt;&gt;"33"))),"x","")</f>
        <v/>
      </c>
      <c r="Y2002" s="39" t="str">
        <f>IF(AND(OR(LEFT(TH!L2002,2)="15",LEFT(TH!M2002,2)="15"),'152-CT'!$J$8=TH!F2002),"x","")</f>
        <v/>
      </c>
      <c r="Z2002" s="39" t="str">
        <f>IF(AND(OR(LEFT(TH!L2002,2)="15",LEFT(TH!M2002,2)="15"),TK!$E$7=TH!F2002),"x","")</f>
        <v/>
      </c>
      <c r="AA2002" s="39" t="str">
        <f>IF(AND(B2002&lt;=NKC!$N$8,B2002&gt;=NKC!$M$8),"x","")</f>
        <v/>
      </c>
      <c r="AB2002" s="821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103"/>
        <v/>
      </c>
      <c r="C2003" s="191"/>
      <c r="D2003" s="37"/>
      <c r="E2003" s="731"/>
      <c r="F2003" s="192"/>
      <c r="G2003" s="468"/>
      <c r="H2003" s="193"/>
      <c r="I2003" s="256"/>
      <c r="J2003" s="256"/>
      <c r="K2003" s="56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902" t="str">
        <f>IF(AND('341-CT'!$E$9=H2003,OR(LEFT(L2003,3)=$O$7,LEFT(M2003,3)=$O$7)),"x","")</f>
        <v/>
      </c>
      <c r="P2003" s="39" t="str">
        <f>IF(AND($B2003&gt;='111'!$N$11,$B2003&lt;='111'!$O$11,OR($L2003=$P$7,$M2003=$P$7)),"x","")</f>
        <v/>
      </c>
      <c r="Q2003" s="39" t="str">
        <f>IF(AND($L2003=$P$7,$B2003&lt;'111'!$N$11),"x","")</f>
        <v/>
      </c>
      <c r="R2003" s="39" t="str">
        <f>IF(AND($M2003=$P$7,$B2003&lt;'111'!$N$11),"x","")</f>
        <v/>
      </c>
      <c r="S2003" s="39" t="str">
        <f>IF(ISERROR(FIND('112'!$M$9,G2003,1)),"",IF((AND(FIND('112'!$M$9,G2003,1)&gt;=1,$B2003&gt;='112'!$N$8,$B2003&lt;='112'!$O$8,OR($L2003='112'!$I$6,$M2003='112'!$I$6))),"x",""))</f>
        <v/>
      </c>
      <c r="T2003" s="39" t="str">
        <f>IF(ISERROR(FIND('112'!$M$9,G2003,1)),"",IF((AND(LEFT(G2003,2)=LEFT('112'!$M$9,2),B2003&lt;'112'!$N$8,$L2003='112'!$I$6)),"x",""))</f>
        <v/>
      </c>
      <c r="U2003" s="39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39" t="str">
        <f>IF(OR(TH!L2003=TH!$W$7,M2003=TH!$W$7),"x","")</f>
        <v/>
      </c>
      <c r="X2003" s="39" t="str">
        <f>IF(AND(B2003&gt;='IN-NX'!$P$3,B2003&lt;='IN-NX'!$Q$3,'IN-NX'!$D$7=D2003,OR(LEFT(L2003,2)="15",AND(LEFT(M2003,2)&lt;&gt;"15",LEFT(M2003,2)&lt;&gt;"33"))),"x","")</f>
        <v/>
      </c>
      <c r="Y2003" s="39" t="str">
        <f>IF(AND(OR(LEFT(TH!L2003,2)="15",LEFT(TH!M2003,2)="15"),'152-CT'!$J$8=TH!F2003),"x","")</f>
        <v/>
      </c>
      <c r="Z2003" s="39" t="str">
        <f>IF(AND(OR(LEFT(TH!L2003,2)="15",LEFT(TH!M2003,2)="15"),TK!$E$7=TH!F2003),"x","")</f>
        <v/>
      </c>
      <c r="AA2003" s="39" t="str">
        <f>IF(AND(B2003&lt;=NKC!$N$8,B2003&gt;=NKC!$M$8),"x","")</f>
        <v/>
      </c>
      <c r="AB2003" s="821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103"/>
        <v/>
      </c>
      <c r="C2004" s="191"/>
      <c r="D2004" s="37"/>
      <c r="E2004" s="731"/>
      <c r="F2004" s="192"/>
      <c r="G2004" s="468"/>
      <c r="H2004" s="193"/>
      <c r="I2004" s="256"/>
      <c r="J2004" s="256"/>
      <c r="K2004" s="56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902" t="str">
        <f>IF(AND('341-CT'!$E$9=H2004,OR(LEFT(L2004,3)=$O$7,LEFT(M2004,3)=$O$7)),"x","")</f>
        <v/>
      </c>
      <c r="P2004" s="39" t="str">
        <f>IF(AND($B2004&gt;='111'!$N$11,$B2004&lt;='111'!$O$11,OR($L2004=$P$7,$M2004=$P$7)),"x","")</f>
        <v/>
      </c>
      <c r="Q2004" s="39" t="str">
        <f>IF(AND($L2004=$P$7,$B2004&lt;'111'!$N$11),"x","")</f>
        <v/>
      </c>
      <c r="R2004" s="39" t="str">
        <f>IF(AND($M2004=$P$7,$B2004&lt;'111'!$N$11),"x","")</f>
        <v/>
      </c>
      <c r="S2004" s="39" t="str">
        <f>IF(ISERROR(FIND('112'!$M$9,G2004,1)),"",IF((AND(FIND('112'!$M$9,G2004,1)&gt;=1,$B2004&gt;='112'!$N$8,$B2004&lt;='112'!$O$8,OR($L2004='112'!$I$6,$M2004='112'!$I$6))),"x",""))</f>
        <v/>
      </c>
      <c r="T2004" s="39" t="str">
        <f>IF(ISERROR(FIND('112'!$M$9,G2004,1)),"",IF((AND(LEFT(G2004,2)=LEFT('112'!$M$9,2),B2004&lt;'112'!$N$8,$L2004='112'!$I$6)),"x",""))</f>
        <v/>
      </c>
      <c r="U2004" s="39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39" t="str">
        <f>IF(OR(TH!L2004=TH!$W$7,M2004=TH!$W$7),"x","")</f>
        <v/>
      </c>
      <c r="X2004" s="39" t="str">
        <f>IF(AND(B2004&gt;='IN-NX'!$P$3,B2004&lt;='IN-NX'!$Q$3,'IN-NX'!$D$7=D2004,OR(LEFT(L2004,2)="15",AND(LEFT(M2004,2)&lt;&gt;"15",LEFT(M2004,2)&lt;&gt;"33"))),"x","")</f>
        <v/>
      </c>
      <c r="Y2004" s="39" t="str">
        <f>IF(AND(OR(LEFT(TH!L2004,2)="15",LEFT(TH!M2004,2)="15"),'152-CT'!$J$8=TH!F2004),"x","")</f>
        <v/>
      </c>
      <c r="Z2004" s="39" t="str">
        <f>IF(AND(OR(LEFT(TH!L2004,2)="15",LEFT(TH!M2004,2)="15"),TK!$E$7=TH!F2004),"x","")</f>
        <v/>
      </c>
      <c r="AA2004" s="39" t="str">
        <f>IF(AND(B2004&lt;=NKC!$N$8,B2004&gt;=NKC!$M$8),"x","")</f>
        <v/>
      </c>
      <c r="AB2004" s="821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103"/>
        <v/>
      </c>
      <c r="C2005" s="191"/>
      <c r="D2005" s="37"/>
      <c r="E2005" s="731"/>
      <c r="F2005" s="192"/>
      <c r="G2005" s="468"/>
      <c r="H2005" s="193"/>
      <c r="I2005" s="256"/>
      <c r="J2005" s="256"/>
      <c r="K2005" s="56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902" t="str">
        <f>IF(AND('341-CT'!$E$9=H2005,OR(LEFT(L2005,3)=$O$7,LEFT(M2005,3)=$O$7)),"x","")</f>
        <v/>
      </c>
      <c r="P2005" s="39" t="str">
        <f>IF(AND($B2005&gt;='111'!$N$11,$B2005&lt;='111'!$O$11,OR($L2005=$P$7,$M2005=$P$7)),"x","")</f>
        <v/>
      </c>
      <c r="Q2005" s="39" t="str">
        <f>IF(AND($L2005=$P$7,$B2005&lt;'111'!$N$11),"x","")</f>
        <v/>
      </c>
      <c r="R2005" s="39" t="str">
        <f>IF(AND($M2005=$P$7,$B2005&lt;'111'!$N$11),"x","")</f>
        <v/>
      </c>
      <c r="S2005" s="39" t="str">
        <f>IF(ISERROR(FIND('112'!$M$9,G2005,1)),"",IF((AND(FIND('112'!$M$9,G2005,1)&gt;=1,$B2005&gt;='112'!$N$8,$B2005&lt;='112'!$O$8,OR($L2005='112'!$I$6,$M2005='112'!$I$6))),"x",""))</f>
        <v/>
      </c>
      <c r="T2005" s="39" t="str">
        <f>IF(ISERROR(FIND('112'!$M$9,G2005,1)),"",IF((AND(LEFT(G2005,2)=LEFT('112'!$M$9,2),B2005&lt;'112'!$N$8,$L2005='112'!$I$6)),"x",""))</f>
        <v/>
      </c>
      <c r="U2005" s="39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39" t="str">
        <f>IF(OR(TH!L2005=TH!$W$7,M2005=TH!$W$7),"x","")</f>
        <v/>
      </c>
      <c r="X2005" s="39" t="str">
        <f>IF(AND(B2005&gt;='IN-NX'!$P$3,B2005&lt;='IN-NX'!$Q$3,'IN-NX'!$D$7=D2005,OR(LEFT(L2005,2)="15",AND(LEFT(M2005,2)&lt;&gt;"15",LEFT(M2005,2)&lt;&gt;"33"))),"x","")</f>
        <v/>
      </c>
      <c r="Y2005" s="39" t="str">
        <f>IF(AND(OR(LEFT(TH!L2005,2)="15",LEFT(TH!M2005,2)="15"),'152-CT'!$J$8=TH!F2005),"x","")</f>
        <v/>
      </c>
      <c r="Z2005" s="39" t="str">
        <f>IF(AND(OR(LEFT(TH!L2005,2)="15",LEFT(TH!M2005,2)="15"),TK!$E$7=TH!F2005),"x","")</f>
        <v/>
      </c>
      <c r="AA2005" s="39" t="str">
        <f>IF(AND(B2005&lt;=NKC!$N$8,B2005&gt;=NKC!$M$8),"x","")</f>
        <v/>
      </c>
      <c r="AB2005" s="821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103"/>
        <v/>
      </c>
      <c r="C2006" s="191"/>
      <c r="D2006" s="37"/>
      <c r="E2006" s="731"/>
      <c r="F2006" s="192"/>
      <c r="G2006" s="468"/>
      <c r="H2006" s="193"/>
      <c r="I2006" s="256"/>
      <c r="J2006" s="256"/>
      <c r="K2006" s="568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902" t="str">
        <f>IF(AND('341-CT'!$E$9=H2006,OR(LEFT(L2006,3)=$O$7,LEFT(M2006,3)=$O$7)),"x","")</f>
        <v/>
      </c>
      <c r="P2006" s="39" t="str">
        <f>IF(AND($B2006&gt;='111'!$N$11,$B2006&lt;='111'!$O$11,OR($L2006=$P$7,$M2006=$P$7)),"x","")</f>
        <v/>
      </c>
      <c r="Q2006" s="39" t="str">
        <f>IF(AND($L2006=$P$7,$B2006&lt;'111'!$N$11),"x","")</f>
        <v/>
      </c>
      <c r="R2006" s="39" t="str">
        <f>IF(AND($M2006=$P$7,$B2006&lt;'111'!$N$11),"x","")</f>
        <v/>
      </c>
      <c r="S2006" s="39" t="str">
        <f>IF(ISERROR(FIND('112'!$M$9,G2006,1)),"",IF((AND(FIND('112'!$M$9,G2006,1)&gt;=1,$B2006&gt;='112'!$N$8,$B2006&lt;='112'!$O$8,OR($L2006='112'!$I$6,$M2006='112'!$I$6))),"x",""))</f>
        <v/>
      </c>
      <c r="T2006" s="39" t="str">
        <f>IF(ISERROR(FIND('112'!$M$9,G2006,1)),"",IF((AND(LEFT(G2006,2)=LEFT('112'!$M$9,2),B2006&lt;'112'!$N$8,$L2006='112'!$I$6)),"x",""))</f>
        <v/>
      </c>
      <c r="U2006" s="39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39" t="str">
        <f>IF(OR(TH!L2006=TH!$W$7,M2006=TH!$W$7),"x","")</f>
        <v/>
      </c>
      <c r="X2006" s="39" t="str">
        <f>IF(AND(B2006&gt;='IN-NX'!$P$3,B2006&lt;='IN-NX'!$Q$3,'IN-NX'!$D$7=D2006,OR(LEFT(L2006,2)="15",AND(LEFT(M2006,2)&lt;&gt;"15",LEFT(M2006,2)&lt;&gt;"33"))),"x","")</f>
        <v/>
      </c>
      <c r="Y2006" s="39" t="str">
        <f>IF(AND(OR(LEFT(TH!L2006,2)="15",LEFT(TH!M2006,2)="15"),'152-CT'!$J$8=TH!F2006),"x","")</f>
        <v/>
      </c>
      <c r="Z2006" s="39" t="str">
        <f>IF(AND(OR(LEFT(TH!L2006,2)="15",LEFT(TH!M2006,2)="15"),TK!$E$7=TH!F2006),"x","")</f>
        <v/>
      </c>
      <c r="AA2006" s="39" t="str">
        <f>IF(AND(B2006&lt;=NKC!$N$8,B2006&gt;=NKC!$M$8),"x","")</f>
        <v/>
      </c>
      <c r="AB2006" s="821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103"/>
        <v/>
      </c>
      <c r="C2007" s="191"/>
      <c r="D2007" s="37"/>
      <c r="E2007" s="731"/>
      <c r="F2007" s="192"/>
      <c r="G2007" s="468"/>
      <c r="H2007" s="193"/>
      <c r="I2007" s="256"/>
      <c r="J2007" s="256"/>
      <c r="K2007" s="568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902" t="str">
        <f>IF(AND('341-CT'!$E$9=H2007,OR(LEFT(L2007,3)=$O$7,LEFT(M2007,3)=$O$7)),"x","")</f>
        <v/>
      </c>
      <c r="P2007" s="39" t="str">
        <f>IF(AND($B2007&gt;='111'!$N$11,$B2007&lt;='111'!$O$11,OR($L2007=$P$7,$M2007=$P$7)),"x","")</f>
        <v/>
      </c>
      <c r="Q2007" s="39" t="str">
        <f>IF(AND($L2007=$P$7,$B2007&lt;'111'!$N$11),"x","")</f>
        <v/>
      </c>
      <c r="R2007" s="39" t="str">
        <f>IF(AND($M2007=$P$7,$B2007&lt;'111'!$N$11),"x","")</f>
        <v/>
      </c>
      <c r="S2007" s="39" t="str">
        <f>IF(ISERROR(FIND('112'!$M$9,G2007,1)),"",IF((AND(FIND('112'!$M$9,G2007,1)&gt;=1,$B2007&gt;='112'!$N$8,$B2007&lt;='112'!$O$8,OR($L2007='112'!$I$6,$M2007='112'!$I$6))),"x",""))</f>
        <v/>
      </c>
      <c r="T2007" s="39" t="str">
        <f>IF(ISERROR(FIND('112'!$M$9,G2007,1)),"",IF((AND(LEFT(G2007,2)=LEFT('112'!$M$9,2),B2007&lt;'112'!$N$8,$L2007='112'!$I$6)),"x",""))</f>
        <v/>
      </c>
      <c r="U2007" s="39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39" t="str">
        <f>IF(OR(TH!L2007=TH!$W$7,M2007=TH!$W$7),"x","")</f>
        <v/>
      </c>
      <c r="X2007" s="39" t="str">
        <f>IF(AND(B2007&gt;='IN-NX'!$P$3,B2007&lt;='IN-NX'!$Q$3,'IN-NX'!$D$7=D2007,OR(LEFT(L2007,2)="15",AND(LEFT(M2007,2)&lt;&gt;"15",LEFT(M2007,2)&lt;&gt;"33"))),"x","")</f>
        <v/>
      </c>
      <c r="Y2007" s="39" t="str">
        <f>IF(AND(OR(LEFT(TH!L2007,2)="15",LEFT(TH!M2007,2)="15"),'152-CT'!$J$8=TH!F2007),"x","")</f>
        <v/>
      </c>
      <c r="Z2007" s="39" t="str">
        <f>IF(AND(OR(LEFT(TH!L2007,2)="15",LEFT(TH!M2007,2)="15"),TK!$E$7=TH!F2007),"x","")</f>
        <v/>
      </c>
      <c r="AA2007" s="39" t="str">
        <f>IF(AND(B2007&lt;=NKC!$N$8,B2007&gt;=NKC!$M$8),"x","")</f>
        <v/>
      </c>
      <c r="AB2007" s="821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103"/>
        <v/>
      </c>
      <c r="C2008" s="191"/>
      <c r="D2008" s="37"/>
      <c r="E2008" s="731"/>
      <c r="F2008" s="192"/>
      <c r="G2008" s="468"/>
      <c r="H2008" s="193"/>
      <c r="I2008" s="256"/>
      <c r="J2008" s="256"/>
      <c r="K2008" s="568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902" t="str">
        <f>IF(AND('341-CT'!$E$9=H2008,OR(LEFT(L2008,3)=$O$7,LEFT(M2008,3)=$O$7)),"x","")</f>
        <v/>
      </c>
      <c r="P2008" s="39" t="str">
        <f>IF(AND($B2008&gt;='111'!$N$11,$B2008&lt;='111'!$O$11,OR($L2008=$P$7,$M2008=$P$7)),"x","")</f>
        <v/>
      </c>
      <c r="Q2008" s="39" t="str">
        <f>IF(AND($L2008=$P$7,$B2008&lt;'111'!$N$11),"x","")</f>
        <v/>
      </c>
      <c r="R2008" s="39" t="str">
        <f>IF(AND($M2008=$P$7,$B2008&lt;'111'!$N$11),"x","")</f>
        <v/>
      </c>
      <c r="S2008" s="39" t="str">
        <f>IF(ISERROR(FIND('112'!$M$9,G2008,1)),"",IF((AND(FIND('112'!$M$9,G2008,1)&gt;=1,$B2008&gt;='112'!$N$8,$B2008&lt;='112'!$O$8,OR($L2008='112'!$I$6,$M2008='112'!$I$6))),"x",""))</f>
        <v/>
      </c>
      <c r="T2008" s="39" t="str">
        <f>IF(ISERROR(FIND('112'!$M$9,G2008,1)),"",IF((AND(LEFT(G2008,2)=LEFT('112'!$M$9,2),B2008&lt;'112'!$N$8,$L2008='112'!$I$6)),"x",""))</f>
        <v/>
      </c>
      <c r="U2008" s="39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39" t="str">
        <f>IF(OR(TH!L2008=TH!$W$7,M2008=TH!$W$7),"x","")</f>
        <v/>
      </c>
      <c r="X2008" s="39" t="str">
        <f>IF(AND(B2008&gt;='IN-NX'!$P$3,B2008&lt;='IN-NX'!$Q$3,'IN-NX'!$D$7=D2008,OR(LEFT(L2008,2)="15",AND(LEFT(M2008,2)&lt;&gt;"15",LEFT(M2008,2)&lt;&gt;"33"))),"x","")</f>
        <v/>
      </c>
      <c r="Y2008" s="39" t="str">
        <f>IF(AND(OR(LEFT(TH!L2008,2)="15",LEFT(TH!M2008,2)="15"),'152-CT'!$J$8=TH!F2008),"x","")</f>
        <v/>
      </c>
      <c r="Z2008" s="39" t="str">
        <f>IF(AND(OR(LEFT(TH!L2008,2)="15",LEFT(TH!M2008,2)="15"),TK!$E$7=TH!F2008),"x","")</f>
        <v/>
      </c>
      <c r="AA2008" s="39" t="str">
        <f>IF(AND(B2008&lt;=NKC!$N$8,B2008&gt;=NKC!$M$8),"x","")</f>
        <v/>
      </c>
      <c r="AB2008" s="821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si="103"/>
        <v/>
      </c>
      <c r="C2009" s="191"/>
      <c r="D2009" s="37"/>
      <c r="E2009" s="731"/>
      <c r="F2009" s="192"/>
      <c r="G2009" s="468"/>
      <c r="H2009" s="193"/>
      <c r="I2009" s="256"/>
      <c r="J2009" s="256"/>
      <c r="K2009" s="568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902" t="str">
        <f>IF(AND('341-CT'!$E$9=H2009,OR(LEFT(L2009,3)=$O$7,LEFT(M2009,3)=$O$7)),"x","")</f>
        <v/>
      </c>
      <c r="P2009" s="39" t="str">
        <f>IF(AND($B2009&gt;='111'!$N$11,$B2009&lt;='111'!$O$11,OR($L2009=$P$7,$M2009=$P$7)),"x","")</f>
        <v/>
      </c>
      <c r="Q2009" s="39" t="str">
        <f>IF(AND($L2009=$P$7,$B2009&lt;'111'!$N$11),"x","")</f>
        <v/>
      </c>
      <c r="R2009" s="39" t="str">
        <f>IF(AND($M2009=$P$7,$B2009&lt;'111'!$N$11),"x","")</f>
        <v/>
      </c>
      <c r="S2009" s="39" t="str">
        <f>IF(ISERROR(FIND('112'!$M$9,G2009,1)),"",IF((AND(FIND('112'!$M$9,G2009,1)&gt;=1,$B2009&gt;='112'!$N$8,$B2009&lt;='112'!$O$8,OR($L2009='112'!$I$6,$M2009='112'!$I$6))),"x",""))</f>
        <v/>
      </c>
      <c r="T2009" s="39" t="str">
        <f>IF(ISERROR(FIND('112'!$M$9,G2009,1)),"",IF((AND(LEFT(G2009,2)=LEFT('112'!$M$9,2),B2009&lt;'112'!$N$8,$L2009='112'!$I$6)),"x",""))</f>
        <v/>
      </c>
      <c r="U2009" s="39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39" t="str">
        <f>IF(OR(TH!L2009=TH!$W$7,M2009=TH!$W$7),"x","")</f>
        <v/>
      </c>
      <c r="X2009" s="39" t="str">
        <f>IF(AND(B2009&gt;='IN-NX'!$P$3,B2009&lt;='IN-NX'!$Q$3,'IN-NX'!$D$7=D2009,OR(LEFT(L2009,2)="15",AND(LEFT(M2009,2)&lt;&gt;"15",LEFT(M2009,2)&lt;&gt;"33"))),"x","")</f>
        <v/>
      </c>
      <c r="Y2009" s="39" t="str">
        <f>IF(AND(OR(LEFT(TH!L2009,2)="15",LEFT(TH!M2009,2)="15"),'152-CT'!$J$8=TH!F2009),"x","")</f>
        <v/>
      </c>
      <c r="Z2009" s="39" t="str">
        <f>IF(AND(OR(LEFT(TH!L2009,2)="15",LEFT(TH!M2009,2)="15"),TK!$E$7=TH!F2009),"x","")</f>
        <v/>
      </c>
      <c r="AA2009" s="39" t="str">
        <f>IF(AND(B2009&lt;=NKC!$N$8,B2009&gt;=NKC!$M$8),"x","")</f>
        <v/>
      </c>
      <c r="AB2009" s="821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103"/>
        <v/>
      </c>
      <c r="C2010" s="191"/>
      <c r="D2010" s="37"/>
      <c r="E2010" s="731"/>
      <c r="F2010" s="192"/>
      <c r="G2010" s="468"/>
      <c r="H2010" s="193"/>
      <c r="I2010" s="256"/>
      <c r="J2010" s="256"/>
      <c r="K2010" s="568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902" t="str">
        <f>IF(AND('341-CT'!$E$9=H2010,OR(LEFT(L2010,3)=$O$7,LEFT(M2010,3)=$O$7)),"x","")</f>
        <v/>
      </c>
      <c r="P2010" s="39" t="str">
        <f>IF(AND($B2010&gt;='111'!$N$11,$B2010&lt;='111'!$O$11,OR($L2010=$P$7,$M2010=$P$7)),"x","")</f>
        <v/>
      </c>
      <c r="Q2010" s="39" t="str">
        <f>IF(AND($L2010=$P$7,$B2010&lt;'111'!$N$11),"x","")</f>
        <v/>
      </c>
      <c r="R2010" s="39" t="str">
        <f>IF(AND($M2010=$P$7,$B2010&lt;'111'!$N$11),"x","")</f>
        <v/>
      </c>
      <c r="S2010" s="39" t="str">
        <f>IF(ISERROR(FIND('112'!$M$9,G2010,1)),"",IF((AND(FIND('112'!$M$9,G2010,1)&gt;=1,$B2010&gt;='112'!$N$8,$B2010&lt;='112'!$O$8,OR($L2010='112'!$I$6,$M2010='112'!$I$6))),"x",""))</f>
        <v/>
      </c>
      <c r="T2010" s="39" t="str">
        <f>IF(ISERROR(FIND('112'!$M$9,G2010,1)),"",IF((AND(LEFT(G2010,2)=LEFT('112'!$M$9,2),B2010&lt;'112'!$N$8,$L2010='112'!$I$6)),"x",""))</f>
        <v/>
      </c>
      <c r="U2010" s="39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39" t="str">
        <f>IF(OR(TH!L2010=TH!$W$7,M2010=TH!$W$7),"x","")</f>
        <v/>
      </c>
      <c r="X2010" s="39" t="str">
        <f>IF(AND(B2010&gt;='IN-NX'!$P$3,B2010&lt;='IN-NX'!$Q$3,'IN-NX'!$D$7=D2010,OR(LEFT(L2010,2)="15",AND(LEFT(M2010,2)&lt;&gt;"15",LEFT(M2010,2)&lt;&gt;"33"))),"x","")</f>
        <v/>
      </c>
      <c r="Y2010" s="39" t="str">
        <f>IF(AND(OR(LEFT(TH!L2010,2)="15",LEFT(TH!M2010,2)="15"),'152-CT'!$J$8=TH!F2010),"x","")</f>
        <v/>
      </c>
      <c r="Z2010" s="39" t="str">
        <f>IF(AND(OR(LEFT(TH!L2010,2)="15",LEFT(TH!M2010,2)="15"),TK!$E$7=TH!F2010),"x","")</f>
        <v/>
      </c>
      <c r="AA2010" s="39" t="str">
        <f>IF(AND(B2010&lt;=NKC!$N$8,B2010&gt;=NKC!$M$8),"x","")</f>
        <v/>
      </c>
      <c r="AB2010" s="821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103"/>
        <v/>
      </c>
      <c r="C2011" s="191"/>
      <c r="D2011" s="37"/>
      <c r="E2011" s="731"/>
      <c r="F2011" s="192"/>
      <c r="G2011" s="468"/>
      <c r="H2011" s="193"/>
      <c r="I2011" s="256"/>
      <c r="J2011" s="256"/>
      <c r="K2011" s="568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902" t="str">
        <f>IF(AND('341-CT'!$E$9=H2011,OR(LEFT(L2011,3)=$O$7,LEFT(M2011,3)=$O$7)),"x","")</f>
        <v/>
      </c>
      <c r="P2011" s="39" t="str">
        <f>IF(AND($B2011&gt;='111'!$N$11,$B2011&lt;='111'!$O$11,OR($L2011=$P$7,$M2011=$P$7)),"x","")</f>
        <v/>
      </c>
      <c r="Q2011" s="39" t="str">
        <f>IF(AND($L2011=$P$7,$B2011&lt;'111'!$N$11),"x","")</f>
        <v/>
      </c>
      <c r="R2011" s="39" t="str">
        <f>IF(AND($M2011=$P$7,$B2011&lt;'111'!$N$11),"x","")</f>
        <v/>
      </c>
      <c r="S2011" s="39" t="str">
        <f>IF(ISERROR(FIND('112'!$M$9,G2011,1)),"",IF((AND(FIND('112'!$M$9,G2011,1)&gt;=1,$B2011&gt;='112'!$N$8,$B2011&lt;='112'!$O$8,OR($L2011='112'!$I$6,$M2011='112'!$I$6))),"x",""))</f>
        <v/>
      </c>
      <c r="T2011" s="39" t="str">
        <f>IF(ISERROR(FIND('112'!$M$9,G2011,1)),"",IF((AND(LEFT(G2011,2)=LEFT('112'!$M$9,2),B2011&lt;'112'!$N$8,$L2011='112'!$I$6)),"x",""))</f>
        <v/>
      </c>
      <c r="U2011" s="39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39" t="str">
        <f>IF(OR(TH!L2011=TH!$W$7,M2011=TH!$W$7),"x","")</f>
        <v/>
      </c>
      <c r="X2011" s="39" t="str">
        <f>IF(AND(B2011&gt;='IN-NX'!$P$3,B2011&lt;='IN-NX'!$Q$3,'IN-NX'!$D$7=D2011,OR(LEFT(L2011,2)="15",AND(LEFT(M2011,2)&lt;&gt;"15",LEFT(M2011,2)&lt;&gt;"33"))),"x","")</f>
        <v/>
      </c>
      <c r="Y2011" s="39" t="str">
        <f>IF(AND(OR(LEFT(TH!L2011,2)="15",LEFT(TH!M2011,2)="15"),'152-CT'!$J$8=TH!F2011),"x","")</f>
        <v/>
      </c>
      <c r="Z2011" s="39" t="str">
        <f>IF(AND(OR(LEFT(TH!L2011,2)="15",LEFT(TH!M2011,2)="15"),TK!$E$7=TH!F2011),"x","")</f>
        <v/>
      </c>
      <c r="AA2011" s="39" t="str">
        <f>IF(AND(B2011&lt;=NKC!$N$8,B2011&gt;=NKC!$M$8),"x","")</f>
        <v/>
      </c>
      <c r="AB2011" s="821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103"/>
        <v/>
      </c>
      <c r="C2012" s="191"/>
      <c r="D2012" s="37"/>
      <c r="E2012" s="731"/>
      <c r="F2012" s="192"/>
      <c r="G2012" s="468"/>
      <c r="H2012" s="193"/>
      <c r="I2012" s="256"/>
      <c r="J2012" s="256"/>
      <c r="K2012" s="568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902" t="str">
        <f>IF(AND('341-CT'!$E$9=H2012,OR(LEFT(L2012,3)=$O$7,LEFT(M2012,3)=$O$7)),"x","")</f>
        <v/>
      </c>
      <c r="P2012" s="39" t="str">
        <f>IF(AND($B2012&gt;='111'!$N$11,$B2012&lt;='111'!$O$11,OR($L2012=$P$7,$M2012=$P$7)),"x","")</f>
        <v/>
      </c>
      <c r="Q2012" s="39" t="str">
        <f>IF(AND($L2012=$P$7,$B2012&lt;'111'!$N$11),"x","")</f>
        <v/>
      </c>
      <c r="R2012" s="39" t="str">
        <f>IF(AND($M2012=$P$7,$B2012&lt;'111'!$N$11),"x","")</f>
        <v/>
      </c>
      <c r="S2012" s="39" t="str">
        <f>IF(ISERROR(FIND('112'!$M$9,G2012,1)),"",IF((AND(FIND('112'!$M$9,G2012,1)&gt;=1,$B2012&gt;='112'!$N$8,$B2012&lt;='112'!$O$8,OR($L2012='112'!$I$6,$M2012='112'!$I$6))),"x",""))</f>
        <v/>
      </c>
      <c r="T2012" s="39" t="str">
        <f>IF(ISERROR(FIND('112'!$M$9,G2012,1)),"",IF((AND(LEFT(G2012,2)=LEFT('112'!$M$9,2),B2012&lt;'112'!$N$8,$L2012='112'!$I$6)),"x",""))</f>
        <v/>
      </c>
      <c r="U2012" s="39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39" t="str">
        <f>IF(OR(TH!L2012=TH!$W$7,M2012=TH!$W$7),"x","")</f>
        <v/>
      </c>
      <c r="X2012" s="39" t="str">
        <f>IF(AND(B2012&gt;='IN-NX'!$P$3,B2012&lt;='IN-NX'!$Q$3,'IN-NX'!$D$7=D2012,OR(LEFT(L2012,2)="15",AND(LEFT(M2012,2)&lt;&gt;"15",LEFT(M2012,2)&lt;&gt;"33"))),"x","")</f>
        <v/>
      </c>
      <c r="Y2012" s="39" t="str">
        <f>IF(AND(OR(LEFT(TH!L2012,2)="15",LEFT(TH!M2012,2)="15"),'152-CT'!$J$8=TH!F2012),"x","")</f>
        <v/>
      </c>
      <c r="Z2012" s="39" t="str">
        <f>IF(AND(OR(LEFT(TH!L2012,2)="15",LEFT(TH!M2012,2)="15"),TK!$E$7=TH!F2012),"x","")</f>
        <v/>
      </c>
      <c r="AA2012" s="39" t="str">
        <f>IF(AND(B2012&lt;=NKC!$N$8,B2012&gt;=NKC!$M$8),"x","")</f>
        <v/>
      </c>
      <c r="AB2012" s="821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103"/>
        <v/>
      </c>
      <c r="C2013" s="191"/>
      <c r="D2013" s="37"/>
      <c r="E2013" s="731"/>
      <c r="F2013" s="192"/>
      <c r="G2013" s="468"/>
      <c r="H2013" s="193"/>
      <c r="I2013" s="256"/>
      <c r="J2013" s="256"/>
      <c r="K2013" s="568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902" t="str">
        <f>IF(AND('341-CT'!$E$9=H2013,OR(LEFT(L2013,3)=$O$7,LEFT(M2013,3)=$O$7)),"x","")</f>
        <v/>
      </c>
      <c r="P2013" s="39" t="str">
        <f>IF(AND($B2013&gt;='111'!$N$11,$B2013&lt;='111'!$O$11,OR($L2013=$P$7,$M2013=$P$7)),"x","")</f>
        <v/>
      </c>
      <c r="Q2013" s="39" t="str">
        <f>IF(AND($L2013=$P$7,$B2013&lt;'111'!$N$11),"x","")</f>
        <v/>
      </c>
      <c r="R2013" s="39" t="str">
        <f>IF(AND($M2013=$P$7,$B2013&lt;'111'!$N$11),"x","")</f>
        <v/>
      </c>
      <c r="S2013" s="39" t="str">
        <f>IF(ISERROR(FIND('112'!$M$9,G2013,1)),"",IF((AND(FIND('112'!$M$9,G2013,1)&gt;=1,$B2013&gt;='112'!$N$8,$B2013&lt;='112'!$O$8,OR($L2013='112'!$I$6,$M2013='112'!$I$6))),"x",""))</f>
        <v/>
      </c>
      <c r="T2013" s="39" t="str">
        <f>IF(ISERROR(FIND('112'!$M$9,G2013,1)),"",IF((AND(LEFT(G2013,2)=LEFT('112'!$M$9,2),B2013&lt;'112'!$N$8,$L2013='112'!$I$6)),"x",""))</f>
        <v/>
      </c>
      <c r="U2013" s="39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39" t="str">
        <f>IF(OR(TH!L2013=TH!$W$7,M2013=TH!$W$7),"x","")</f>
        <v/>
      </c>
      <c r="X2013" s="39" t="str">
        <f>IF(AND(B2013&gt;='IN-NX'!$P$3,B2013&lt;='IN-NX'!$Q$3,'IN-NX'!$D$7=D2013,OR(LEFT(L2013,2)="15",AND(LEFT(M2013,2)&lt;&gt;"15",LEFT(M2013,2)&lt;&gt;"33"))),"x","")</f>
        <v/>
      </c>
      <c r="Y2013" s="39" t="str">
        <f>IF(AND(OR(LEFT(TH!L2013,2)="15",LEFT(TH!M2013,2)="15"),'152-CT'!$J$8=TH!F2013),"x","")</f>
        <v/>
      </c>
      <c r="Z2013" s="39" t="str">
        <f>IF(AND(OR(LEFT(TH!L2013,2)="15",LEFT(TH!M2013,2)="15"),TK!$E$7=TH!F2013),"x","")</f>
        <v/>
      </c>
      <c r="AA2013" s="39" t="str">
        <f>IF(AND(B2013&lt;=NKC!$N$8,B2013&gt;=NKC!$M$8),"x","")</f>
        <v/>
      </c>
      <c r="AB2013" s="821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103"/>
        <v/>
      </c>
      <c r="C2014" s="191"/>
      <c r="D2014" s="37"/>
      <c r="E2014" s="731"/>
      <c r="F2014" s="192"/>
      <c r="G2014" s="468"/>
      <c r="H2014" s="193"/>
      <c r="I2014" s="256"/>
      <c r="J2014" s="256"/>
      <c r="K2014" s="568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902" t="str">
        <f>IF(AND('341-CT'!$E$9=H2014,OR(LEFT(L2014,3)=$O$7,LEFT(M2014,3)=$O$7)),"x","")</f>
        <v/>
      </c>
      <c r="P2014" s="39" t="str">
        <f>IF(AND($B2014&gt;='111'!$N$11,$B2014&lt;='111'!$O$11,OR($L2014=$P$7,$M2014=$P$7)),"x","")</f>
        <v/>
      </c>
      <c r="Q2014" s="39" t="str">
        <f>IF(AND($L2014=$P$7,$B2014&lt;'111'!$N$11),"x","")</f>
        <v/>
      </c>
      <c r="R2014" s="39" t="str">
        <f>IF(AND($M2014=$P$7,$B2014&lt;'111'!$N$11),"x","")</f>
        <v/>
      </c>
      <c r="S2014" s="39" t="str">
        <f>IF(ISERROR(FIND('112'!$M$9,G2014,1)),"",IF((AND(FIND('112'!$M$9,G2014,1)&gt;=1,$B2014&gt;='112'!$N$8,$B2014&lt;='112'!$O$8,OR($L2014='112'!$I$6,$M2014='112'!$I$6))),"x",""))</f>
        <v/>
      </c>
      <c r="T2014" s="39" t="str">
        <f>IF(ISERROR(FIND('112'!$M$9,G2014,1)),"",IF((AND(LEFT(G2014,2)=LEFT('112'!$M$9,2),B2014&lt;'112'!$N$8,$L2014='112'!$I$6)),"x",""))</f>
        <v/>
      </c>
      <c r="U2014" s="39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39" t="str">
        <f>IF(OR(TH!L2014=TH!$W$7,M2014=TH!$W$7),"x","")</f>
        <v/>
      </c>
      <c r="X2014" s="39" t="str">
        <f>IF(AND(B2014&gt;='IN-NX'!$P$3,B2014&lt;='IN-NX'!$Q$3,'IN-NX'!$D$7=D2014,OR(LEFT(L2014,2)="15",AND(LEFT(M2014,2)&lt;&gt;"15",LEFT(M2014,2)&lt;&gt;"33"))),"x","")</f>
        <v/>
      </c>
      <c r="Y2014" s="39" t="str">
        <f>IF(AND(OR(LEFT(TH!L2014,2)="15",LEFT(TH!M2014,2)="15"),'152-CT'!$J$8=TH!F2014),"x","")</f>
        <v/>
      </c>
      <c r="Z2014" s="39" t="str">
        <f>IF(AND(OR(LEFT(TH!L2014,2)="15",LEFT(TH!M2014,2)="15"),TK!$E$7=TH!F2014),"x","")</f>
        <v/>
      </c>
      <c r="AA2014" s="39" t="str">
        <f>IF(AND(B2014&lt;=NKC!$N$8,B2014&gt;=NKC!$M$8),"x","")</f>
        <v/>
      </c>
      <c r="AB2014" s="821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si="103"/>
        <v/>
      </c>
      <c r="C2015" s="191"/>
      <c r="D2015" s="37"/>
      <c r="E2015" s="731"/>
      <c r="F2015" s="192"/>
      <c r="G2015" s="468"/>
      <c r="H2015" s="193"/>
      <c r="I2015" s="256"/>
      <c r="J2015" s="256"/>
      <c r="K2015" s="568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902" t="str">
        <f>IF(AND('341-CT'!$E$9=H2015,OR(LEFT(L2015,3)=$O$7,LEFT(M2015,3)=$O$7)),"x","")</f>
        <v/>
      </c>
      <c r="P2015" s="39" t="str">
        <f>IF(AND($B2015&gt;='111'!$N$11,$B2015&lt;='111'!$O$11,OR($L2015=$P$7,$M2015=$P$7)),"x","")</f>
        <v/>
      </c>
      <c r="Q2015" s="39" t="str">
        <f>IF(AND($L2015=$P$7,$B2015&lt;'111'!$N$11),"x","")</f>
        <v/>
      </c>
      <c r="R2015" s="39" t="str">
        <f>IF(AND($M2015=$P$7,$B2015&lt;'111'!$N$11),"x","")</f>
        <v/>
      </c>
      <c r="S2015" s="39" t="str">
        <f>IF(ISERROR(FIND('112'!$M$9,G2015,1)),"",IF((AND(FIND('112'!$M$9,G2015,1)&gt;=1,$B2015&gt;='112'!$N$8,$B2015&lt;='112'!$O$8,OR($L2015='112'!$I$6,$M2015='112'!$I$6))),"x",""))</f>
        <v/>
      </c>
      <c r="T2015" s="39" t="str">
        <f>IF(ISERROR(FIND('112'!$M$9,G2015,1)),"",IF((AND(LEFT(G2015,2)=LEFT('112'!$M$9,2),B2015&lt;'112'!$N$8,$L2015='112'!$I$6)),"x",""))</f>
        <v/>
      </c>
      <c r="U2015" s="39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39" t="str">
        <f>IF(OR(TH!L2015=TH!$W$7,M2015=TH!$W$7),"x","")</f>
        <v/>
      </c>
      <c r="X2015" s="39" t="str">
        <f>IF(AND(B2015&gt;='IN-NX'!$P$3,B2015&lt;='IN-NX'!$Q$3,'IN-NX'!$D$7=D2015,OR(LEFT(L2015,2)="15",AND(LEFT(M2015,2)&lt;&gt;"15",LEFT(M2015,2)&lt;&gt;"33"))),"x","")</f>
        <v/>
      </c>
      <c r="Y2015" s="39" t="str">
        <f>IF(AND(OR(LEFT(TH!L2015,2)="15",LEFT(TH!M2015,2)="15"),'152-CT'!$J$8=TH!F2015),"x","")</f>
        <v/>
      </c>
      <c r="Z2015" s="39" t="str">
        <f>IF(AND(OR(LEFT(TH!L2015,2)="15",LEFT(TH!M2015,2)="15"),TK!$E$7=TH!F2015),"x","")</f>
        <v/>
      </c>
      <c r="AA2015" s="39" t="str">
        <f>IF(AND(B2015&lt;=NKC!$N$8,B2015&gt;=NKC!$M$8),"x","")</f>
        <v/>
      </c>
      <c r="AB2015" s="821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103"/>
        <v/>
      </c>
      <c r="C2016" s="191"/>
      <c r="D2016" s="37"/>
      <c r="E2016" s="731"/>
      <c r="F2016" s="192"/>
      <c r="G2016" s="468"/>
      <c r="H2016" s="193"/>
      <c r="I2016" s="256"/>
      <c r="J2016" s="256"/>
      <c r="K2016" s="568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902" t="str">
        <f>IF(AND('341-CT'!$E$9=H2016,OR(LEFT(L2016,3)=$O$7,LEFT(M2016,3)=$O$7)),"x","")</f>
        <v/>
      </c>
      <c r="P2016" s="39" t="str">
        <f>IF(AND($B2016&gt;='111'!$N$11,$B2016&lt;='111'!$O$11,OR($L2016=$P$7,$M2016=$P$7)),"x","")</f>
        <v/>
      </c>
      <c r="Q2016" s="39" t="str">
        <f>IF(AND($L2016=$P$7,$B2016&lt;'111'!$N$11),"x","")</f>
        <v/>
      </c>
      <c r="R2016" s="39" t="str">
        <f>IF(AND($M2016=$P$7,$B2016&lt;'111'!$N$11),"x","")</f>
        <v/>
      </c>
      <c r="S2016" s="39" t="str">
        <f>IF(ISERROR(FIND('112'!$M$9,G2016,1)),"",IF((AND(FIND('112'!$M$9,G2016,1)&gt;=1,$B2016&gt;='112'!$N$8,$B2016&lt;='112'!$O$8,OR($L2016='112'!$I$6,$M2016='112'!$I$6))),"x",""))</f>
        <v/>
      </c>
      <c r="T2016" s="39" t="str">
        <f>IF(ISERROR(FIND('112'!$M$9,G2016,1)),"",IF((AND(LEFT(G2016,2)=LEFT('112'!$M$9,2),B2016&lt;'112'!$N$8,$L2016='112'!$I$6)),"x",""))</f>
        <v/>
      </c>
      <c r="U2016" s="39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39" t="str">
        <f>IF(OR(TH!L2016=TH!$W$7,M2016=TH!$W$7),"x","")</f>
        <v/>
      </c>
      <c r="X2016" s="39" t="str">
        <f>IF(AND(B2016&gt;='IN-NX'!$P$3,B2016&lt;='IN-NX'!$Q$3,'IN-NX'!$D$7=D2016,OR(LEFT(L2016,2)="15",AND(LEFT(M2016,2)&lt;&gt;"15",LEFT(M2016,2)&lt;&gt;"33"))),"x","")</f>
        <v/>
      </c>
      <c r="Y2016" s="39" t="str">
        <f>IF(AND(OR(LEFT(TH!L2016,2)="15",LEFT(TH!M2016,2)="15"),'152-CT'!$J$8=TH!F2016),"x","")</f>
        <v/>
      </c>
      <c r="Z2016" s="39" t="str">
        <f>IF(AND(OR(LEFT(TH!L2016,2)="15",LEFT(TH!M2016,2)="15"),TK!$E$7=TH!F2016),"x","")</f>
        <v/>
      </c>
      <c r="AA2016" s="39" t="str">
        <f>IF(AND(B2016&lt;=NKC!$N$8,B2016&gt;=NKC!$M$8),"x","")</f>
        <v/>
      </c>
      <c r="AB2016" s="821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103"/>
        <v/>
      </c>
      <c r="C2017" s="191"/>
      <c r="D2017" s="37"/>
      <c r="E2017" s="731"/>
      <c r="F2017" s="192"/>
      <c r="G2017" s="468"/>
      <c r="H2017" s="193"/>
      <c r="I2017" s="256"/>
      <c r="J2017" s="256"/>
      <c r="K2017" s="568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902" t="str">
        <f>IF(AND('341-CT'!$E$9=H2017,OR(LEFT(L2017,3)=$O$7,LEFT(M2017,3)=$O$7)),"x","")</f>
        <v/>
      </c>
      <c r="P2017" s="39" t="str">
        <f>IF(AND($B2017&gt;='111'!$N$11,$B2017&lt;='111'!$O$11,OR($L2017=$P$7,$M2017=$P$7)),"x","")</f>
        <v/>
      </c>
      <c r="Q2017" s="39" t="str">
        <f>IF(AND($L2017=$P$7,$B2017&lt;'111'!$N$11),"x","")</f>
        <v/>
      </c>
      <c r="R2017" s="39" t="str">
        <f>IF(AND($M2017=$P$7,$B2017&lt;'111'!$N$11),"x","")</f>
        <v/>
      </c>
      <c r="S2017" s="39" t="str">
        <f>IF(ISERROR(FIND('112'!$M$9,G2017,1)),"",IF((AND(FIND('112'!$M$9,G2017,1)&gt;=1,$B2017&gt;='112'!$N$8,$B2017&lt;='112'!$O$8,OR($L2017='112'!$I$6,$M2017='112'!$I$6))),"x",""))</f>
        <v/>
      </c>
      <c r="T2017" s="39" t="str">
        <f>IF(ISERROR(FIND('112'!$M$9,G2017,1)),"",IF((AND(LEFT(G2017,2)=LEFT('112'!$M$9,2),B2017&lt;'112'!$N$8,$L2017='112'!$I$6)),"x",""))</f>
        <v/>
      </c>
      <c r="U2017" s="39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39" t="str">
        <f>IF(OR(TH!L2017=TH!$W$7,M2017=TH!$W$7),"x","")</f>
        <v/>
      </c>
      <c r="X2017" s="39" t="str">
        <f>IF(AND(B2017&gt;='IN-NX'!$P$3,B2017&lt;='IN-NX'!$Q$3,'IN-NX'!$D$7=D2017,OR(LEFT(L2017,2)="15",AND(LEFT(M2017,2)&lt;&gt;"15",LEFT(M2017,2)&lt;&gt;"33"))),"x","")</f>
        <v/>
      </c>
      <c r="Y2017" s="39" t="str">
        <f>IF(AND(OR(LEFT(TH!L2017,2)="15",LEFT(TH!M2017,2)="15"),'152-CT'!$J$8=TH!F2017),"x","")</f>
        <v/>
      </c>
      <c r="Z2017" s="39" t="str">
        <f>IF(AND(OR(LEFT(TH!L2017,2)="15",LEFT(TH!M2017,2)="15"),TK!$E$7=TH!F2017),"x","")</f>
        <v/>
      </c>
      <c r="AA2017" s="39" t="str">
        <f>IF(AND(B2017&lt;=NKC!$N$8,B2017&gt;=NKC!$M$8),"x","")</f>
        <v/>
      </c>
      <c r="AB2017" s="821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103"/>
        <v/>
      </c>
      <c r="C2018" s="191"/>
      <c r="D2018" s="37"/>
      <c r="E2018" s="731"/>
      <c r="F2018" s="192"/>
      <c r="G2018" s="468"/>
      <c r="H2018" s="193"/>
      <c r="I2018" s="256"/>
      <c r="J2018" s="256"/>
      <c r="K2018" s="568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902" t="str">
        <f>IF(AND('341-CT'!$E$9=H2018,OR(LEFT(L2018,3)=$O$7,LEFT(M2018,3)=$O$7)),"x","")</f>
        <v/>
      </c>
      <c r="P2018" s="39" t="str">
        <f>IF(AND($B2018&gt;='111'!$N$11,$B2018&lt;='111'!$O$11,OR($L2018=$P$7,$M2018=$P$7)),"x","")</f>
        <v/>
      </c>
      <c r="Q2018" s="39" t="str">
        <f>IF(AND($L2018=$P$7,$B2018&lt;'111'!$N$11),"x","")</f>
        <v/>
      </c>
      <c r="R2018" s="39" t="str">
        <f>IF(AND($M2018=$P$7,$B2018&lt;'111'!$N$11),"x","")</f>
        <v/>
      </c>
      <c r="S2018" s="39" t="str">
        <f>IF(ISERROR(FIND('112'!$M$9,G2018,1)),"",IF((AND(FIND('112'!$M$9,G2018,1)&gt;=1,$B2018&gt;='112'!$N$8,$B2018&lt;='112'!$O$8,OR($L2018='112'!$I$6,$M2018='112'!$I$6))),"x",""))</f>
        <v/>
      </c>
      <c r="T2018" s="39" t="str">
        <f>IF(ISERROR(FIND('112'!$M$9,G2018,1)),"",IF((AND(LEFT(G2018,2)=LEFT('112'!$M$9,2),B2018&lt;'112'!$N$8,$L2018='112'!$I$6)),"x",""))</f>
        <v/>
      </c>
      <c r="U2018" s="39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39" t="str">
        <f>IF(OR(TH!L2018=TH!$W$7,M2018=TH!$W$7),"x","")</f>
        <v/>
      </c>
      <c r="X2018" s="39" t="str">
        <f>IF(AND(B2018&gt;='IN-NX'!$P$3,B2018&lt;='IN-NX'!$Q$3,'IN-NX'!$D$7=D2018,OR(LEFT(L2018,2)="15",AND(LEFT(M2018,2)&lt;&gt;"15",LEFT(M2018,2)&lt;&gt;"33"))),"x","")</f>
        <v/>
      </c>
      <c r="Y2018" s="39" t="str">
        <f>IF(AND(OR(LEFT(TH!L2018,2)="15",LEFT(TH!M2018,2)="15"),'152-CT'!$J$8=TH!F2018),"x","")</f>
        <v/>
      </c>
      <c r="Z2018" s="39" t="str">
        <f>IF(AND(OR(LEFT(TH!L2018,2)="15",LEFT(TH!M2018,2)="15"),TK!$E$7=TH!F2018),"x","")</f>
        <v/>
      </c>
      <c r="AA2018" s="39" t="str">
        <f>IF(AND(B2018&lt;=NKC!$N$8,B2018&gt;=NKC!$M$8),"x","")</f>
        <v/>
      </c>
      <c r="AB2018" s="821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 t="str">
        <f t="shared" si="103"/>
        <v/>
      </c>
      <c r="C2019" s="191"/>
      <c r="D2019" s="191"/>
      <c r="E2019" s="731"/>
      <c r="F2019" s="189"/>
      <c r="G2019" s="40"/>
      <c r="H2019" s="7"/>
      <c r="I2019" s="256"/>
      <c r="J2019" s="256"/>
      <c r="K2019" s="568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902" t="str">
        <f>IF(AND('341-CT'!$E$9=H2019,OR(LEFT(L2019,3)=$O$7,LEFT(M2019,3)=$O$7)),"x","")</f>
        <v/>
      </c>
      <c r="P2019" s="39" t="str">
        <f>IF(AND($B2019&gt;='111'!$N$11,$B2019&lt;='111'!$O$11,OR($L2019=$P$7,$M2019=$P$7)),"x","")</f>
        <v/>
      </c>
      <c r="Q2019" s="39" t="str">
        <f>IF(AND($L2019=$P$7,$B2019&lt;'111'!$N$11),"x","")</f>
        <v/>
      </c>
      <c r="R2019" s="39" t="str">
        <f>IF(AND($M2019=$P$7,$B2019&lt;'111'!$N$11),"x","")</f>
        <v/>
      </c>
      <c r="S2019" s="39" t="str">
        <f>IF(ISERROR(FIND('112'!$M$9,G2019,1)),"",IF((AND(FIND('112'!$M$9,G2019,1)&gt;=1,$B2019&gt;='112'!$N$8,$B2019&lt;='112'!$O$8,OR($L2019='112'!$I$6,$M2019='112'!$I$6))),"x",""))</f>
        <v/>
      </c>
      <c r="T2019" s="39" t="str">
        <f>IF(ISERROR(FIND('112'!$M$9,G2019,1)),"",IF((AND(LEFT(G2019,2)=LEFT('112'!$M$9,2),B2019&lt;'112'!$N$8,$L2019='112'!$I$6)),"x",""))</f>
        <v/>
      </c>
      <c r="U2019" s="39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39" t="str">
        <f>IF(OR(TH!L2019=TH!$W$7,M2019=TH!$W$7),"x","")</f>
        <v/>
      </c>
      <c r="X2019" s="39" t="str">
        <f>IF(AND(B2019&gt;='IN-NX'!$P$3,B2019&lt;='IN-NX'!$Q$3,'IN-NX'!$D$7=D2019,OR(LEFT(L2019,2)="15",AND(LEFT(M2019,2)&lt;&gt;"15",LEFT(M2019,2)&lt;&gt;"33"))),"x","")</f>
        <v/>
      </c>
      <c r="Y2019" s="39" t="str">
        <f>IF(AND(OR(LEFT(TH!L2019,2)="15",LEFT(TH!M2019,2)="15"),'152-CT'!$J$8=TH!F2019),"x","")</f>
        <v/>
      </c>
      <c r="Z2019" s="39" t="str">
        <f>IF(AND(OR(LEFT(TH!L2019,2)="15",LEFT(TH!M2019,2)="15"),TK!$E$7=TH!F2019),"x","")</f>
        <v/>
      </c>
      <c r="AA2019" s="39" t="str">
        <f>IF(AND(B2019&lt;=NKC!$N$8,B2019&gt;=NKC!$M$8),"x","")</f>
        <v/>
      </c>
      <c r="AB2019" s="821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 t="str">
        <f t="shared" si="103"/>
        <v/>
      </c>
      <c r="C2020" s="191"/>
      <c r="D2020" s="191"/>
      <c r="E2020" s="731"/>
      <c r="F2020" s="40"/>
      <c r="G2020" s="40"/>
      <c r="H2020" s="7"/>
      <c r="I2020" s="256"/>
      <c r="J2020" s="256"/>
      <c r="K2020" s="568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902" t="str">
        <f>IF(AND('341-CT'!$E$9=H2020,OR(LEFT(L2020,3)=$O$7,LEFT(M2020,3)=$O$7)),"x","")</f>
        <v/>
      </c>
      <c r="P2020" s="39" t="str">
        <f>IF(AND($B2020&gt;='111'!$N$11,$B2020&lt;='111'!$O$11,OR($L2020=$P$7,$M2020=$P$7)),"x","")</f>
        <v/>
      </c>
      <c r="Q2020" s="39" t="str">
        <f>IF(AND($L2020=$P$7,$B2020&lt;'111'!$N$11),"x","")</f>
        <v/>
      </c>
      <c r="R2020" s="39" t="str">
        <f>IF(AND($M2020=$P$7,$B2020&lt;'111'!$N$11),"x","")</f>
        <v/>
      </c>
      <c r="S2020" s="39" t="str">
        <f>IF(ISERROR(FIND('112'!$M$9,G2020,1)),"",IF((AND(FIND('112'!$M$9,G2020,1)&gt;=1,$B2020&gt;='112'!$N$8,$B2020&lt;='112'!$O$8,OR($L2020='112'!$I$6,$M2020='112'!$I$6))),"x",""))</f>
        <v/>
      </c>
      <c r="T2020" s="39" t="str">
        <f>IF(ISERROR(FIND('112'!$M$9,G2020,1)),"",IF((AND(LEFT(G2020,2)=LEFT('112'!$M$9,2),B2020&lt;'112'!$N$8,$L2020='112'!$I$6)),"x",""))</f>
        <v/>
      </c>
      <c r="U2020" s="39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39" t="str">
        <f>IF(OR(TH!L2020=TH!$W$7,M2020=TH!$W$7),"x","")</f>
        <v/>
      </c>
      <c r="X2020" s="39" t="str">
        <f>IF(AND(B2020&gt;='IN-NX'!$P$3,B2020&lt;='IN-NX'!$Q$3,'IN-NX'!$D$7=D2020,OR(LEFT(L2020,2)="15",AND(LEFT(M2020,2)&lt;&gt;"15",LEFT(M2020,2)&lt;&gt;"33"))),"x","")</f>
        <v/>
      </c>
      <c r="Y2020" s="39" t="str">
        <f>IF(AND(OR(LEFT(TH!L2020,2)="15",LEFT(TH!M2020,2)="15"),'152-CT'!$J$8=TH!F2020),"x","")</f>
        <v/>
      </c>
      <c r="Z2020" s="39" t="str">
        <f>IF(AND(OR(LEFT(TH!L2020,2)="15",LEFT(TH!M2020,2)="15"),TK!$E$7=TH!F2020),"x","")</f>
        <v/>
      </c>
      <c r="AA2020" s="39" t="str">
        <f>IF(AND(B2020&lt;=NKC!$N$8,B2020&gt;=NKC!$M$8),"x","")</f>
        <v/>
      </c>
      <c r="AB2020" s="821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 t="str">
        <f t="shared" si="103"/>
        <v/>
      </c>
      <c r="C2021" s="191"/>
      <c r="D2021" s="191"/>
      <c r="E2021" s="731"/>
      <c r="F2021" s="40"/>
      <c r="G2021" s="40"/>
      <c r="H2021" s="7"/>
      <c r="I2021" s="256"/>
      <c r="J2021" s="256"/>
      <c r="K2021" s="568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902" t="str">
        <f>IF(AND('341-CT'!$E$9=H2021,OR(LEFT(L2021,3)=$O$7,LEFT(M2021,3)=$O$7)),"x","")</f>
        <v/>
      </c>
      <c r="P2021" s="39" t="str">
        <f>IF(AND($B2021&gt;='111'!$N$11,$B2021&lt;='111'!$O$11,OR($L2021=$P$7,$M2021=$P$7)),"x","")</f>
        <v/>
      </c>
      <c r="Q2021" s="39" t="str">
        <f>IF(AND($L2021=$P$7,$B2021&lt;'111'!$N$11),"x","")</f>
        <v/>
      </c>
      <c r="R2021" s="39" t="str">
        <f>IF(AND($M2021=$P$7,$B2021&lt;'111'!$N$11),"x","")</f>
        <v/>
      </c>
      <c r="S2021" s="39" t="str">
        <f>IF(ISERROR(FIND('112'!$M$9,G2021,1)),"",IF((AND(FIND('112'!$M$9,G2021,1)&gt;=1,$B2021&gt;='112'!$N$8,$B2021&lt;='112'!$O$8,OR($L2021='112'!$I$6,$M2021='112'!$I$6))),"x",""))</f>
        <v/>
      </c>
      <c r="T2021" s="39" t="str">
        <f>IF(ISERROR(FIND('112'!$M$9,G2021,1)),"",IF((AND(LEFT(G2021,2)=LEFT('112'!$M$9,2),B2021&lt;'112'!$N$8,$L2021='112'!$I$6)),"x",""))</f>
        <v/>
      </c>
      <c r="U2021" s="39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39" t="str">
        <f>IF(OR(TH!L2021=TH!$W$7,M2021=TH!$W$7),"x","")</f>
        <v/>
      </c>
      <c r="X2021" s="39" t="str">
        <f>IF(AND(B2021&gt;='IN-NX'!$P$3,B2021&lt;='IN-NX'!$Q$3,'IN-NX'!$D$7=D2021,OR(LEFT(L2021,2)="15",AND(LEFT(M2021,2)&lt;&gt;"15",LEFT(M2021,2)&lt;&gt;"33"))),"x","")</f>
        <v/>
      </c>
      <c r="Y2021" s="39" t="str">
        <f>IF(AND(OR(LEFT(TH!L2021,2)="15",LEFT(TH!M2021,2)="15"),'152-CT'!$J$8=TH!F2021),"x","")</f>
        <v/>
      </c>
      <c r="Z2021" s="39" t="str">
        <f>IF(AND(OR(LEFT(TH!L2021,2)="15",LEFT(TH!M2021,2)="15"),TK!$E$7=TH!F2021),"x","")</f>
        <v/>
      </c>
      <c r="AA2021" s="39" t="str">
        <f>IF(AND(B2021&lt;=NKC!$N$8,B2021&gt;=NKC!$M$8),"x","")</f>
        <v/>
      </c>
      <c r="AB2021" s="821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 t="str">
        <f t="shared" si="103"/>
        <v/>
      </c>
      <c r="C2022" s="191"/>
      <c r="D2022" s="191"/>
      <c r="E2022" s="731"/>
      <c r="F2022" s="443"/>
      <c r="G2022" s="40"/>
      <c r="H2022" s="7"/>
      <c r="I2022" s="256"/>
      <c r="J2022" s="256"/>
      <c r="K2022" s="568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902" t="str">
        <f>IF(AND('341-CT'!$E$9=H2022,OR(LEFT(L2022,3)=$O$7,LEFT(M2022,3)=$O$7)),"x","")</f>
        <v/>
      </c>
      <c r="P2022" s="39" t="str">
        <f>IF(AND($B2022&gt;='111'!$N$11,$B2022&lt;='111'!$O$11,OR($L2022=$P$7,$M2022=$P$7)),"x","")</f>
        <v/>
      </c>
      <c r="Q2022" s="39" t="str">
        <f>IF(AND($L2022=$P$7,$B2022&lt;'111'!$N$11),"x","")</f>
        <v/>
      </c>
      <c r="R2022" s="39" t="str">
        <f>IF(AND($M2022=$P$7,$B2022&lt;'111'!$N$11),"x","")</f>
        <v/>
      </c>
      <c r="S2022" s="39" t="str">
        <f>IF(ISERROR(FIND('112'!$M$9,G2022,1)),"",IF((AND(FIND('112'!$M$9,G2022,1)&gt;=1,$B2022&gt;='112'!$N$8,$B2022&lt;='112'!$O$8,OR($L2022='112'!$I$6,$M2022='112'!$I$6))),"x",""))</f>
        <v/>
      </c>
      <c r="T2022" s="39" t="str">
        <f>IF(ISERROR(FIND('112'!$M$9,G2022,1)),"",IF((AND(LEFT(G2022,2)=LEFT('112'!$M$9,2),B2022&lt;'112'!$N$8,$L2022='112'!$I$6)),"x",""))</f>
        <v/>
      </c>
      <c r="U2022" s="39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39" t="str">
        <f>IF(OR(TH!L2022=TH!$W$7,M2022=TH!$W$7),"x","")</f>
        <v/>
      </c>
      <c r="X2022" s="39" t="str">
        <f>IF(AND(B2022&gt;='IN-NX'!$P$3,B2022&lt;='IN-NX'!$Q$3,'IN-NX'!$D$7=D2022,OR(LEFT(L2022,2)="15",AND(LEFT(M2022,2)&lt;&gt;"15",LEFT(M2022,2)&lt;&gt;"33"))),"x","")</f>
        <v/>
      </c>
      <c r="Y2022" s="39" t="str">
        <f>IF(AND(OR(LEFT(TH!L2022,2)="15",LEFT(TH!M2022,2)="15"),'152-CT'!$J$8=TH!F2022),"x","")</f>
        <v/>
      </c>
      <c r="Z2022" s="39" t="str">
        <f>IF(AND(OR(LEFT(TH!L2022,2)="15",LEFT(TH!M2022,2)="15"),TK!$E$7=TH!F2022),"x","")</f>
        <v/>
      </c>
      <c r="AA2022" s="39" t="str">
        <f>IF(AND(B2022&lt;=NKC!$N$8,B2022&gt;=NKC!$M$8),"x","")</f>
        <v/>
      </c>
      <c r="AB2022" s="821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 t="str">
        <f t="shared" si="103"/>
        <v/>
      </c>
      <c r="C2023" s="191"/>
      <c r="D2023" s="191"/>
      <c r="E2023" s="731"/>
      <c r="F2023" s="40"/>
      <c r="G2023" s="40"/>
      <c r="H2023" s="7"/>
      <c r="I2023" s="256"/>
      <c r="J2023" s="256"/>
      <c r="K2023" s="568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902" t="str">
        <f>IF(AND('341-CT'!$E$9=H2023,OR(LEFT(L2023,3)=$O$7,LEFT(M2023,3)=$O$7)),"x","")</f>
        <v/>
      </c>
      <c r="P2023" s="39" t="str">
        <f>IF(AND($B2023&gt;='111'!$N$11,$B2023&lt;='111'!$O$11,OR($L2023=$P$7,$M2023=$P$7)),"x","")</f>
        <v/>
      </c>
      <c r="Q2023" s="39" t="str">
        <f>IF(AND($L2023=$P$7,$B2023&lt;'111'!$N$11),"x","")</f>
        <v/>
      </c>
      <c r="R2023" s="39" t="str">
        <f>IF(AND($M2023=$P$7,$B2023&lt;'111'!$N$11),"x","")</f>
        <v/>
      </c>
      <c r="S2023" s="39" t="str">
        <f>IF(ISERROR(FIND('112'!$M$9,G2023,1)),"",IF((AND(FIND('112'!$M$9,G2023,1)&gt;=1,$B2023&gt;='112'!$N$8,$B2023&lt;='112'!$O$8,OR($L2023='112'!$I$6,$M2023='112'!$I$6))),"x",""))</f>
        <v/>
      </c>
      <c r="T2023" s="39" t="str">
        <f>IF(ISERROR(FIND('112'!$M$9,G2023,1)),"",IF((AND(LEFT(G2023,2)=LEFT('112'!$M$9,2),B2023&lt;'112'!$N$8,$L2023='112'!$I$6)),"x",""))</f>
        <v/>
      </c>
      <c r="U2023" s="39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39" t="str">
        <f>IF(OR(TH!L2023=TH!$W$7,M2023=TH!$W$7),"x","")</f>
        <v/>
      </c>
      <c r="X2023" s="39" t="str">
        <f>IF(AND(B2023&gt;='IN-NX'!$P$3,B2023&lt;='IN-NX'!$Q$3,'IN-NX'!$D$7=D2023,OR(LEFT(L2023,2)="15",AND(LEFT(M2023,2)&lt;&gt;"15",LEFT(M2023,2)&lt;&gt;"33"))),"x","")</f>
        <v/>
      </c>
      <c r="Y2023" s="39" t="str">
        <f>IF(AND(OR(LEFT(TH!L2023,2)="15",LEFT(TH!M2023,2)="15"),'152-CT'!$J$8=TH!F2023),"x","")</f>
        <v/>
      </c>
      <c r="Z2023" s="39" t="str">
        <f>IF(AND(OR(LEFT(TH!L2023,2)="15",LEFT(TH!M2023,2)="15"),TK!$E$7=TH!F2023),"x","")</f>
        <v/>
      </c>
      <c r="AA2023" s="39" t="str">
        <f>IF(AND(B2023&lt;=NKC!$N$8,B2023&gt;=NKC!$M$8),"x","")</f>
        <v/>
      </c>
      <c r="AB2023" s="821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 t="str">
        <f t="shared" si="103"/>
        <v/>
      </c>
      <c r="C2024" s="191"/>
      <c r="D2024" s="191"/>
      <c r="E2024" s="731"/>
      <c r="F2024" s="40"/>
      <c r="G2024" s="40"/>
      <c r="H2024" s="7"/>
      <c r="I2024" s="256"/>
      <c r="J2024" s="256"/>
      <c r="K2024" s="568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902" t="str">
        <f>IF(AND('341-CT'!$E$9=H2024,OR(LEFT(L2024,3)=$O$7,LEFT(M2024,3)=$O$7)),"x","")</f>
        <v/>
      </c>
      <c r="P2024" s="39" t="str">
        <f>IF(AND($B2024&gt;='111'!$N$11,$B2024&lt;='111'!$O$11,OR($L2024=$P$7,$M2024=$P$7)),"x","")</f>
        <v/>
      </c>
      <c r="Q2024" s="39" t="str">
        <f>IF(AND($L2024=$P$7,$B2024&lt;'111'!$N$11),"x","")</f>
        <v/>
      </c>
      <c r="R2024" s="39" t="str">
        <f>IF(AND($M2024=$P$7,$B2024&lt;'111'!$N$11),"x","")</f>
        <v/>
      </c>
      <c r="S2024" s="39" t="str">
        <f>IF(ISERROR(FIND('112'!$M$9,G2024,1)),"",IF((AND(FIND('112'!$M$9,G2024,1)&gt;=1,$B2024&gt;='112'!$N$8,$B2024&lt;='112'!$O$8,OR($L2024='112'!$I$6,$M2024='112'!$I$6))),"x",""))</f>
        <v/>
      </c>
      <c r="T2024" s="39" t="str">
        <f>IF(ISERROR(FIND('112'!$M$9,G2024,1)),"",IF((AND(LEFT(G2024,2)=LEFT('112'!$M$9,2),B2024&lt;'112'!$N$8,$L2024='112'!$I$6)),"x",""))</f>
        <v/>
      </c>
      <c r="U2024" s="39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39" t="str">
        <f>IF(OR(TH!L2024=TH!$W$7,M2024=TH!$W$7),"x","")</f>
        <v/>
      </c>
      <c r="X2024" s="39" t="str">
        <f>IF(AND(B2024&gt;='IN-NX'!$P$3,B2024&lt;='IN-NX'!$Q$3,'IN-NX'!$D$7=D2024,OR(LEFT(L2024,2)="15",AND(LEFT(M2024,2)&lt;&gt;"15",LEFT(M2024,2)&lt;&gt;"33"))),"x","")</f>
        <v/>
      </c>
      <c r="Y2024" s="39" t="str">
        <f>IF(AND(OR(LEFT(TH!L2024,2)="15",LEFT(TH!M2024,2)="15"),'152-CT'!$J$8=TH!F2024),"x","")</f>
        <v/>
      </c>
      <c r="Z2024" s="39" t="str">
        <f>IF(AND(OR(LEFT(TH!L2024,2)="15",LEFT(TH!M2024,2)="15"),TK!$E$7=TH!F2024),"x","")</f>
        <v/>
      </c>
      <c r="AA2024" s="39" t="str">
        <f>IF(AND(B2024&lt;=NKC!$N$8,B2024&gt;=NKC!$M$8),"x","")</f>
        <v/>
      </c>
      <c r="AB2024" s="821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 t="str">
        <f t="shared" si="103"/>
        <v/>
      </c>
      <c r="C2025" s="191"/>
      <c r="D2025" s="191"/>
      <c r="E2025" s="731"/>
      <c r="F2025" s="40"/>
      <c r="G2025" s="40"/>
      <c r="H2025" s="7"/>
      <c r="I2025" s="256"/>
      <c r="J2025" s="256"/>
      <c r="K2025" s="56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902" t="str">
        <f>IF(AND('341-CT'!$E$9=H2025,OR(LEFT(L2025,3)=$O$7,LEFT(M2025,3)=$O$7)),"x","")</f>
        <v/>
      </c>
      <c r="P2025" s="39" t="str">
        <f>IF(AND($B2025&gt;='111'!$N$11,$B2025&lt;='111'!$O$11,OR($L2025=$P$7,$M2025=$P$7)),"x","")</f>
        <v/>
      </c>
      <c r="Q2025" s="39" t="str">
        <f>IF(AND($L2025=$P$7,$B2025&lt;'111'!$N$11),"x","")</f>
        <v/>
      </c>
      <c r="R2025" s="39" t="str">
        <f>IF(AND($M2025=$P$7,$B2025&lt;'111'!$N$11),"x","")</f>
        <v/>
      </c>
      <c r="S2025" s="39" t="str">
        <f>IF(ISERROR(FIND('112'!$M$9,G2025,1)),"",IF((AND(FIND('112'!$M$9,G2025,1)&gt;=1,$B2025&gt;='112'!$N$8,$B2025&lt;='112'!$O$8,OR($L2025='112'!$I$6,$M2025='112'!$I$6))),"x",""))</f>
        <v/>
      </c>
      <c r="T2025" s="39" t="str">
        <f>IF(ISERROR(FIND('112'!$M$9,G2025,1)),"",IF((AND(LEFT(G2025,2)=LEFT('112'!$M$9,2),B2025&lt;'112'!$N$8,$L2025='112'!$I$6)),"x",""))</f>
        <v/>
      </c>
      <c r="U2025" s="39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39" t="str">
        <f>IF(OR(TH!L2025=TH!$W$7,M2025=TH!$W$7),"x","")</f>
        <v/>
      </c>
      <c r="X2025" s="39" t="str">
        <f>IF(AND(B2025&gt;='IN-NX'!$P$3,B2025&lt;='IN-NX'!$Q$3,'IN-NX'!$D$7=D2025,OR(LEFT(L2025,2)="15",AND(LEFT(M2025,2)&lt;&gt;"15",LEFT(M2025,2)&lt;&gt;"33"))),"x","")</f>
        <v/>
      </c>
      <c r="Y2025" s="39" t="str">
        <f>IF(AND(OR(LEFT(TH!L2025,2)="15",LEFT(TH!M2025,2)="15"),'152-CT'!$J$8=TH!F2025),"x","")</f>
        <v/>
      </c>
      <c r="Z2025" s="39" t="str">
        <f>IF(AND(OR(LEFT(TH!L2025,2)="15",LEFT(TH!M2025,2)="15"),TK!$E$7=TH!F2025),"x","")</f>
        <v/>
      </c>
      <c r="AA2025" s="39" t="str">
        <f>IF(AND(B2025&lt;=NKC!$N$8,B2025&gt;=NKC!$M$8),"x","")</f>
        <v/>
      </c>
      <c r="AB2025" s="821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 t="str">
        <f t="shared" si="103"/>
        <v/>
      </c>
      <c r="C2026" s="191"/>
      <c r="D2026" s="191"/>
      <c r="E2026" s="731"/>
      <c r="F2026" s="296"/>
      <c r="G2026" s="40"/>
      <c r="H2026" s="7"/>
      <c r="I2026" s="256"/>
      <c r="J2026" s="256"/>
      <c r="K2026" s="568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902" t="str">
        <f>IF(AND('341-CT'!$E$9=H2026,OR(LEFT(L2026,3)=$O$7,LEFT(M2026,3)=$O$7)),"x","")</f>
        <v/>
      </c>
      <c r="P2026" s="39" t="str">
        <f>IF(AND($B2026&gt;='111'!$N$11,$B2026&lt;='111'!$O$11,OR($L2026=$P$7,$M2026=$P$7)),"x","")</f>
        <v/>
      </c>
      <c r="Q2026" s="39" t="str">
        <f>IF(AND($L2026=$P$7,$B2026&lt;'111'!$N$11),"x","")</f>
        <v/>
      </c>
      <c r="R2026" s="39" t="str">
        <f>IF(AND($M2026=$P$7,$B2026&lt;'111'!$N$11),"x","")</f>
        <v/>
      </c>
      <c r="S2026" s="39" t="str">
        <f>IF(ISERROR(FIND('112'!$M$9,G2026,1)),"",IF((AND(FIND('112'!$M$9,G2026,1)&gt;=1,$B2026&gt;='112'!$N$8,$B2026&lt;='112'!$O$8,OR($L2026='112'!$I$6,$M2026='112'!$I$6))),"x",""))</f>
        <v/>
      </c>
      <c r="T2026" s="39" t="str">
        <f>IF(ISERROR(FIND('112'!$M$9,G2026,1)),"",IF((AND(LEFT(G2026,2)=LEFT('112'!$M$9,2),B2026&lt;'112'!$N$8,$L2026='112'!$I$6)),"x",""))</f>
        <v/>
      </c>
      <c r="U2026" s="39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39" t="str">
        <f>IF(OR(TH!L2026=TH!$W$7,M2026=TH!$W$7),"x","")</f>
        <v/>
      </c>
      <c r="X2026" s="39" t="str">
        <f>IF(AND(B2026&gt;='IN-NX'!$P$3,B2026&lt;='IN-NX'!$Q$3,'IN-NX'!$D$7=D2026,OR(LEFT(L2026,2)="15",AND(LEFT(M2026,2)&lt;&gt;"15",LEFT(M2026,2)&lt;&gt;"33"))),"x","")</f>
        <v/>
      </c>
      <c r="Y2026" s="39" t="str">
        <f>IF(AND(OR(LEFT(TH!L2026,2)="15",LEFT(TH!M2026,2)="15"),'152-CT'!$J$8=TH!F2026),"x","")</f>
        <v/>
      </c>
      <c r="Z2026" s="39" t="str">
        <f>IF(AND(OR(LEFT(TH!L2026,2)="15",LEFT(TH!M2026,2)="15"),TK!$E$7=TH!F2026),"x","")</f>
        <v/>
      </c>
      <c r="AA2026" s="39" t="str">
        <f>IF(AND(B2026&lt;=NKC!$N$8,B2026&gt;=NKC!$M$8),"x","")</f>
        <v/>
      </c>
      <c r="AB2026" s="821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 t="str">
        <f t="shared" si="103"/>
        <v/>
      </c>
      <c r="C2027" s="191"/>
      <c r="D2027" s="191"/>
      <c r="E2027" s="731"/>
      <c r="F2027" s="189"/>
      <c r="G2027" s="40"/>
      <c r="H2027" s="7"/>
      <c r="I2027" s="256"/>
      <c r="J2027" s="256"/>
      <c r="K2027" s="568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902" t="str">
        <f>IF(AND('341-CT'!$E$9=H2027,OR(LEFT(L2027,3)=$O$7,LEFT(M2027,3)=$O$7)),"x","")</f>
        <v/>
      </c>
      <c r="P2027" s="39" t="str">
        <f>IF(AND($B2027&gt;='111'!$N$11,$B2027&lt;='111'!$O$11,OR($L2027=$P$7,$M2027=$P$7)),"x","")</f>
        <v/>
      </c>
      <c r="Q2027" s="39" t="str">
        <f>IF(AND($L2027=$P$7,$B2027&lt;'111'!$N$11),"x","")</f>
        <v/>
      </c>
      <c r="R2027" s="39" t="str">
        <f>IF(AND($M2027=$P$7,$B2027&lt;'111'!$N$11),"x","")</f>
        <v/>
      </c>
      <c r="S2027" s="39" t="str">
        <f>IF(ISERROR(FIND('112'!$M$9,G2027,1)),"",IF((AND(FIND('112'!$M$9,G2027,1)&gt;=1,$B2027&gt;='112'!$N$8,$B2027&lt;='112'!$O$8,OR($L2027='112'!$I$6,$M2027='112'!$I$6))),"x",""))</f>
        <v/>
      </c>
      <c r="T2027" s="39" t="str">
        <f>IF(ISERROR(FIND('112'!$M$9,G2027,1)),"",IF((AND(LEFT(G2027,2)=LEFT('112'!$M$9,2),B2027&lt;'112'!$N$8,$L2027='112'!$I$6)),"x",""))</f>
        <v/>
      </c>
      <c r="U2027" s="39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39" t="str">
        <f>IF(OR(TH!L2027=TH!$W$7,M2027=TH!$W$7),"x","")</f>
        <v/>
      </c>
      <c r="X2027" s="39" t="str">
        <f>IF(AND(B2027&gt;='IN-NX'!$P$3,B2027&lt;='IN-NX'!$Q$3,'IN-NX'!$D$7=D2027,OR(LEFT(L2027,2)="15",AND(LEFT(M2027,2)&lt;&gt;"15",LEFT(M2027,2)&lt;&gt;"33"))),"x","")</f>
        <v/>
      </c>
      <c r="Y2027" s="39" t="str">
        <f>IF(AND(OR(LEFT(TH!L2027,2)="15",LEFT(TH!M2027,2)="15"),'152-CT'!$J$8=TH!F2027),"x","")</f>
        <v/>
      </c>
      <c r="Z2027" s="39" t="str">
        <f>IF(AND(OR(LEFT(TH!L2027,2)="15",LEFT(TH!M2027,2)="15"),TK!$E$7=TH!F2027),"x","")</f>
        <v/>
      </c>
      <c r="AA2027" s="39" t="str">
        <f>IF(AND(B2027&lt;=NKC!$N$8,B2027&gt;=NKC!$M$8),"x","")</f>
        <v/>
      </c>
      <c r="AB2027" s="821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 t="str">
        <f t="shared" si="103"/>
        <v/>
      </c>
      <c r="C2028" s="191"/>
      <c r="D2028" s="191"/>
      <c r="E2028" s="191"/>
      <c r="F2028" s="192"/>
      <c r="G2028" s="468"/>
      <c r="H2028" s="193"/>
      <c r="I2028" s="256"/>
      <c r="J2028" s="256"/>
      <c r="K2028" s="568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902" t="str">
        <f>IF(AND('341-CT'!$E$9=H2028,OR(LEFT(L2028,3)=$O$7,LEFT(M2028,3)=$O$7)),"x","")</f>
        <v/>
      </c>
      <c r="P2028" s="39" t="str">
        <f>IF(AND($B2028&gt;='111'!$N$11,$B2028&lt;='111'!$O$11,OR($L2028=$P$7,$M2028=$P$7)),"x","")</f>
        <v/>
      </c>
      <c r="Q2028" s="39" t="str">
        <f>IF(AND($L2028=$P$7,$B2028&lt;'111'!$N$11),"x","")</f>
        <v/>
      </c>
      <c r="R2028" s="39" t="str">
        <f>IF(AND($M2028=$P$7,$B2028&lt;'111'!$N$11),"x","")</f>
        <v/>
      </c>
      <c r="S2028" s="39" t="str">
        <f>IF(ISERROR(FIND('112'!$M$9,G2028,1)),"",IF((AND(FIND('112'!$M$9,G2028,1)&gt;=1,$B2028&gt;='112'!$N$8,$B2028&lt;='112'!$O$8,OR($L2028='112'!$I$6,$M2028='112'!$I$6))),"x",""))</f>
        <v/>
      </c>
      <c r="T2028" s="39" t="str">
        <f>IF(ISERROR(FIND('112'!$M$9,G2028,1)),"",IF((AND(LEFT(G2028,2)=LEFT('112'!$M$9,2),B2028&lt;'112'!$N$8,$L2028='112'!$I$6)),"x",""))</f>
        <v/>
      </c>
      <c r="U2028" s="39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39" t="str">
        <f>IF(OR(TH!L2028=TH!$W$7,M2028=TH!$W$7),"x","")</f>
        <v/>
      </c>
      <c r="X2028" s="39" t="str">
        <f>IF(AND(B2028&gt;='IN-NX'!$P$3,B2028&lt;='IN-NX'!$Q$3,'IN-NX'!$D$7=D2028,OR(LEFT(L2028,2)="15",AND(LEFT(M2028,2)&lt;&gt;"15",LEFT(M2028,2)&lt;&gt;"33"))),"x","")</f>
        <v/>
      </c>
      <c r="Y2028" s="39" t="str">
        <f>IF(AND(OR(LEFT(TH!L2028,2)="15",LEFT(TH!M2028,2)="15"),'152-CT'!$J$8=TH!F2028),"x","")</f>
        <v/>
      </c>
      <c r="Z2028" s="39" t="str">
        <f>IF(AND(OR(LEFT(TH!L2028,2)="15",LEFT(TH!M2028,2)="15"),TK!$E$7=TH!F2028),"x","")</f>
        <v/>
      </c>
      <c r="AA2028" s="39" t="str">
        <f>IF(AND(B2028&lt;=NKC!$N$8,B2028&gt;=NKC!$M$8),"x","")</f>
        <v/>
      </c>
      <c r="AB2028" s="821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 t="str">
        <f t="shared" si="103"/>
        <v/>
      </c>
      <c r="C2029" s="191"/>
      <c r="D2029" s="191"/>
      <c r="E2029" s="191"/>
      <c r="F2029" s="192"/>
      <c r="G2029" s="468"/>
      <c r="H2029" s="193"/>
      <c r="I2029" s="256"/>
      <c r="J2029" s="256"/>
      <c r="K2029" s="568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902" t="str">
        <f>IF(AND('341-CT'!$E$9=H2029,OR(LEFT(L2029,3)=$O$7,LEFT(M2029,3)=$O$7)),"x","")</f>
        <v/>
      </c>
      <c r="P2029" s="39" t="str">
        <f>IF(AND($B2029&gt;='111'!$N$11,$B2029&lt;='111'!$O$11,OR($L2029=$P$7,$M2029=$P$7)),"x","")</f>
        <v/>
      </c>
      <c r="Q2029" s="39" t="str">
        <f>IF(AND($L2029=$P$7,$B2029&lt;'111'!$N$11),"x","")</f>
        <v/>
      </c>
      <c r="R2029" s="39" t="str">
        <f>IF(AND($M2029=$P$7,$B2029&lt;'111'!$N$11),"x","")</f>
        <v/>
      </c>
      <c r="S2029" s="39" t="str">
        <f>IF(ISERROR(FIND('112'!$M$9,G2029,1)),"",IF((AND(FIND('112'!$M$9,G2029,1)&gt;=1,$B2029&gt;='112'!$N$8,$B2029&lt;='112'!$O$8,OR($L2029='112'!$I$6,$M2029='112'!$I$6))),"x",""))</f>
        <v/>
      </c>
      <c r="T2029" s="39" t="str">
        <f>IF(ISERROR(FIND('112'!$M$9,G2029,1)),"",IF((AND(LEFT(G2029,2)=LEFT('112'!$M$9,2),B2029&lt;'112'!$N$8,$L2029='112'!$I$6)),"x",""))</f>
        <v/>
      </c>
      <c r="U2029" s="39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39" t="str">
        <f>IF(OR(TH!L2029=TH!$W$7,M2029=TH!$W$7),"x","")</f>
        <v/>
      </c>
      <c r="X2029" s="39" t="str">
        <f>IF(AND(B2029&gt;='IN-NX'!$P$3,B2029&lt;='IN-NX'!$Q$3,'IN-NX'!$D$7=D2029,OR(LEFT(L2029,2)="15",AND(LEFT(M2029,2)&lt;&gt;"15",LEFT(M2029,2)&lt;&gt;"33"))),"x","")</f>
        <v/>
      </c>
      <c r="Y2029" s="39" t="str">
        <f>IF(AND(OR(LEFT(TH!L2029,2)="15",LEFT(TH!M2029,2)="15"),'152-CT'!$J$8=TH!F2029),"x","")</f>
        <v/>
      </c>
      <c r="Z2029" s="39" t="str">
        <f>IF(AND(OR(LEFT(TH!L2029,2)="15",LEFT(TH!M2029,2)="15"),TK!$E$7=TH!F2029),"x","")</f>
        <v/>
      </c>
      <c r="AA2029" s="39" t="str">
        <f>IF(AND(B2029&lt;=NKC!$N$8,B2029&gt;=NKC!$M$8),"x","")</f>
        <v/>
      </c>
      <c r="AB2029" s="821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 t="str">
        <f t="shared" si="103"/>
        <v/>
      </c>
      <c r="C2030" s="191"/>
      <c r="D2030" s="191"/>
      <c r="E2030" s="191"/>
      <c r="F2030" s="192"/>
      <c r="G2030" s="468"/>
      <c r="H2030" s="193"/>
      <c r="I2030" s="256"/>
      <c r="J2030" s="256"/>
      <c r="K2030" s="568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902" t="str">
        <f>IF(AND('341-CT'!$E$9=H2030,OR(LEFT(L2030,3)=$O$7,LEFT(M2030,3)=$O$7)),"x","")</f>
        <v/>
      </c>
      <c r="P2030" s="39" t="str">
        <f>IF(AND($B2030&gt;='111'!$N$11,$B2030&lt;='111'!$O$11,OR($L2030=$P$7,$M2030=$P$7)),"x","")</f>
        <v/>
      </c>
      <c r="Q2030" s="39" t="str">
        <f>IF(AND($L2030=$P$7,$B2030&lt;'111'!$N$11),"x","")</f>
        <v/>
      </c>
      <c r="R2030" s="39" t="str">
        <f>IF(AND($M2030=$P$7,$B2030&lt;'111'!$N$11),"x","")</f>
        <v/>
      </c>
      <c r="S2030" s="39" t="str">
        <f>IF(ISERROR(FIND('112'!$M$9,G2030,1)),"",IF((AND(FIND('112'!$M$9,G2030,1)&gt;=1,$B2030&gt;='112'!$N$8,$B2030&lt;='112'!$O$8,OR($L2030='112'!$I$6,$M2030='112'!$I$6))),"x",""))</f>
        <v/>
      </c>
      <c r="T2030" s="39" t="str">
        <f>IF(ISERROR(FIND('112'!$M$9,G2030,1)),"",IF((AND(LEFT(G2030,2)=LEFT('112'!$M$9,2),B2030&lt;'112'!$N$8,$L2030='112'!$I$6)),"x",""))</f>
        <v/>
      </c>
      <c r="U2030" s="39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39" t="str">
        <f>IF(OR(TH!L2030=TH!$W$7,M2030=TH!$W$7),"x","")</f>
        <v/>
      </c>
      <c r="X2030" s="39" t="str">
        <f>IF(AND(B2030&gt;='IN-NX'!$P$3,B2030&lt;='IN-NX'!$Q$3,'IN-NX'!$D$7=D2030,OR(LEFT(L2030,2)="15",AND(LEFT(M2030,2)&lt;&gt;"15",LEFT(M2030,2)&lt;&gt;"33"))),"x","")</f>
        <v/>
      </c>
      <c r="Y2030" s="39" t="str">
        <f>IF(AND(OR(LEFT(TH!L2030,2)="15",LEFT(TH!M2030,2)="15"),'152-CT'!$J$8=TH!F2030),"x","")</f>
        <v/>
      </c>
      <c r="Z2030" s="39" t="str">
        <f>IF(AND(OR(LEFT(TH!L2030,2)="15",LEFT(TH!M2030,2)="15"),TK!$E$7=TH!F2030),"x","")</f>
        <v/>
      </c>
      <c r="AA2030" s="39" t="str">
        <f>IF(AND(B2030&lt;=NKC!$N$8,B2030&gt;=NKC!$M$8),"x","")</f>
        <v/>
      </c>
      <c r="AB2030" s="821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 t="str">
        <f t="shared" si="103"/>
        <v/>
      </c>
      <c r="C2031" s="191"/>
      <c r="D2031" s="191"/>
      <c r="E2031" s="191"/>
      <c r="F2031" s="192"/>
      <c r="G2031" s="468"/>
      <c r="H2031" s="193"/>
      <c r="I2031" s="256"/>
      <c r="J2031" s="256"/>
      <c r="K2031" s="568"/>
      <c r="L2031" s="194"/>
      <c r="M2031" s="194"/>
      <c r="N2031" s="39" t="str">
        <f>IF(AND('331-CT'!$E$7=TH!H2031,OR(L2031="331",M2031="331")),"331",IF(AND(OR(L2031="131",M2031="131"),H2031='131-CT'!$E$7),"131",""))</f>
        <v/>
      </c>
      <c r="O2031" s="902" t="str">
        <f>IF(AND('341-CT'!$E$9=H2031,OR(LEFT(L2031,3)=$O$7,LEFT(M2031,3)=$O$7)),"x","")</f>
        <v/>
      </c>
      <c r="P2031" s="39" t="str">
        <f>IF(AND($B2031&gt;='111'!$N$11,$B2031&lt;='111'!$O$11,OR($L2031=$P$7,$M2031=$P$7)),"x","")</f>
        <v/>
      </c>
      <c r="Q2031" s="39" t="str">
        <f>IF(AND($L2031=$P$7,$B2031&lt;'111'!$N$11),"x","")</f>
        <v/>
      </c>
      <c r="R2031" s="39" t="str">
        <f>IF(AND($M2031=$P$7,$B2031&lt;'111'!$N$11),"x","")</f>
        <v/>
      </c>
      <c r="S2031" s="39" t="str">
        <f>IF(ISERROR(FIND('112'!$M$9,G2031,1)),"",IF((AND(FIND('112'!$M$9,G2031,1)&gt;=1,$B2031&gt;='112'!$N$8,$B2031&lt;='112'!$O$8,OR($L2031='112'!$I$6,$M2031='112'!$I$6))),"x",""))</f>
        <v/>
      </c>
      <c r="T2031" s="39" t="str">
        <f>IF(ISERROR(FIND('112'!$M$9,G2031,1)),"",IF((AND(LEFT(G2031,2)=LEFT('112'!$M$9,2),B2031&lt;'112'!$N$8,$L2031='112'!$I$6)),"x",""))</f>
        <v/>
      </c>
      <c r="U2031" s="39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39" t="str">
        <f>IF(OR(TH!L2031=TH!$W$7,M2031=TH!$W$7),"x","")</f>
        <v/>
      </c>
      <c r="X2031" s="39" t="str">
        <f>IF(AND(B2031&gt;='IN-NX'!$P$3,B2031&lt;='IN-NX'!$Q$3,'IN-NX'!$D$7=D2031,OR(LEFT(L2031,2)="15",AND(LEFT(M2031,2)&lt;&gt;"15",LEFT(M2031,2)&lt;&gt;"33"))),"x","")</f>
        <v/>
      </c>
      <c r="Y2031" s="39" t="str">
        <f>IF(AND(OR(LEFT(TH!L2031,2)="15",LEFT(TH!M2031,2)="15"),'152-CT'!$J$8=TH!F2031),"x","")</f>
        <v/>
      </c>
      <c r="Z2031" s="39" t="str">
        <f>IF(AND(OR(LEFT(TH!L2031,2)="15",LEFT(TH!M2031,2)="15"),TK!$E$7=TH!F2031),"x","")</f>
        <v/>
      </c>
      <c r="AA2031" s="39" t="str">
        <f>IF(AND(B2031&lt;=NKC!$N$8,B2031&gt;=NKC!$M$8),"x","")</f>
        <v/>
      </c>
      <c r="AB2031" s="821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 t="str">
        <f t="shared" si="103"/>
        <v/>
      </c>
      <c r="C2032" s="191"/>
      <c r="D2032" s="191"/>
      <c r="E2032" s="191"/>
      <c r="F2032" s="192"/>
      <c r="G2032" s="468"/>
      <c r="H2032" s="193"/>
      <c r="I2032" s="256"/>
      <c r="J2032" s="256"/>
      <c r="K2032" s="568"/>
      <c r="L2032" s="194"/>
      <c r="M2032" s="194"/>
      <c r="N2032" s="39" t="str">
        <f>IF(AND('331-CT'!$E$7=TH!H2032,OR(L2032="331",M2032="331")),"331",IF(AND(OR(L2032="131",M2032="131"),H2032='131-CT'!$E$7),"131",""))</f>
        <v/>
      </c>
      <c r="O2032" s="902" t="str">
        <f>IF(AND('341-CT'!$E$9=H2032,OR(LEFT(L2032,3)=$O$7,LEFT(M2032,3)=$O$7)),"x","")</f>
        <v/>
      </c>
      <c r="P2032" s="39" t="str">
        <f>IF(AND($B2032&gt;='111'!$N$11,$B2032&lt;='111'!$O$11,OR($L2032=$P$7,$M2032=$P$7)),"x","")</f>
        <v/>
      </c>
      <c r="Q2032" s="39" t="str">
        <f>IF(AND($L2032=$P$7,$B2032&lt;'111'!$N$11),"x","")</f>
        <v/>
      </c>
      <c r="R2032" s="39" t="str">
        <f>IF(AND($M2032=$P$7,$B2032&lt;'111'!$N$11),"x","")</f>
        <v/>
      </c>
      <c r="S2032" s="39" t="str">
        <f>IF(ISERROR(FIND('112'!$M$9,G2032,1)),"",IF((AND(FIND('112'!$M$9,G2032,1)&gt;=1,$B2032&gt;='112'!$N$8,$B2032&lt;='112'!$O$8,OR($L2032='112'!$I$6,$M2032='112'!$I$6))),"x",""))</f>
        <v/>
      </c>
      <c r="T2032" s="39" t="str">
        <f>IF(ISERROR(FIND('112'!$M$9,G2032,1)),"",IF((AND(LEFT(G2032,2)=LEFT('112'!$M$9,2),B2032&lt;'112'!$N$8,$L2032='112'!$I$6)),"x",""))</f>
        <v/>
      </c>
      <c r="U2032" s="39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39" t="str">
        <f>IF(OR(TH!L2032=TH!$W$7,M2032=TH!$W$7),"x","")</f>
        <v/>
      </c>
      <c r="X2032" s="39" t="str">
        <f>IF(AND(B2032&gt;='IN-NX'!$P$3,B2032&lt;='IN-NX'!$Q$3,'IN-NX'!$D$7=D2032,OR(LEFT(L2032,2)="15",AND(LEFT(M2032,2)&lt;&gt;"15",LEFT(M2032,2)&lt;&gt;"33"))),"x","")</f>
        <v/>
      </c>
      <c r="Y2032" s="39" t="str">
        <f>IF(AND(OR(LEFT(TH!L2032,2)="15",LEFT(TH!M2032,2)="15"),'152-CT'!$J$8=TH!F2032),"x","")</f>
        <v/>
      </c>
      <c r="Z2032" s="39" t="str">
        <f>IF(AND(OR(LEFT(TH!L2032,2)="15",LEFT(TH!M2032,2)="15"),TK!$E$7=TH!F2032),"x","")</f>
        <v/>
      </c>
      <c r="AA2032" s="39" t="str">
        <f>IF(AND(B2032&lt;=NKC!$N$8,B2032&gt;=NKC!$M$8),"x","")</f>
        <v/>
      </c>
      <c r="AB2032" s="821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 t="str">
        <f t="shared" si="103"/>
        <v/>
      </c>
      <c r="C2033" s="191"/>
      <c r="D2033" s="191"/>
      <c r="E2033" s="191"/>
      <c r="F2033" s="192"/>
      <c r="G2033" s="468"/>
      <c r="H2033" s="193"/>
      <c r="I2033" s="256"/>
      <c r="J2033" s="256"/>
      <c r="K2033" s="568"/>
      <c r="L2033" s="194"/>
      <c r="M2033" s="194"/>
      <c r="N2033" s="39" t="str">
        <f>IF(AND('331-CT'!$E$7=TH!H2033,OR(L2033="331",M2033="331")),"331",IF(AND(OR(L2033="131",M2033="131"),H2033='131-CT'!$E$7),"131",""))</f>
        <v/>
      </c>
      <c r="O2033" s="902" t="str">
        <f>IF(AND('341-CT'!$E$9=H2033,OR(LEFT(L2033,3)=$O$7,LEFT(M2033,3)=$O$7)),"x","")</f>
        <v/>
      </c>
      <c r="P2033" s="39" t="str">
        <f>IF(AND($B2033&gt;='111'!$N$11,$B2033&lt;='111'!$O$11,OR($L2033=$P$7,$M2033=$P$7)),"x","")</f>
        <v/>
      </c>
      <c r="Q2033" s="39" t="str">
        <f>IF(AND($L2033=$P$7,$B2033&lt;'111'!$N$11),"x","")</f>
        <v/>
      </c>
      <c r="R2033" s="39" t="str">
        <f>IF(AND($M2033=$P$7,$B2033&lt;'111'!$N$11),"x","")</f>
        <v/>
      </c>
      <c r="S2033" s="39" t="str">
        <f>IF(ISERROR(FIND('112'!$M$9,G2033,1)),"",IF((AND(FIND('112'!$M$9,G2033,1)&gt;=1,$B2033&gt;='112'!$N$8,$B2033&lt;='112'!$O$8,OR($L2033='112'!$I$6,$M2033='112'!$I$6))),"x",""))</f>
        <v/>
      </c>
      <c r="T2033" s="39" t="str">
        <f>IF(ISERROR(FIND('112'!$M$9,G2033,1)),"",IF((AND(LEFT(G2033,2)=LEFT('112'!$M$9,2),B2033&lt;'112'!$N$8,$L2033='112'!$I$6)),"x",""))</f>
        <v/>
      </c>
      <c r="U2033" s="39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39" t="str">
        <f>IF(OR(TH!L2033=TH!$W$7,M2033=TH!$W$7),"x","")</f>
        <v/>
      </c>
      <c r="X2033" s="39" t="str">
        <f>IF(AND(B2033&gt;='IN-NX'!$P$3,B2033&lt;='IN-NX'!$Q$3,'IN-NX'!$D$7=D2033,OR(LEFT(L2033,2)="15",AND(LEFT(M2033,2)&lt;&gt;"15",LEFT(M2033,2)&lt;&gt;"33"))),"x","")</f>
        <v/>
      </c>
      <c r="Y2033" s="39" t="str">
        <f>IF(AND(OR(LEFT(TH!L2033,2)="15",LEFT(TH!M2033,2)="15"),'152-CT'!$J$8=TH!F2033),"x","")</f>
        <v/>
      </c>
      <c r="Z2033" s="39" t="str">
        <f>IF(AND(OR(LEFT(TH!L2033,2)="15",LEFT(TH!M2033,2)="15"),TK!$E$7=TH!F2033),"x","")</f>
        <v/>
      </c>
      <c r="AA2033" s="39" t="str">
        <f>IF(AND(B2033&lt;=NKC!$N$8,B2033&gt;=NKC!$M$8),"x","")</f>
        <v/>
      </c>
      <c r="AB2033" s="821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 t="str">
        <f t="shared" si="103"/>
        <v/>
      </c>
      <c r="C2034" s="191"/>
      <c r="D2034" s="191"/>
      <c r="E2034" s="191"/>
      <c r="F2034" s="192"/>
      <c r="G2034" s="468"/>
      <c r="H2034" s="193"/>
      <c r="I2034" s="256"/>
      <c r="J2034" s="256"/>
      <c r="K2034" s="568"/>
      <c r="L2034" s="194"/>
      <c r="M2034" s="194"/>
      <c r="N2034" s="39" t="str">
        <f>IF(AND('331-CT'!$E$7=TH!H2034,OR(L2034="331",M2034="331")),"331",IF(AND(OR(L2034="131",M2034="131"),H2034='131-CT'!$E$7),"131",""))</f>
        <v/>
      </c>
      <c r="O2034" s="902" t="str">
        <f>IF(AND('341-CT'!$E$9=H2034,OR(LEFT(L2034,3)=$O$7,LEFT(M2034,3)=$O$7)),"x","")</f>
        <v/>
      </c>
      <c r="P2034" s="39" t="str">
        <f>IF(AND($B2034&gt;='111'!$N$11,$B2034&lt;='111'!$O$11,OR($L2034=$P$7,$M2034=$P$7)),"x","")</f>
        <v/>
      </c>
      <c r="Q2034" s="39" t="str">
        <f>IF(AND($L2034=$P$7,$B2034&lt;'111'!$N$11),"x","")</f>
        <v/>
      </c>
      <c r="R2034" s="39" t="str">
        <f>IF(AND($M2034=$P$7,$B2034&lt;'111'!$N$11),"x","")</f>
        <v/>
      </c>
      <c r="S2034" s="39" t="str">
        <f>IF(ISERROR(FIND('112'!$M$9,G2034,1)),"",IF((AND(FIND('112'!$M$9,G2034,1)&gt;=1,$B2034&gt;='112'!$N$8,$B2034&lt;='112'!$O$8,OR($L2034='112'!$I$6,$M2034='112'!$I$6))),"x",""))</f>
        <v/>
      </c>
      <c r="T2034" s="39" t="str">
        <f>IF(ISERROR(FIND('112'!$M$9,G2034,1)),"",IF((AND(LEFT(G2034,2)=LEFT('112'!$M$9,2),B2034&lt;'112'!$N$8,$L2034='112'!$I$6)),"x",""))</f>
        <v/>
      </c>
      <c r="U2034" s="39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39" t="str">
        <f>IF(OR(TH!L2034=TH!$W$7,M2034=TH!$W$7),"x","")</f>
        <v/>
      </c>
      <c r="X2034" s="39" t="str">
        <f>IF(AND(B2034&gt;='IN-NX'!$P$3,B2034&lt;='IN-NX'!$Q$3,'IN-NX'!$D$7=D2034,OR(LEFT(L2034,2)="15",AND(LEFT(M2034,2)&lt;&gt;"15",LEFT(M2034,2)&lt;&gt;"33"))),"x","")</f>
        <v/>
      </c>
      <c r="Y2034" s="39" t="str">
        <f>IF(AND(OR(LEFT(TH!L2034,2)="15",LEFT(TH!M2034,2)="15"),'152-CT'!$J$8=TH!F2034),"x","")</f>
        <v/>
      </c>
      <c r="Z2034" s="39" t="str">
        <f>IF(AND(OR(LEFT(TH!L2034,2)="15",LEFT(TH!M2034,2)="15"),TK!$E$7=TH!F2034),"x","")</f>
        <v/>
      </c>
      <c r="AA2034" s="39" t="str">
        <f>IF(AND(B2034&lt;=NKC!$N$8,B2034&gt;=NKC!$M$8),"x","")</f>
        <v/>
      </c>
      <c r="AB2034" s="821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103"/>
        <v/>
      </c>
      <c r="C2035" s="191"/>
      <c r="D2035" s="191"/>
      <c r="E2035" s="191"/>
      <c r="F2035" s="192"/>
      <c r="G2035" s="468"/>
      <c r="H2035" s="193"/>
      <c r="I2035" s="256"/>
      <c r="J2035" s="256"/>
      <c r="K2035" s="568"/>
      <c r="L2035" s="194"/>
      <c r="M2035" s="194"/>
      <c r="N2035" s="39" t="str">
        <f>IF(AND('331-CT'!$E$7=TH!H2035,OR(L2035="331",M2035="331")),"331",IF(AND(OR(L2035="131",M2035="131"),H2035='131-CT'!$E$7),"131",""))</f>
        <v/>
      </c>
      <c r="O2035" s="902" t="str">
        <f>IF(AND('341-CT'!$E$9=H2035,OR(LEFT(L2035,3)=$O$7,LEFT(M2035,3)=$O$7)),"x","")</f>
        <v/>
      </c>
      <c r="P2035" s="39" t="str">
        <f>IF(AND($B2035&gt;='111'!$N$11,$B2035&lt;='111'!$O$11,OR($L2035=$P$7,$M2035=$P$7)),"x","")</f>
        <v/>
      </c>
      <c r="Q2035" s="39" t="str">
        <f>IF(AND($L2035=$P$7,$B2035&lt;'111'!$N$11),"x","")</f>
        <v/>
      </c>
      <c r="R2035" s="39" t="str">
        <f>IF(AND($M2035=$P$7,$B2035&lt;'111'!$N$11),"x","")</f>
        <v/>
      </c>
      <c r="S2035" s="39" t="str">
        <f>IF(ISERROR(FIND('112'!$M$9,G2035,1)),"",IF((AND(FIND('112'!$M$9,G2035,1)&gt;=1,$B2035&gt;='112'!$N$8,$B2035&lt;='112'!$O$8,OR($L2035='112'!$I$6,$M2035='112'!$I$6))),"x",""))</f>
        <v/>
      </c>
      <c r="T2035" s="39" t="str">
        <f>IF(ISERROR(FIND('112'!$M$9,G2035,1)),"",IF((AND(LEFT(G2035,2)=LEFT('112'!$M$9,2),B2035&lt;'112'!$N$8,$L2035='112'!$I$6)),"x",""))</f>
        <v/>
      </c>
      <c r="U2035" s="39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39" t="str">
        <f>IF(OR(TH!L2035=TH!$W$7,M2035=TH!$W$7),"x","")</f>
        <v/>
      </c>
      <c r="X2035" s="39" t="str">
        <f>IF(AND(B2035&gt;='IN-NX'!$P$3,B2035&lt;='IN-NX'!$Q$3,'IN-NX'!$D$7=D2035,OR(LEFT(L2035,2)="15",AND(LEFT(M2035,2)&lt;&gt;"15",LEFT(M2035,2)&lt;&gt;"33"))),"x","")</f>
        <v/>
      </c>
      <c r="Y2035" s="39" t="str">
        <f>IF(AND(OR(LEFT(TH!L2035,2)="15",LEFT(TH!M2035,2)="15"),'152-CT'!$J$8=TH!F2035),"x","")</f>
        <v/>
      </c>
      <c r="Z2035" s="39" t="str">
        <f>IF(AND(OR(LEFT(TH!L2035,2)="15",LEFT(TH!M2035,2)="15"),TK!$E$7=TH!F2035),"x","")</f>
        <v/>
      </c>
      <c r="AA2035" s="39" t="str">
        <f>IF(AND(B2035&lt;=NKC!$N$8,B2035&gt;=NKC!$M$8),"x","")</f>
        <v/>
      </c>
      <c r="AB2035" s="821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si="103"/>
        <v/>
      </c>
      <c r="C2036" s="191"/>
      <c r="D2036" s="191"/>
      <c r="E2036" s="191"/>
      <c r="F2036" s="192"/>
      <c r="G2036" s="468"/>
      <c r="H2036" s="193"/>
      <c r="I2036" s="256"/>
      <c r="J2036" s="256"/>
      <c r="K2036" s="568"/>
      <c r="L2036" s="194"/>
      <c r="M2036" s="194"/>
      <c r="N2036" s="39" t="str">
        <f>IF(AND('331-CT'!$E$7=TH!H2036,OR(L2036="331",M2036="331")),"331",IF(AND(OR(L2036="131",M2036="131"),H2036='131-CT'!$E$7),"131",""))</f>
        <v/>
      </c>
      <c r="O2036" s="902" t="str">
        <f>IF(AND('341-CT'!$E$9=H2036,OR(LEFT(L2036,3)=$O$7,LEFT(M2036,3)=$O$7)),"x","")</f>
        <v/>
      </c>
      <c r="P2036" s="39" t="str">
        <f>IF(AND($B2036&gt;='111'!$N$11,$B2036&lt;='111'!$O$11,OR($L2036=$P$7,$M2036=$P$7)),"x","")</f>
        <v/>
      </c>
      <c r="Q2036" s="39" t="str">
        <f>IF(AND($L2036=$P$7,$B2036&lt;'111'!$N$11),"x","")</f>
        <v/>
      </c>
      <c r="R2036" s="39" t="str">
        <f>IF(AND($M2036=$P$7,$B2036&lt;'111'!$N$11),"x","")</f>
        <v/>
      </c>
      <c r="S2036" s="39" t="str">
        <f>IF(ISERROR(FIND('112'!$M$9,G2036,1)),"",IF((AND(FIND('112'!$M$9,G2036,1)&gt;=1,$B2036&gt;='112'!$N$8,$B2036&lt;='112'!$O$8,OR($L2036='112'!$I$6,$M2036='112'!$I$6))),"x",""))</f>
        <v/>
      </c>
      <c r="T2036" s="39" t="str">
        <f>IF(ISERROR(FIND('112'!$M$9,G2036,1)),"",IF((AND(LEFT(G2036,2)=LEFT('112'!$M$9,2),B2036&lt;'112'!$N$8,$L2036='112'!$I$6)),"x",""))</f>
        <v/>
      </c>
      <c r="U2036" s="39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39" t="str">
        <f>IF(OR(TH!L2036=TH!$W$7,M2036=TH!$W$7),"x","")</f>
        <v/>
      </c>
      <c r="X2036" s="39" t="str">
        <f>IF(AND(B2036&gt;='IN-NX'!$P$3,B2036&lt;='IN-NX'!$Q$3,'IN-NX'!$D$7=D2036,OR(LEFT(L2036,2)="15",AND(LEFT(M2036,2)&lt;&gt;"15",LEFT(M2036,2)&lt;&gt;"33"))),"x","")</f>
        <v/>
      </c>
      <c r="Y2036" s="39" t="str">
        <f>IF(AND(OR(LEFT(TH!L2036,2)="15",LEFT(TH!M2036,2)="15"),'152-CT'!$J$8=TH!F2036),"x","")</f>
        <v/>
      </c>
      <c r="Z2036" s="39" t="str">
        <f>IF(AND(OR(LEFT(TH!L2036,2)="15",LEFT(TH!M2036,2)="15"),TK!$E$7=TH!F2036),"x","")</f>
        <v/>
      </c>
      <c r="AA2036" s="39" t="str">
        <f>IF(AND(B2036&lt;=NKC!$N$8,B2036&gt;=NKC!$M$8),"x","")</f>
        <v/>
      </c>
      <c r="AB2036" s="821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103"/>
        <v/>
      </c>
      <c r="C2037" s="191"/>
      <c r="D2037" s="191"/>
      <c r="E2037" s="191"/>
      <c r="F2037" s="192"/>
      <c r="G2037" s="468"/>
      <c r="H2037" s="193"/>
      <c r="I2037" s="256"/>
      <c r="J2037" s="256"/>
      <c r="K2037" s="568"/>
      <c r="L2037" s="194"/>
      <c r="M2037" s="194"/>
      <c r="N2037" s="39" t="str">
        <f>IF(AND('331-CT'!$E$7=TH!H2037,OR(L2037="331",M2037="331")),"331",IF(AND(OR(L2037="131",M2037="131"),H2037='131-CT'!$E$7),"131",""))</f>
        <v/>
      </c>
      <c r="O2037" s="902" t="str">
        <f>IF(AND('341-CT'!$E$9=H2037,OR(LEFT(L2037,3)=$O$7,LEFT(M2037,3)=$O$7)),"x","")</f>
        <v/>
      </c>
      <c r="P2037" s="39" t="str">
        <f>IF(AND($B2037&gt;='111'!$N$11,$B2037&lt;='111'!$O$11,OR($L2037=$P$7,$M2037=$P$7)),"x","")</f>
        <v/>
      </c>
      <c r="Q2037" s="39" t="str">
        <f>IF(AND($L2037=$P$7,$B2037&lt;'111'!$N$11),"x","")</f>
        <v/>
      </c>
      <c r="R2037" s="39" t="str">
        <f>IF(AND($M2037=$P$7,$B2037&lt;'111'!$N$11),"x","")</f>
        <v/>
      </c>
      <c r="S2037" s="39" t="str">
        <f>IF(ISERROR(FIND('112'!$M$9,G2037,1)),"",IF((AND(FIND('112'!$M$9,G2037,1)&gt;=1,$B2037&gt;='112'!$N$8,$B2037&lt;='112'!$O$8,OR($L2037='112'!$I$6,$M2037='112'!$I$6))),"x",""))</f>
        <v/>
      </c>
      <c r="T2037" s="39" t="str">
        <f>IF(ISERROR(FIND('112'!$M$9,G2037,1)),"",IF((AND(LEFT(G2037,2)=LEFT('112'!$M$9,2),B2037&lt;'112'!$N$8,$L2037='112'!$I$6)),"x",""))</f>
        <v/>
      </c>
      <c r="U2037" s="39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39" t="str">
        <f>IF(OR(TH!L2037=TH!$W$7,M2037=TH!$W$7),"x","")</f>
        <v/>
      </c>
      <c r="X2037" s="39" t="str">
        <f>IF(AND(B2037&gt;='IN-NX'!$P$3,B2037&lt;='IN-NX'!$Q$3,'IN-NX'!$D$7=D2037,OR(LEFT(L2037,2)="15",AND(LEFT(M2037,2)&lt;&gt;"15",LEFT(M2037,2)&lt;&gt;"33"))),"x","")</f>
        <v/>
      </c>
      <c r="Y2037" s="39" t="str">
        <f>IF(AND(OR(LEFT(TH!L2037,2)="15",LEFT(TH!M2037,2)="15"),'152-CT'!$J$8=TH!F2037),"x","")</f>
        <v/>
      </c>
      <c r="Z2037" s="39" t="str">
        <f>IF(AND(OR(LEFT(TH!L2037,2)="15",LEFT(TH!M2037,2)="15"),TK!$E$7=TH!F2037),"x","")</f>
        <v/>
      </c>
      <c r="AA2037" s="39" t="str">
        <f>IF(AND(B2037&lt;=NKC!$N$8,B2037&gt;=NKC!$M$8),"x","")</f>
        <v/>
      </c>
      <c r="AB2037" s="821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103"/>
        <v/>
      </c>
      <c r="C2038" s="191"/>
      <c r="D2038" s="191"/>
      <c r="E2038" s="191"/>
      <c r="F2038" s="192"/>
      <c r="G2038" s="468"/>
      <c r="H2038" s="193"/>
      <c r="I2038" s="256"/>
      <c r="J2038" s="256"/>
      <c r="K2038" s="568"/>
      <c r="L2038" s="194"/>
      <c r="M2038" s="194"/>
      <c r="N2038" s="39" t="str">
        <f>IF(AND('331-CT'!$E$7=TH!H2038,OR(L2038="331",M2038="331")),"331",IF(AND(OR(L2038="131",M2038="131"),H2038='131-CT'!$E$7),"131",""))</f>
        <v/>
      </c>
      <c r="O2038" s="902" t="str">
        <f>IF(AND('341-CT'!$E$9=H2038,OR(LEFT(L2038,3)=$O$7,LEFT(M2038,3)=$O$7)),"x","")</f>
        <v/>
      </c>
      <c r="P2038" s="39" t="str">
        <f>IF(AND($B2038&gt;='111'!$N$11,$B2038&lt;='111'!$O$11,OR($L2038=$P$7,$M2038=$P$7)),"x","")</f>
        <v/>
      </c>
      <c r="Q2038" s="39" t="str">
        <f>IF(AND($L2038=$P$7,$B2038&lt;'111'!$N$11),"x","")</f>
        <v/>
      </c>
      <c r="R2038" s="39" t="str">
        <f>IF(AND($M2038=$P$7,$B2038&lt;'111'!$N$11),"x","")</f>
        <v/>
      </c>
      <c r="S2038" s="39" t="str">
        <f>IF(ISERROR(FIND('112'!$M$9,G2038,1)),"",IF((AND(FIND('112'!$M$9,G2038,1)&gt;=1,$B2038&gt;='112'!$N$8,$B2038&lt;='112'!$O$8,OR($L2038='112'!$I$6,$M2038='112'!$I$6))),"x",""))</f>
        <v/>
      </c>
      <c r="T2038" s="39" t="str">
        <f>IF(ISERROR(FIND('112'!$M$9,G2038,1)),"",IF((AND(LEFT(G2038,2)=LEFT('112'!$M$9,2),B2038&lt;'112'!$N$8,$L2038='112'!$I$6)),"x",""))</f>
        <v/>
      </c>
      <c r="U2038" s="39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39" t="str">
        <f>IF(OR(TH!L2038=TH!$W$7,M2038=TH!$W$7),"x","")</f>
        <v/>
      </c>
      <c r="X2038" s="39" t="str">
        <f>IF(AND(B2038&gt;='IN-NX'!$P$3,B2038&lt;='IN-NX'!$Q$3,'IN-NX'!$D$7=D2038,OR(LEFT(L2038,2)="15",AND(LEFT(M2038,2)&lt;&gt;"15",LEFT(M2038,2)&lt;&gt;"33"))),"x","")</f>
        <v/>
      </c>
      <c r="Y2038" s="39" t="str">
        <f>IF(AND(OR(LEFT(TH!L2038,2)="15",LEFT(TH!M2038,2)="15"),'152-CT'!$J$8=TH!F2038),"x","")</f>
        <v/>
      </c>
      <c r="Z2038" s="39" t="str">
        <f>IF(AND(OR(LEFT(TH!L2038,2)="15",LEFT(TH!M2038,2)="15"),TK!$E$7=TH!F2038),"x","")</f>
        <v/>
      </c>
      <c r="AA2038" s="39" t="str">
        <f>IF(AND(B2038&lt;=NKC!$N$8,B2038&gt;=NKC!$M$8),"x","")</f>
        <v/>
      </c>
      <c r="AB2038" s="821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103"/>
        <v/>
      </c>
      <c r="C2039" s="191"/>
      <c r="D2039" s="191"/>
      <c r="E2039" s="191"/>
      <c r="F2039" s="192"/>
      <c r="G2039" s="468"/>
      <c r="H2039" s="193"/>
      <c r="I2039" s="256"/>
      <c r="J2039" s="256"/>
      <c r="K2039" s="568"/>
      <c r="L2039" s="194"/>
      <c r="M2039" s="194"/>
      <c r="N2039" s="39" t="str">
        <f>IF(AND('331-CT'!$E$7=TH!H2039,OR(L2039="331",M2039="331")),"331",IF(AND(OR(L2039="131",M2039="131"),H2039='131-CT'!$E$7),"131",""))</f>
        <v/>
      </c>
      <c r="O2039" s="902" t="str">
        <f>IF(AND('341-CT'!$E$9=H2039,OR(LEFT(L2039,3)=$O$7,LEFT(M2039,3)=$O$7)),"x","")</f>
        <v/>
      </c>
      <c r="P2039" s="39" t="str">
        <f>IF(AND($B2039&gt;='111'!$N$11,$B2039&lt;='111'!$O$11,OR($L2039=$P$7,$M2039=$P$7)),"x","")</f>
        <v/>
      </c>
      <c r="Q2039" s="39" t="str">
        <f>IF(AND($L2039=$P$7,$B2039&lt;'111'!$N$11),"x","")</f>
        <v/>
      </c>
      <c r="R2039" s="39" t="str">
        <f>IF(AND($M2039=$P$7,$B2039&lt;'111'!$N$11),"x","")</f>
        <v/>
      </c>
      <c r="S2039" s="39" t="str">
        <f>IF(ISERROR(FIND('112'!$M$9,G2039,1)),"",IF((AND(FIND('112'!$M$9,G2039,1)&gt;=1,$B2039&gt;='112'!$N$8,$B2039&lt;='112'!$O$8,OR($L2039='112'!$I$6,$M2039='112'!$I$6))),"x",""))</f>
        <v/>
      </c>
      <c r="T2039" s="39" t="str">
        <f>IF(ISERROR(FIND('112'!$M$9,G2039,1)),"",IF((AND(LEFT(G2039,2)=LEFT('112'!$M$9,2),B2039&lt;'112'!$N$8,$L2039='112'!$I$6)),"x",""))</f>
        <v/>
      </c>
      <c r="U2039" s="39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39" t="str">
        <f>IF(OR(TH!L2039=TH!$W$7,M2039=TH!$W$7),"x","")</f>
        <v/>
      </c>
      <c r="X2039" s="39" t="str">
        <f>IF(AND(B2039&gt;='IN-NX'!$P$3,B2039&lt;='IN-NX'!$Q$3,'IN-NX'!$D$7=D2039,OR(LEFT(L2039,2)="15",AND(LEFT(M2039,2)&lt;&gt;"15",LEFT(M2039,2)&lt;&gt;"33"))),"x","")</f>
        <v/>
      </c>
      <c r="Y2039" s="39" t="str">
        <f>IF(AND(OR(LEFT(TH!L2039,2)="15",LEFT(TH!M2039,2)="15"),'152-CT'!$J$8=TH!F2039),"x","")</f>
        <v/>
      </c>
      <c r="Z2039" s="39" t="str">
        <f>IF(AND(OR(LEFT(TH!L2039,2)="15",LEFT(TH!M2039,2)="15"),TK!$E$7=TH!F2039),"x","")</f>
        <v/>
      </c>
      <c r="AA2039" s="39" t="str">
        <f>IF(AND(B2039&lt;=NKC!$N$8,B2039&gt;=NKC!$M$8),"x","")</f>
        <v/>
      </c>
      <c r="AB2039" s="821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103"/>
        <v/>
      </c>
      <c r="C2040" s="191"/>
      <c r="D2040" s="191"/>
      <c r="E2040" s="191"/>
      <c r="F2040" s="192"/>
      <c r="G2040" s="468"/>
      <c r="H2040" s="193"/>
      <c r="I2040" s="256"/>
      <c r="J2040" s="256"/>
      <c r="K2040" s="568"/>
      <c r="L2040" s="194"/>
      <c r="M2040" s="194"/>
      <c r="N2040" s="39" t="str">
        <f>IF(AND('331-CT'!$E$7=TH!H2040,OR(L2040="331",M2040="331")),"331",IF(AND(OR(L2040="131",M2040="131"),H2040='131-CT'!$E$7),"131",""))</f>
        <v/>
      </c>
      <c r="O2040" s="902" t="str">
        <f>IF(AND('341-CT'!$E$9=H2040,OR(LEFT(L2040,3)=$O$7,LEFT(M2040,3)=$O$7)),"x","")</f>
        <v/>
      </c>
      <c r="P2040" s="39" t="str">
        <f>IF(AND($B2040&gt;='111'!$N$11,$B2040&lt;='111'!$O$11,OR($L2040=$P$7,$M2040=$P$7)),"x","")</f>
        <v/>
      </c>
      <c r="Q2040" s="39" t="str">
        <f>IF(AND($L2040=$P$7,$B2040&lt;'111'!$N$11),"x","")</f>
        <v/>
      </c>
      <c r="R2040" s="39" t="str">
        <f>IF(AND($M2040=$P$7,$B2040&lt;'111'!$N$11),"x","")</f>
        <v/>
      </c>
      <c r="S2040" s="39" t="str">
        <f>IF(ISERROR(FIND('112'!$M$9,G2040,1)),"",IF((AND(FIND('112'!$M$9,G2040,1)&gt;=1,$B2040&gt;='112'!$N$8,$B2040&lt;='112'!$O$8,OR($L2040='112'!$I$6,$M2040='112'!$I$6))),"x",""))</f>
        <v/>
      </c>
      <c r="T2040" s="39" t="str">
        <f>IF(ISERROR(FIND('112'!$M$9,G2040,1)),"",IF((AND(LEFT(G2040,2)=LEFT('112'!$M$9,2),B2040&lt;'112'!$N$8,$L2040='112'!$I$6)),"x",""))</f>
        <v/>
      </c>
      <c r="U2040" s="39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39" t="str">
        <f>IF(OR(TH!L2040=TH!$W$7,M2040=TH!$W$7),"x","")</f>
        <v/>
      </c>
      <c r="X2040" s="39" t="str">
        <f>IF(AND(B2040&gt;='IN-NX'!$P$3,B2040&lt;='IN-NX'!$Q$3,'IN-NX'!$D$7=D2040,OR(LEFT(L2040,2)="15",AND(LEFT(M2040,2)&lt;&gt;"15",LEFT(M2040,2)&lt;&gt;"33"))),"x","")</f>
        <v/>
      </c>
      <c r="Y2040" s="39" t="str">
        <f>IF(AND(OR(LEFT(TH!L2040,2)="15",LEFT(TH!M2040,2)="15"),'152-CT'!$J$8=TH!F2040),"x","")</f>
        <v/>
      </c>
      <c r="Z2040" s="39" t="str">
        <f>IF(AND(OR(LEFT(TH!L2040,2)="15",LEFT(TH!M2040,2)="15"),TK!$E$7=TH!F2040),"x","")</f>
        <v/>
      </c>
      <c r="AA2040" s="39" t="str">
        <f>IF(AND(B2040&lt;=NKC!$N$8,B2040&gt;=NKC!$M$8),"x","")</f>
        <v/>
      </c>
      <c r="AB2040" s="821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ref="B2041:B2104" si="104">IF(C2041&lt;&gt;"",MONTH(C2041),"")</f>
        <v/>
      </c>
      <c r="C2041" s="191"/>
      <c r="D2041" s="191"/>
      <c r="E2041" s="191"/>
      <c r="F2041" s="192"/>
      <c r="G2041" s="468"/>
      <c r="H2041" s="193"/>
      <c r="I2041" s="256"/>
      <c r="J2041" s="256"/>
      <c r="K2041" s="568"/>
      <c r="L2041" s="194"/>
      <c r="M2041" s="194"/>
      <c r="N2041" s="39" t="str">
        <f>IF(AND('331-CT'!$E$7=TH!H2041,OR(L2041="331",M2041="331")),"331",IF(AND(OR(L2041="131",M2041="131"),H2041='131-CT'!$E$7),"131",""))</f>
        <v/>
      </c>
      <c r="O2041" s="902" t="str">
        <f>IF(AND('341-CT'!$E$9=H2041,OR(LEFT(L2041,3)=$O$7,LEFT(M2041,3)=$O$7)),"x","")</f>
        <v/>
      </c>
      <c r="P2041" s="39" t="str">
        <f>IF(AND($B2041&gt;='111'!$N$11,$B2041&lt;='111'!$O$11,OR($L2041=$P$7,$M2041=$P$7)),"x","")</f>
        <v/>
      </c>
      <c r="Q2041" s="39" t="str">
        <f>IF(AND($L2041=$P$7,$B2041&lt;'111'!$N$11),"x","")</f>
        <v/>
      </c>
      <c r="R2041" s="39" t="str">
        <f>IF(AND($M2041=$P$7,$B2041&lt;'111'!$N$11),"x","")</f>
        <v/>
      </c>
      <c r="S2041" s="39" t="str">
        <f>IF(ISERROR(FIND('112'!$M$9,G2041,1)),"",IF((AND(FIND('112'!$M$9,G2041,1)&gt;=1,$B2041&gt;='112'!$N$8,$B2041&lt;='112'!$O$8,OR($L2041='112'!$I$6,$M2041='112'!$I$6))),"x",""))</f>
        <v/>
      </c>
      <c r="T2041" s="39" t="str">
        <f>IF(ISERROR(FIND('112'!$M$9,G2041,1)),"",IF((AND(LEFT(G2041,2)=LEFT('112'!$M$9,2),B2041&lt;'112'!$N$8,$L2041='112'!$I$6)),"x",""))</f>
        <v/>
      </c>
      <c r="U2041" s="39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39" t="str">
        <f>IF(OR(TH!L2041=TH!$W$7,M2041=TH!$W$7),"x","")</f>
        <v/>
      </c>
      <c r="X2041" s="39" t="str">
        <f>IF(AND(B2041&gt;='IN-NX'!$P$3,B2041&lt;='IN-NX'!$Q$3,'IN-NX'!$D$7=D2041,OR(LEFT(L2041,2)="15",AND(LEFT(M2041,2)&lt;&gt;"15",LEFT(M2041,2)&lt;&gt;"33"))),"x","")</f>
        <v/>
      </c>
      <c r="Y2041" s="39" t="str">
        <f>IF(AND(OR(LEFT(TH!L2041,2)="15",LEFT(TH!M2041,2)="15"),'152-CT'!$J$8=TH!F2041),"x","")</f>
        <v/>
      </c>
      <c r="Z2041" s="39" t="str">
        <f>IF(AND(OR(LEFT(TH!L2041,2)="15",LEFT(TH!M2041,2)="15"),TK!$E$7=TH!F2041),"x","")</f>
        <v/>
      </c>
      <c r="AA2041" s="39" t="str">
        <f>IF(AND(B2041&lt;=NKC!$N$8,B2041&gt;=NKC!$M$8),"x","")</f>
        <v/>
      </c>
      <c r="AB2041" s="821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104"/>
        <v/>
      </c>
      <c r="C2042" s="191"/>
      <c r="D2042" s="191"/>
      <c r="E2042" s="191"/>
      <c r="F2042" s="192"/>
      <c r="G2042" s="468"/>
      <c r="H2042" s="193"/>
      <c r="I2042" s="256"/>
      <c r="J2042" s="256"/>
      <c r="K2042" s="568"/>
      <c r="L2042" s="194"/>
      <c r="M2042" s="194"/>
      <c r="N2042" s="39" t="str">
        <f>IF(AND('331-CT'!$E$7=TH!H2042,OR(L2042="331",M2042="331")),"331",IF(AND(OR(L2042="131",M2042="131"),H2042='131-CT'!$E$7),"131",""))</f>
        <v/>
      </c>
      <c r="O2042" s="902" t="str">
        <f>IF(AND('341-CT'!$E$9=H2042,OR(LEFT(L2042,3)=$O$7,LEFT(M2042,3)=$O$7)),"x","")</f>
        <v/>
      </c>
      <c r="P2042" s="39" t="str">
        <f>IF(AND($B2042&gt;='111'!$N$11,$B2042&lt;='111'!$O$11,OR($L2042=$P$7,$M2042=$P$7)),"x","")</f>
        <v/>
      </c>
      <c r="Q2042" s="39" t="str">
        <f>IF(AND($L2042=$P$7,$B2042&lt;'111'!$N$11),"x","")</f>
        <v/>
      </c>
      <c r="R2042" s="39" t="str">
        <f>IF(AND($M2042=$P$7,$B2042&lt;'111'!$N$11),"x","")</f>
        <v/>
      </c>
      <c r="S2042" s="39" t="str">
        <f>IF(ISERROR(FIND('112'!$M$9,G2042,1)),"",IF((AND(FIND('112'!$M$9,G2042,1)&gt;=1,$B2042&gt;='112'!$N$8,$B2042&lt;='112'!$O$8,OR($L2042='112'!$I$6,$M2042='112'!$I$6))),"x",""))</f>
        <v/>
      </c>
      <c r="T2042" s="39" t="str">
        <f>IF(ISERROR(FIND('112'!$M$9,G2042,1)),"",IF((AND(LEFT(G2042,2)=LEFT('112'!$M$9,2),B2042&lt;'112'!$N$8,$L2042='112'!$I$6)),"x",""))</f>
        <v/>
      </c>
      <c r="U2042" s="39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39" t="str">
        <f>IF(OR(TH!L2042=TH!$W$7,M2042=TH!$W$7),"x","")</f>
        <v/>
      </c>
      <c r="X2042" s="39" t="str">
        <f>IF(AND(B2042&gt;='IN-NX'!$P$3,B2042&lt;='IN-NX'!$Q$3,'IN-NX'!$D$7=D2042,OR(LEFT(L2042,2)="15",AND(LEFT(M2042,2)&lt;&gt;"15",LEFT(M2042,2)&lt;&gt;"33"))),"x","")</f>
        <v/>
      </c>
      <c r="Y2042" s="39" t="str">
        <f>IF(AND(OR(LEFT(TH!L2042,2)="15",LEFT(TH!M2042,2)="15"),'152-CT'!$J$8=TH!F2042),"x","")</f>
        <v/>
      </c>
      <c r="Z2042" s="39" t="str">
        <f>IF(AND(OR(LEFT(TH!L2042,2)="15",LEFT(TH!M2042,2)="15"),TK!$E$7=TH!F2042),"x","")</f>
        <v/>
      </c>
      <c r="AA2042" s="39" t="str">
        <f>IF(AND(B2042&lt;=NKC!$N$8,B2042&gt;=NKC!$M$8),"x","")</f>
        <v/>
      </c>
      <c r="AB2042" s="821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104"/>
        <v/>
      </c>
      <c r="C2043" s="191"/>
      <c r="D2043" s="191"/>
      <c r="E2043" s="191"/>
      <c r="F2043" s="192"/>
      <c r="G2043" s="468"/>
      <c r="H2043" s="193"/>
      <c r="I2043" s="256"/>
      <c r="J2043" s="256"/>
      <c r="K2043" s="568"/>
      <c r="L2043" s="194"/>
      <c r="M2043" s="194"/>
      <c r="N2043" s="39" t="str">
        <f>IF(AND('331-CT'!$E$7=TH!H2043,OR(L2043="331",M2043="331")),"331",IF(AND(OR(L2043="131",M2043="131"),H2043='131-CT'!$E$7),"131",""))</f>
        <v/>
      </c>
      <c r="O2043" s="902" t="str">
        <f>IF(AND('341-CT'!$E$9=H2043,OR(LEFT(L2043,3)=$O$7,LEFT(M2043,3)=$O$7)),"x","")</f>
        <v/>
      </c>
      <c r="P2043" s="39" t="str">
        <f>IF(AND($B2043&gt;='111'!$N$11,$B2043&lt;='111'!$O$11,OR($L2043=$P$7,$M2043=$P$7)),"x","")</f>
        <v/>
      </c>
      <c r="Q2043" s="39" t="str">
        <f>IF(AND($L2043=$P$7,$B2043&lt;'111'!$N$11),"x","")</f>
        <v/>
      </c>
      <c r="R2043" s="39" t="str">
        <f>IF(AND($M2043=$P$7,$B2043&lt;'111'!$N$11),"x","")</f>
        <v/>
      </c>
      <c r="S2043" s="39" t="str">
        <f>IF(ISERROR(FIND('112'!$M$9,G2043,1)),"",IF((AND(FIND('112'!$M$9,G2043,1)&gt;=1,$B2043&gt;='112'!$N$8,$B2043&lt;='112'!$O$8,OR($L2043='112'!$I$6,$M2043='112'!$I$6))),"x",""))</f>
        <v/>
      </c>
      <c r="T2043" s="39" t="str">
        <f>IF(ISERROR(FIND('112'!$M$9,G2043,1)),"",IF((AND(LEFT(G2043,2)=LEFT('112'!$M$9,2),B2043&lt;'112'!$N$8,$L2043='112'!$I$6)),"x",""))</f>
        <v/>
      </c>
      <c r="U2043" s="39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39" t="str">
        <f>IF(OR(TH!L2043=TH!$W$7,M2043=TH!$W$7),"x","")</f>
        <v/>
      </c>
      <c r="X2043" s="39" t="str">
        <f>IF(AND(B2043&gt;='IN-NX'!$P$3,B2043&lt;='IN-NX'!$Q$3,'IN-NX'!$D$7=D2043,OR(LEFT(L2043,2)="15",AND(LEFT(M2043,2)&lt;&gt;"15",LEFT(M2043,2)&lt;&gt;"33"))),"x","")</f>
        <v/>
      </c>
      <c r="Y2043" s="39" t="str">
        <f>IF(AND(OR(LEFT(TH!L2043,2)="15",LEFT(TH!M2043,2)="15"),'152-CT'!$J$8=TH!F2043),"x","")</f>
        <v/>
      </c>
      <c r="Z2043" s="39" t="str">
        <f>IF(AND(OR(LEFT(TH!L2043,2)="15",LEFT(TH!M2043,2)="15"),TK!$E$7=TH!F2043),"x","")</f>
        <v/>
      </c>
      <c r="AA2043" s="39" t="str">
        <f>IF(AND(B2043&lt;=NKC!$N$8,B2043&gt;=NKC!$M$8),"x","")</f>
        <v/>
      </c>
      <c r="AB2043" s="821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104"/>
        <v/>
      </c>
      <c r="C2044" s="191"/>
      <c r="D2044" s="191"/>
      <c r="E2044" s="191"/>
      <c r="F2044" s="192"/>
      <c r="G2044" s="468"/>
      <c r="H2044" s="193"/>
      <c r="I2044" s="256"/>
      <c r="J2044" s="256"/>
      <c r="K2044" s="568"/>
      <c r="L2044" s="194"/>
      <c r="M2044" s="194"/>
      <c r="N2044" s="39" t="str">
        <f>IF(AND('331-CT'!$E$7=TH!H2044,OR(L2044="331",M2044="331")),"331",IF(AND(OR(L2044="131",M2044="131"),H2044='131-CT'!$E$7),"131",""))</f>
        <v/>
      </c>
      <c r="O2044" s="902" t="str">
        <f>IF(AND('341-CT'!$E$9=H2044,OR(LEFT(L2044,3)=$O$7,LEFT(M2044,3)=$O$7)),"x","")</f>
        <v/>
      </c>
      <c r="P2044" s="39" t="str">
        <f>IF(AND($B2044&gt;='111'!$N$11,$B2044&lt;='111'!$O$11,OR($L2044=$P$7,$M2044=$P$7)),"x","")</f>
        <v/>
      </c>
      <c r="Q2044" s="39" t="str">
        <f>IF(AND($L2044=$P$7,$B2044&lt;'111'!$N$11),"x","")</f>
        <v/>
      </c>
      <c r="R2044" s="39" t="str">
        <f>IF(AND($M2044=$P$7,$B2044&lt;'111'!$N$11),"x","")</f>
        <v/>
      </c>
      <c r="S2044" s="39" t="str">
        <f>IF(ISERROR(FIND('112'!$M$9,G2044,1)),"",IF((AND(FIND('112'!$M$9,G2044,1)&gt;=1,$B2044&gt;='112'!$N$8,$B2044&lt;='112'!$O$8,OR($L2044='112'!$I$6,$M2044='112'!$I$6))),"x",""))</f>
        <v/>
      </c>
      <c r="T2044" s="39" t="str">
        <f>IF(ISERROR(FIND('112'!$M$9,G2044,1)),"",IF((AND(LEFT(G2044,2)=LEFT('112'!$M$9,2),B2044&lt;'112'!$N$8,$L2044='112'!$I$6)),"x",""))</f>
        <v/>
      </c>
      <c r="U2044" s="39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39" t="str">
        <f>IF(OR(TH!L2044=TH!$W$7,M2044=TH!$W$7),"x","")</f>
        <v/>
      </c>
      <c r="X2044" s="39" t="str">
        <f>IF(AND(B2044&gt;='IN-NX'!$P$3,B2044&lt;='IN-NX'!$Q$3,'IN-NX'!$D$7=D2044,OR(LEFT(L2044,2)="15",AND(LEFT(M2044,2)&lt;&gt;"15",LEFT(M2044,2)&lt;&gt;"33"))),"x","")</f>
        <v/>
      </c>
      <c r="Y2044" s="39" t="str">
        <f>IF(AND(OR(LEFT(TH!L2044,2)="15",LEFT(TH!M2044,2)="15"),'152-CT'!$J$8=TH!F2044),"x","")</f>
        <v/>
      </c>
      <c r="Z2044" s="39" t="str">
        <f>IF(AND(OR(LEFT(TH!L2044,2)="15",LEFT(TH!M2044,2)="15"),TK!$E$7=TH!F2044),"x","")</f>
        <v/>
      </c>
      <c r="AA2044" s="39" t="str">
        <f>IF(AND(B2044&lt;=NKC!$N$8,B2044&gt;=NKC!$M$8),"x","")</f>
        <v/>
      </c>
      <c r="AB2044" s="821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104"/>
        <v/>
      </c>
      <c r="C2045" s="191"/>
      <c r="D2045" s="191"/>
      <c r="E2045" s="191"/>
      <c r="F2045" s="192"/>
      <c r="G2045" s="468"/>
      <c r="H2045" s="193"/>
      <c r="I2045" s="256"/>
      <c r="J2045" s="256"/>
      <c r="K2045" s="568"/>
      <c r="L2045" s="194"/>
      <c r="M2045" s="194"/>
      <c r="N2045" s="39" t="str">
        <f>IF(AND('331-CT'!$E$7=TH!H2045,OR(L2045="331",M2045="331")),"331",IF(AND(OR(L2045="131",M2045="131"),H2045='131-CT'!$E$7),"131",""))</f>
        <v/>
      </c>
      <c r="O2045" s="902" t="str">
        <f>IF(AND('341-CT'!$E$9=H2045,OR(LEFT(L2045,3)=$O$7,LEFT(M2045,3)=$O$7)),"x","")</f>
        <v/>
      </c>
      <c r="P2045" s="39" t="str">
        <f>IF(AND($B2045&gt;='111'!$N$11,$B2045&lt;='111'!$O$11,OR($L2045=$P$7,$M2045=$P$7)),"x","")</f>
        <v/>
      </c>
      <c r="Q2045" s="39" t="str">
        <f>IF(AND($L2045=$P$7,$B2045&lt;'111'!$N$11),"x","")</f>
        <v/>
      </c>
      <c r="R2045" s="39" t="str">
        <f>IF(AND($M2045=$P$7,$B2045&lt;'111'!$N$11),"x","")</f>
        <v/>
      </c>
      <c r="S2045" s="39" t="str">
        <f>IF(ISERROR(FIND('112'!$M$9,G2045,1)),"",IF((AND(FIND('112'!$M$9,G2045,1)&gt;=1,$B2045&gt;='112'!$N$8,$B2045&lt;='112'!$O$8,OR($L2045='112'!$I$6,$M2045='112'!$I$6))),"x",""))</f>
        <v/>
      </c>
      <c r="T2045" s="39" t="str">
        <f>IF(ISERROR(FIND('112'!$M$9,G2045,1)),"",IF((AND(LEFT(G2045,2)=LEFT('112'!$M$9,2),B2045&lt;'112'!$N$8,$L2045='112'!$I$6)),"x",""))</f>
        <v/>
      </c>
      <c r="U2045" s="39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39" t="str">
        <f>IF(OR(TH!L2045=TH!$W$7,M2045=TH!$W$7),"x","")</f>
        <v/>
      </c>
      <c r="X2045" s="39" t="str">
        <f>IF(AND(B2045&gt;='IN-NX'!$P$3,B2045&lt;='IN-NX'!$Q$3,'IN-NX'!$D$7=D2045,OR(LEFT(L2045,2)="15",AND(LEFT(M2045,2)&lt;&gt;"15",LEFT(M2045,2)&lt;&gt;"33"))),"x","")</f>
        <v/>
      </c>
      <c r="Y2045" s="39" t="str">
        <f>IF(AND(OR(LEFT(TH!L2045,2)="15",LEFT(TH!M2045,2)="15"),'152-CT'!$J$8=TH!F2045),"x","")</f>
        <v/>
      </c>
      <c r="Z2045" s="39" t="str">
        <f>IF(AND(OR(LEFT(TH!L2045,2)="15",LEFT(TH!M2045,2)="15"),TK!$E$7=TH!F2045),"x","")</f>
        <v/>
      </c>
      <c r="AA2045" s="39" t="str">
        <f>IF(AND(B2045&lt;=NKC!$N$8,B2045&gt;=NKC!$M$8),"x","")</f>
        <v/>
      </c>
      <c r="AB2045" s="821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104"/>
        <v/>
      </c>
      <c r="C2046" s="191"/>
      <c r="D2046" s="191"/>
      <c r="E2046" s="191"/>
      <c r="F2046" s="192"/>
      <c r="G2046" s="468"/>
      <c r="H2046" s="193"/>
      <c r="I2046" s="256"/>
      <c r="J2046" s="256"/>
      <c r="K2046" s="568"/>
      <c r="L2046" s="194"/>
      <c r="M2046" s="194"/>
      <c r="N2046" s="39" t="str">
        <f>IF(AND('331-CT'!$E$7=TH!H2046,OR(L2046="331",M2046="331")),"331",IF(AND(OR(L2046="131",M2046="131"),H2046='131-CT'!$E$7),"131",""))</f>
        <v/>
      </c>
      <c r="O2046" s="902" t="str">
        <f>IF(AND('341-CT'!$E$9=H2046,OR(LEFT(L2046,3)=$O$7,LEFT(M2046,3)=$O$7)),"x","")</f>
        <v/>
      </c>
      <c r="P2046" s="39" t="str">
        <f>IF(AND($B2046&gt;='111'!$N$11,$B2046&lt;='111'!$O$11,OR($L2046=$P$7,$M2046=$P$7)),"x","")</f>
        <v/>
      </c>
      <c r="Q2046" s="39" t="str">
        <f>IF(AND($L2046=$P$7,$B2046&lt;'111'!$N$11),"x","")</f>
        <v/>
      </c>
      <c r="R2046" s="39" t="str">
        <f>IF(AND($M2046=$P$7,$B2046&lt;'111'!$N$11),"x","")</f>
        <v/>
      </c>
      <c r="S2046" s="39" t="str">
        <f>IF(ISERROR(FIND('112'!$M$9,G2046,1)),"",IF((AND(FIND('112'!$M$9,G2046,1)&gt;=1,$B2046&gt;='112'!$N$8,$B2046&lt;='112'!$O$8,OR($L2046='112'!$I$6,$M2046='112'!$I$6))),"x",""))</f>
        <v/>
      </c>
      <c r="T2046" s="39" t="str">
        <f>IF(ISERROR(FIND('112'!$M$9,G2046,1)),"",IF((AND(LEFT(G2046,2)=LEFT('112'!$M$9,2),B2046&lt;'112'!$N$8,$L2046='112'!$I$6)),"x",""))</f>
        <v/>
      </c>
      <c r="U2046" s="39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39" t="str">
        <f>IF(OR(TH!L2046=TH!$W$7,M2046=TH!$W$7),"x","")</f>
        <v/>
      </c>
      <c r="X2046" s="39" t="str">
        <f>IF(AND(B2046&gt;='IN-NX'!$P$3,B2046&lt;='IN-NX'!$Q$3,'IN-NX'!$D$7=D2046,OR(LEFT(L2046,2)="15",AND(LEFT(M2046,2)&lt;&gt;"15",LEFT(M2046,2)&lt;&gt;"33"))),"x","")</f>
        <v/>
      </c>
      <c r="Y2046" s="39" t="str">
        <f>IF(AND(OR(LEFT(TH!L2046,2)="15",LEFT(TH!M2046,2)="15"),'152-CT'!$J$8=TH!F2046),"x","")</f>
        <v/>
      </c>
      <c r="Z2046" s="39" t="str">
        <f>IF(AND(OR(LEFT(TH!L2046,2)="15",LEFT(TH!M2046,2)="15"),TK!$E$7=TH!F2046),"x","")</f>
        <v/>
      </c>
      <c r="AA2046" s="39" t="str">
        <f>IF(AND(B2046&lt;=NKC!$N$8,B2046&gt;=NKC!$M$8),"x","")</f>
        <v/>
      </c>
      <c r="AB2046" s="821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104"/>
        <v/>
      </c>
      <c r="C2047" s="191"/>
      <c r="D2047" s="37"/>
      <c r="E2047" s="731"/>
      <c r="F2047" s="40"/>
      <c r="G2047" s="40"/>
      <c r="H2047" s="7"/>
      <c r="I2047" s="256"/>
      <c r="J2047" s="256"/>
      <c r="K2047" s="56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902" t="str">
        <f>IF(AND('341-CT'!$E$9=H2047,OR(LEFT(L2047,3)=$O$7,LEFT(M2047,3)=$O$7)),"x","")</f>
        <v/>
      </c>
      <c r="P2047" s="39" t="str">
        <f>IF(AND($B2047&gt;='111'!$N$11,$B2047&lt;='111'!$O$11,OR($L2047=$P$7,$M2047=$P$7)),"x","")</f>
        <v/>
      </c>
      <c r="Q2047" s="39" t="str">
        <f>IF(AND($L2047=$P$7,$B2047&lt;'111'!$N$11),"x","")</f>
        <v/>
      </c>
      <c r="R2047" s="39" t="str">
        <f>IF(AND($M2047=$P$7,$B2047&lt;'111'!$N$11),"x","")</f>
        <v/>
      </c>
      <c r="S2047" s="39" t="str">
        <f>IF(ISERROR(FIND('112'!$M$9,G2047,1)),"",IF((AND(FIND('112'!$M$9,G2047,1)&gt;=1,$B2047&gt;='112'!$N$8,$B2047&lt;='112'!$O$8,OR($L2047='112'!$I$6,$M2047='112'!$I$6))),"x",""))</f>
        <v/>
      </c>
      <c r="T2047" s="39" t="str">
        <f>IF(ISERROR(FIND('112'!$M$9,G2047,1)),"",IF((AND(LEFT(G2047,2)=LEFT('112'!$M$9,2),B2047&lt;'112'!$N$8,$L2047='112'!$I$6)),"x",""))</f>
        <v/>
      </c>
      <c r="U2047" s="39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39" t="str">
        <f>IF(OR(TH!L2047=TH!$W$7,M2047=TH!$W$7),"x","")</f>
        <v/>
      </c>
      <c r="X2047" s="39" t="str">
        <f>IF(AND(B2047&gt;='IN-NX'!$P$3,B2047&lt;='IN-NX'!$Q$3,'IN-NX'!$D$7=D2047,OR(LEFT(L2047,2)="15",AND(LEFT(M2047,2)&lt;&gt;"15",LEFT(M2047,2)&lt;&gt;"33"))),"x","")</f>
        <v/>
      </c>
      <c r="Y2047" s="39" t="str">
        <f>IF(AND(OR(LEFT(TH!L2047,2)="15",LEFT(TH!M2047,2)="15"),'152-CT'!$J$8=TH!F2047),"x","")</f>
        <v/>
      </c>
      <c r="Z2047" s="39" t="str">
        <f>IF(AND(OR(LEFT(TH!L2047,2)="15",LEFT(TH!M2047,2)="15"),TK!$E$7=TH!F2047),"x","")</f>
        <v/>
      </c>
      <c r="AA2047" s="39" t="str">
        <f>IF(AND(B2047&lt;=NKC!$N$8,B2047&gt;=NKC!$M$8),"x","")</f>
        <v/>
      </c>
      <c r="AB2047" s="821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104"/>
        <v/>
      </c>
      <c r="C2048" s="191"/>
      <c r="D2048" s="37"/>
      <c r="E2048" s="731"/>
      <c r="F2048" s="40"/>
      <c r="G2048" s="40"/>
      <c r="H2048" s="7"/>
      <c r="I2048" s="256"/>
      <c r="J2048" s="256"/>
      <c r="K2048" s="56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902" t="str">
        <f>IF(AND('341-CT'!$E$9=H2048,OR(LEFT(L2048,3)=$O$7,LEFT(M2048,3)=$O$7)),"x","")</f>
        <v/>
      </c>
      <c r="P2048" s="39" t="str">
        <f>IF(AND($B2048&gt;='111'!$N$11,$B2048&lt;='111'!$O$11,OR($L2048=$P$7,$M2048=$P$7)),"x","")</f>
        <v/>
      </c>
      <c r="Q2048" s="39" t="str">
        <f>IF(AND($L2048=$P$7,$B2048&lt;'111'!$N$11),"x","")</f>
        <v/>
      </c>
      <c r="R2048" s="39" t="str">
        <f>IF(AND($M2048=$P$7,$B2048&lt;'111'!$N$11),"x","")</f>
        <v/>
      </c>
      <c r="S2048" s="39" t="str">
        <f>IF(ISERROR(FIND('112'!$M$9,G2048,1)),"",IF((AND(FIND('112'!$M$9,G2048,1)&gt;=1,$B2048&gt;='112'!$N$8,$B2048&lt;='112'!$O$8,OR($L2048='112'!$I$6,$M2048='112'!$I$6))),"x",""))</f>
        <v/>
      </c>
      <c r="T2048" s="39" t="str">
        <f>IF(ISERROR(FIND('112'!$M$9,G2048,1)),"",IF((AND(LEFT(G2048,2)=LEFT('112'!$M$9,2),B2048&lt;'112'!$N$8,$L2048='112'!$I$6)),"x",""))</f>
        <v/>
      </c>
      <c r="U2048" s="39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39" t="str">
        <f>IF(OR(TH!L2048=TH!$W$7,M2048=TH!$W$7),"x","")</f>
        <v/>
      </c>
      <c r="X2048" s="39" t="str">
        <f>IF(AND(B2048&gt;='IN-NX'!$P$3,B2048&lt;='IN-NX'!$Q$3,'IN-NX'!$D$7=D2048,OR(LEFT(L2048,2)="15",AND(LEFT(M2048,2)&lt;&gt;"15",LEFT(M2048,2)&lt;&gt;"33"))),"x","")</f>
        <v/>
      </c>
      <c r="Y2048" s="39" t="str">
        <f>IF(AND(OR(LEFT(TH!L2048,2)="15",LEFT(TH!M2048,2)="15"),'152-CT'!$J$8=TH!F2048),"x","")</f>
        <v/>
      </c>
      <c r="Z2048" s="39" t="str">
        <f>IF(AND(OR(LEFT(TH!L2048,2)="15",LEFT(TH!M2048,2)="15"),TK!$E$7=TH!F2048),"x","")</f>
        <v/>
      </c>
      <c r="AA2048" s="39" t="str">
        <f>IF(AND(B2048&lt;=NKC!$N$8,B2048&gt;=NKC!$M$8),"x","")</f>
        <v/>
      </c>
      <c r="AB2048" s="821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104"/>
        <v/>
      </c>
      <c r="C2049" s="191"/>
      <c r="D2049" s="37"/>
      <c r="E2049" s="731"/>
      <c r="F2049" s="40"/>
      <c r="G2049" s="40"/>
      <c r="H2049" s="7"/>
      <c r="I2049" s="256"/>
      <c r="J2049" s="256"/>
      <c r="K2049" s="56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902" t="str">
        <f>IF(AND('341-CT'!$E$9=H2049,OR(LEFT(L2049,3)=$O$7,LEFT(M2049,3)=$O$7)),"x","")</f>
        <v/>
      </c>
      <c r="P2049" s="39" t="str">
        <f>IF(AND($B2049&gt;='111'!$N$11,$B2049&lt;='111'!$O$11,OR($L2049=$P$7,$M2049=$P$7)),"x","")</f>
        <v/>
      </c>
      <c r="Q2049" s="39" t="str">
        <f>IF(AND($L2049=$P$7,$B2049&lt;'111'!$N$11),"x","")</f>
        <v/>
      </c>
      <c r="R2049" s="39" t="str">
        <f>IF(AND($M2049=$P$7,$B2049&lt;'111'!$N$11),"x","")</f>
        <v/>
      </c>
      <c r="S2049" s="39" t="str">
        <f>IF(ISERROR(FIND('112'!$M$9,G2049,1)),"",IF((AND(FIND('112'!$M$9,G2049,1)&gt;=1,$B2049&gt;='112'!$N$8,$B2049&lt;='112'!$O$8,OR($L2049='112'!$I$6,$M2049='112'!$I$6))),"x",""))</f>
        <v/>
      </c>
      <c r="T2049" s="39" t="str">
        <f>IF(ISERROR(FIND('112'!$M$9,G2049,1)),"",IF((AND(LEFT(G2049,2)=LEFT('112'!$M$9,2),B2049&lt;'112'!$N$8,$L2049='112'!$I$6)),"x",""))</f>
        <v/>
      </c>
      <c r="U2049" s="39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39" t="str">
        <f>IF(OR(TH!L2049=TH!$W$7,M2049=TH!$W$7),"x","")</f>
        <v/>
      </c>
      <c r="X2049" s="39" t="str">
        <f>IF(AND(B2049&gt;='IN-NX'!$P$3,B2049&lt;='IN-NX'!$Q$3,'IN-NX'!$D$7=D2049,OR(LEFT(L2049,2)="15",AND(LEFT(M2049,2)&lt;&gt;"15",LEFT(M2049,2)&lt;&gt;"33"))),"x","")</f>
        <v/>
      </c>
      <c r="Y2049" s="39" t="str">
        <f>IF(AND(OR(LEFT(TH!L2049,2)="15",LEFT(TH!M2049,2)="15"),'152-CT'!$J$8=TH!F2049),"x","")</f>
        <v/>
      </c>
      <c r="Z2049" s="39" t="str">
        <f>IF(AND(OR(LEFT(TH!L2049,2)="15",LEFT(TH!M2049,2)="15"),TK!$E$7=TH!F2049),"x","")</f>
        <v/>
      </c>
      <c r="AA2049" s="39" t="str">
        <f>IF(AND(B2049&lt;=NKC!$N$8,B2049&gt;=NKC!$M$8),"x","")</f>
        <v/>
      </c>
      <c r="AB2049" s="821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104"/>
        <v/>
      </c>
      <c r="C2050" s="191"/>
      <c r="D2050" s="37"/>
      <c r="E2050" s="731"/>
      <c r="F2050" s="40"/>
      <c r="G2050" s="40"/>
      <c r="H2050" s="7"/>
      <c r="I2050" s="256"/>
      <c r="J2050" s="256"/>
      <c r="K2050" s="56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902" t="str">
        <f>IF(AND('341-CT'!$E$9=H2050,OR(LEFT(L2050,3)=$O$7,LEFT(M2050,3)=$O$7)),"x","")</f>
        <v/>
      </c>
      <c r="P2050" s="39" t="str">
        <f>IF(AND($B2050&gt;='111'!$N$11,$B2050&lt;='111'!$O$11,OR($L2050=$P$7,$M2050=$P$7)),"x","")</f>
        <v/>
      </c>
      <c r="Q2050" s="39" t="str">
        <f>IF(AND($L2050=$P$7,$B2050&lt;'111'!$N$11),"x","")</f>
        <v/>
      </c>
      <c r="R2050" s="39" t="str">
        <f>IF(AND($M2050=$P$7,$B2050&lt;'111'!$N$11),"x","")</f>
        <v/>
      </c>
      <c r="S2050" s="39" t="str">
        <f>IF(ISERROR(FIND('112'!$M$9,G2050,1)),"",IF((AND(FIND('112'!$M$9,G2050,1)&gt;=1,$B2050&gt;='112'!$N$8,$B2050&lt;='112'!$O$8,OR($L2050='112'!$I$6,$M2050='112'!$I$6))),"x",""))</f>
        <v/>
      </c>
      <c r="T2050" s="39" t="str">
        <f>IF(ISERROR(FIND('112'!$M$9,G2050,1)),"",IF((AND(LEFT(G2050,2)=LEFT('112'!$M$9,2),B2050&lt;'112'!$N$8,$L2050='112'!$I$6)),"x",""))</f>
        <v/>
      </c>
      <c r="U2050" s="39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39" t="str">
        <f>IF(OR(TH!L2050=TH!$W$7,M2050=TH!$W$7),"x","")</f>
        <v/>
      </c>
      <c r="X2050" s="39" t="str">
        <f>IF(AND(B2050&gt;='IN-NX'!$P$3,B2050&lt;='IN-NX'!$Q$3,'IN-NX'!$D$7=D2050,OR(LEFT(L2050,2)="15",AND(LEFT(M2050,2)&lt;&gt;"15",LEFT(M2050,2)&lt;&gt;"33"))),"x","")</f>
        <v/>
      </c>
      <c r="Y2050" s="39" t="str">
        <f>IF(AND(OR(LEFT(TH!L2050,2)="15",LEFT(TH!M2050,2)="15"),'152-CT'!$J$8=TH!F2050),"x","")</f>
        <v/>
      </c>
      <c r="Z2050" s="39" t="str">
        <f>IF(AND(OR(LEFT(TH!L2050,2)="15",LEFT(TH!M2050,2)="15"),TK!$E$7=TH!F2050),"x","")</f>
        <v/>
      </c>
      <c r="AA2050" s="39" t="str">
        <f>IF(AND(B2050&lt;=NKC!$N$8,B2050&gt;=NKC!$M$8),"x","")</f>
        <v/>
      </c>
      <c r="AB2050" s="821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104"/>
        <v/>
      </c>
      <c r="C2051" s="191"/>
      <c r="D2051" s="37"/>
      <c r="E2051" s="731"/>
      <c r="F2051" s="40"/>
      <c r="G2051" s="40"/>
      <c r="H2051" s="7"/>
      <c r="I2051" s="256"/>
      <c r="J2051" s="256"/>
      <c r="K2051" s="56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902" t="str">
        <f>IF(AND('341-CT'!$E$9=H2051,OR(LEFT(L2051,3)=$O$7,LEFT(M2051,3)=$O$7)),"x","")</f>
        <v/>
      </c>
      <c r="P2051" s="39" t="str">
        <f>IF(AND($B2051&gt;='111'!$N$11,$B2051&lt;='111'!$O$11,OR($L2051=$P$7,$M2051=$P$7)),"x","")</f>
        <v/>
      </c>
      <c r="Q2051" s="39" t="str">
        <f>IF(AND($L2051=$P$7,$B2051&lt;'111'!$N$11),"x","")</f>
        <v/>
      </c>
      <c r="R2051" s="39" t="str">
        <f>IF(AND($M2051=$P$7,$B2051&lt;'111'!$N$11),"x","")</f>
        <v/>
      </c>
      <c r="S2051" s="39" t="str">
        <f>IF(ISERROR(FIND('112'!$M$9,G2051,1)),"",IF((AND(FIND('112'!$M$9,G2051,1)&gt;=1,$B2051&gt;='112'!$N$8,$B2051&lt;='112'!$O$8,OR($L2051='112'!$I$6,$M2051='112'!$I$6))),"x",""))</f>
        <v/>
      </c>
      <c r="T2051" s="39" t="str">
        <f>IF(ISERROR(FIND('112'!$M$9,G2051,1)),"",IF((AND(LEFT(G2051,2)=LEFT('112'!$M$9,2),B2051&lt;'112'!$N$8,$L2051='112'!$I$6)),"x",""))</f>
        <v/>
      </c>
      <c r="U2051" s="39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39" t="str">
        <f>IF(OR(TH!L2051=TH!$W$7,M2051=TH!$W$7),"x","")</f>
        <v/>
      </c>
      <c r="X2051" s="39" t="str">
        <f>IF(AND(B2051&gt;='IN-NX'!$P$3,B2051&lt;='IN-NX'!$Q$3,'IN-NX'!$D$7=D2051,OR(LEFT(L2051,2)="15",AND(LEFT(M2051,2)&lt;&gt;"15",LEFT(M2051,2)&lt;&gt;"33"))),"x","")</f>
        <v/>
      </c>
      <c r="Y2051" s="39" t="str">
        <f>IF(AND(OR(LEFT(TH!L2051,2)="15",LEFT(TH!M2051,2)="15"),'152-CT'!$J$8=TH!F2051),"x","")</f>
        <v/>
      </c>
      <c r="Z2051" s="39" t="str">
        <f>IF(AND(OR(LEFT(TH!L2051,2)="15",LEFT(TH!M2051,2)="15"),TK!$E$7=TH!F2051),"x","")</f>
        <v/>
      </c>
      <c r="AA2051" s="39" t="str">
        <f>IF(AND(B2051&lt;=NKC!$N$8,B2051&gt;=NKC!$M$8),"x","")</f>
        <v/>
      </c>
      <c r="AB2051" s="821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104"/>
        <v/>
      </c>
      <c r="C2052" s="191"/>
      <c r="D2052" s="37"/>
      <c r="E2052" s="731"/>
      <c r="F2052" s="40"/>
      <c r="G2052" s="40"/>
      <c r="H2052" s="7"/>
      <c r="I2052" s="256"/>
      <c r="J2052" s="256"/>
      <c r="K2052" s="56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902" t="str">
        <f>IF(AND('341-CT'!$E$9=H2052,OR(LEFT(L2052,3)=$O$7,LEFT(M2052,3)=$O$7)),"x","")</f>
        <v/>
      </c>
      <c r="P2052" s="39" t="str">
        <f>IF(AND($B2052&gt;='111'!$N$11,$B2052&lt;='111'!$O$11,OR($L2052=$P$7,$M2052=$P$7)),"x","")</f>
        <v/>
      </c>
      <c r="Q2052" s="39" t="str">
        <f>IF(AND($L2052=$P$7,$B2052&lt;'111'!$N$11),"x","")</f>
        <v/>
      </c>
      <c r="R2052" s="39" t="str">
        <f>IF(AND($M2052=$P$7,$B2052&lt;'111'!$N$11),"x","")</f>
        <v/>
      </c>
      <c r="S2052" s="39" t="str">
        <f>IF(ISERROR(FIND('112'!$M$9,G2052,1)),"",IF((AND(FIND('112'!$M$9,G2052,1)&gt;=1,$B2052&gt;='112'!$N$8,$B2052&lt;='112'!$O$8,OR($L2052='112'!$I$6,$M2052='112'!$I$6))),"x",""))</f>
        <v/>
      </c>
      <c r="T2052" s="39" t="str">
        <f>IF(ISERROR(FIND('112'!$M$9,G2052,1)),"",IF((AND(LEFT(G2052,2)=LEFT('112'!$M$9,2),B2052&lt;'112'!$N$8,$L2052='112'!$I$6)),"x",""))</f>
        <v/>
      </c>
      <c r="U2052" s="39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39" t="str">
        <f>IF(OR(TH!L2052=TH!$W$7,M2052=TH!$W$7),"x","")</f>
        <v/>
      </c>
      <c r="X2052" s="39" t="str">
        <f>IF(AND(B2052&gt;='IN-NX'!$P$3,B2052&lt;='IN-NX'!$Q$3,'IN-NX'!$D$7=D2052,OR(LEFT(L2052,2)="15",AND(LEFT(M2052,2)&lt;&gt;"15",LEFT(M2052,2)&lt;&gt;"33"))),"x","")</f>
        <v/>
      </c>
      <c r="Y2052" s="39" t="str">
        <f>IF(AND(OR(LEFT(TH!L2052,2)="15",LEFT(TH!M2052,2)="15"),'152-CT'!$J$8=TH!F2052),"x","")</f>
        <v/>
      </c>
      <c r="Z2052" s="39" t="str">
        <f>IF(AND(OR(LEFT(TH!L2052,2)="15",LEFT(TH!M2052,2)="15"),TK!$E$7=TH!F2052),"x","")</f>
        <v/>
      </c>
      <c r="AA2052" s="39" t="str">
        <f>IF(AND(B2052&lt;=NKC!$N$8,B2052&gt;=NKC!$M$8),"x","")</f>
        <v/>
      </c>
      <c r="AB2052" s="821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104"/>
        <v/>
      </c>
      <c r="C2053" s="191"/>
      <c r="D2053" s="37"/>
      <c r="E2053" s="731"/>
      <c r="F2053" s="40"/>
      <c r="G2053" s="40"/>
      <c r="H2053" s="7"/>
      <c r="I2053" s="256"/>
      <c r="J2053" s="256"/>
      <c r="K2053" s="56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902" t="str">
        <f>IF(AND('341-CT'!$E$9=H2053,OR(LEFT(L2053,3)=$O$7,LEFT(M2053,3)=$O$7)),"x","")</f>
        <v/>
      </c>
      <c r="P2053" s="39" t="str">
        <f>IF(AND($B2053&gt;='111'!$N$11,$B2053&lt;='111'!$O$11,OR($L2053=$P$7,$M2053=$P$7)),"x","")</f>
        <v/>
      </c>
      <c r="Q2053" s="39" t="str">
        <f>IF(AND($L2053=$P$7,$B2053&lt;'111'!$N$11),"x","")</f>
        <v/>
      </c>
      <c r="R2053" s="39" t="str">
        <f>IF(AND($M2053=$P$7,$B2053&lt;'111'!$N$11),"x","")</f>
        <v/>
      </c>
      <c r="S2053" s="39" t="str">
        <f>IF(ISERROR(FIND('112'!$M$9,G2053,1)),"",IF((AND(FIND('112'!$M$9,G2053,1)&gt;=1,$B2053&gt;='112'!$N$8,$B2053&lt;='112'!$O$8,OR($L2053='112'!$I$6,$M2053='112'!$I$6))),"x",""))</f>
        <v/>
      </c>
      <c r="T2053" s="39" t="str">
        <f>IF(ISERROR(FIND('112'!$M$9,G2053,1)),"",IF((AND(LEFT(G2053,2)=LEFT('112'!$M$9,2),B2053&lt;'112'!$N$8,$L2053='112'!$I$6)),"x",""))</f>
        <v/>
      </c>
      <c r="U2053" s="39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39" t="str">
        <f>IF(OR(TH!L2053=TH!$W$7,M2053=TH!$W$7),"x","")</f>
        <v/>
      </c>
      <c r="X2053" s="39" t="str">
        <f>IF(AND(B2053&gt;='IN-NX'!$P$3,B2053&lt;='IN-NX'!$Q$3,'IN-NX'!$D$7=D2053,OR(LEFT(L2053,2)="15",AND(LEFT(M2053,2)&lt;&gt;"15",LEFT(M2053,2)&lt;&gt;"33"))),"x","")</f>
        <v/>
      </c>
      <c r="Y2053" s="39" t="str">
        <f>IF(AND(OR(LEFT(TH!L2053,2)="15",LEFT(TH!M2053,2)="15"),'152-CT'!$J$8=TH!F2053),"x","")</f>
        <v/>
      </c>
      <c r="Z2053" s="39" t="str">
        <f>IF(AND(OR(LEFT(TH!L2053,2)="15",LEFT(TH!M2053,2)="15"),TK!$E$7=TH!F2053),"x","")</f>
        <v/>
      </c>
      <c r="AA2053" s="39" t="str">
        <f>IF(AND(B2053&lt;=NKC!$N$8,B2053&gt;=NKC!$M$8),"x","")</f>
        <v/>
      </c>
      <c r="AB2053" s="821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104"/>
        <v/>
      </c>
      <c r="C2054" s="191"/>
      <c r="D2054" s="37"/>
      <c r="E2054" s="731"/>
      <c r="F2054" s="40"/>
      <c r="G2054" s="40"/>
      <c r="H2054" s="7"/>
      <c r="I2054" s="256"/>
      <c r="J2054" s="256"/>
      <c r="K2054" s="56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902" t="str">
        <f>IF(AND('341-CT'!$E$9=H2054,OR(LEFT(L2054,3)=$O$7,LEFT(M2054,3)=$O$7)),"x","")</f>
        <v/>
      </c>
      <c r="P2054" s="39" t="str">
        <f>IF(AND($B2054&gt;='111'!$N$11,$B2054&lt;='111'!$O$11,OR($L2054=$P$7,$M2054=$P$7)),"x","")</f>
        <v/>
      </c>
      <c r="Q2054" s="39" t="str">
        <f>IF(AND($L2054=$P$7,$B2054&lt;'111'!$N$11),"x","")</f>
        <v/>
      </c>
      <c r="R2054" s="39" t="str">
        <f>IF(AND($M2054=$P$7,$B2054&lt;'111'!$N$11),"x","")</f>
        <v/>
      </c>
      <c r="S2054" s="39" t="str">
        <f>IF(ISERROR(FIND('112'!$M$9,G2054,1)),"",IF((AND(FIND('112'!$M$9,G2054,1)&gt;=1,$B2054&gt;='112'!$N$8,$B2054&lt;='112'!$O$8,OR($L2054='112'!$I$6,$M2054='112'!$I$6))),"x",""))</f>
        <v/>
      </c>
      <c r="T2054" s="39" t="str">
        <f>IF(ISERROR(FIND('112'!$M$9,G2054,1)),"",IF((AND(LEFT(G2054,2)=LEFT('112'!$M$9,2),B2054&lt;'112'!$N$8,$L2054='112'!$I$6)),"x",""))</f>
        <v/>
      </c>
      <c r="U2054" s="39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39" t="str">
        <f>IF(OR(TH!L2054=TH!$W$7,M2054=TH!$W$7),"x","")</f>
        <v/>
      </c>
      <c r="X2054" s="39" t="str">
        <f>IF(AND(B2054&gt;='IN-NX'!$P$3,B2054&lt;='IN-NX'!$Q$3,'IN-NX'!$D$7=D2054,OR(LEFT(L2054,2)="15",AND(LEFT(M2054,2)&lt;&gt;"15",LEFT(M2054,2)&lt;&gt;"33"))),"x","")</f>
        <v/>
      </c>
      <c r="Y2054" s="39" t="str">
        <f>IF(AND(OR(LEFT(TH!L2054,2)="15",LEFT(TH!M2054,2)="15"),'152-CT'!$J$8=TH!F2054),"x","")</f>
        <v/>
      </c>
      <c r="Z2054" s="39" t="str">
        <f>IF(AND(OR(LEFT(TH!L2054,2)="15",LEFT(TH!M2054,2)="15"),TK!$E$7=TH!F2054),"x","")</f>
        <v/>
      </c>
      <c r="AA2054" s="39" t="str">
        <f>IF(AND(B2054&lt;=NKC!$N$8,B2054&gt;=NKC!$M$8),"x","")</f>
        <v/>
      </c>
      <c r="AB2054" s="821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104"/>
        <v/>
      </c>
      <c r="C2055" s="191"/>
      <c r="D2055" s="37"/>
      <c r="E2055" s="731"/>
      <c r="F2055" s="40"/>
      <c r="G2055" s="40"/>
      <c r="H2055" s="7"/>
      <c r="I2055" s="256"/>
      <c r="J2055" s="256"/>
      <c r="K2055" s="56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902" t="str">
        <f>IF(AND('341-CT'!$E$9=H2055,OR(LEFT(L2055,3)=$O$7,LEFT(M2055,3)=$O$7)),"x","")</f>
        <v/>
      </c>
      <c r="P2055" s="39" t="str">
        <f>IF(AND($B2055&gt;='111'!$N$11,$B2055&lt;='111'!$O$11,OR($L2055=$P$7,$M2055=$P$7)),"x","")</f>
        <v/>
      </c>
      <c r="Q2055" s="39" t="str">
        <f>IF(AND($L2055=$P$7,$B2055&lt;'111'!$N$11),"x","")</f>
        <v/>
      </c>
      <c r="R2055" s="39" t="str">
        <f>IF(AND($M2055=$P$7,$B2055&lt;'111'!$N$11),"x","")</f>
        <v/>
      </c>
      <c r="S2055" s="39" t="str">
        <f>IF(ISERROR(FIND('112'!$M$9,G2055,1)),"",IF((AND(FIND('112'!$M$9,G2055,1)&gt;=1,$B2055&gt;='112'!$N$8,$B2055&lt;='112'!$O$8,OR($L2055='112'!$I$6,$M2055='112'!$I$6))),"x",""))</f>
        <v/>
      </c>
      <c r="T2055" s="39" t="str">
        <f>IF(ISERROR(FIND('112'!$M$9,G2055,1)),"",IF((AND(LEFT(G2055,2)=LEFT('112'!$M$9,2),B2055&lt;'112'!$N$8,$L2055='112'!$I$6)),"x",""))</f>
        <v/>
      </c>
      <c r="U2055" s="39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39" t="str">
        <f>IF(OR(TH!L2055=TH!$W$7,M2055=TH!$W$7),"x","")</f>
        <v/>
      </c>
      <c r="X2055" s="39" t="str">
        <f>IF(AND(B2055&gt;='IN-NX'!$P$3,B2055&lt;='IN-NX'!$Q$3,'IN-NX'!$D$7=D2055,OR(LEFT(L2055,2)="15",AND(LEFT(M2055,2)&lt;&gt;"15",LEFT(M2055,2)&lt;&gt;"33"))),"x","")</f>
        <v/>
      </c>
      <c r="Y2055" s="39" t="str">
        <f>IF(AND(OR(LEFT(TH!L2055,2)="15",LEFT(TH!M2055,2)="15"),'152-CT'!$J$8=TH!F2055),"x","")</f>
        <v/>
      </c>
      <c r="Z2055" s="39" t="str">
        <f>IF(AND(OR(LEFT(TH!L2055,2)="15",LEFT(TH!M2055,2)="15"),TK!$E$7=TH!F2055),"x","")</f>
        <v/>
      </c>
      <c r="AA2055" s="39" t="str">
        <f>IF(AND(B2055&lt;=NKC!$N$8,B2055&gt;=NKC!$M$8),"x","")</f>
        <v/>
      </c>
      <c r="AB2055" s="821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104"/>
        <v/>
      </c>
      <c r="C2056" s="191"/>
      <c r="D2056" s="37"/>
      <c r="E2056" s="731"/>
      <c r="F2056" s="40"/>
      <c r="G2056" s="40"/>
      <c r="H2056" s="7"/>
      <c r="I2056" s="256"/>
      <c r="J2056" s="256"/>
      <c r="K2056" s="56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902" t="str">
        <f>IF(AND('341-CT'!$E$9=H2056,OR(LEFT(L2056,3)=$O$7,LEFT(M2056,3)=$O$7)),"x","")</f>
        <v/>
      </c>
      <c r="P2056" s="39" t="str">
        <f>IF(AND($B2056&gt;='111'!$N$11,$B2056&lt;='111'!$O$11,OR($L2056=$P$7,$M2056=$P$7)),"x","")</f>
        <v/>
      </c>
      <c r="Q2056" s="39" t="str">
        <f>IF(AND($L2056=$P$7,$B2056&lt;'111'!$N$11),"x","")</f>
        <v/>
      </c>
      <c r="R2056" s="39" t="str">
        <f>IF(AND($M2056=$P$7,$B2056&lt;'111'!$N$11),"x","")</f>
        <v/>
      </c>
      <c r="S2056" s="39" t="str">
        <f>IF(ISERROR(FIND('112'!$M$9,G2056,1)),"",IF((AND(FIND('112'!$M$9,G2056,1)&gt;=1,$B2056&gt;='112'!$N$8,$B2056&lt;='112'!$O$8,OR($L2056='112'!$I$6,$M2056='112'!$I$6))),"x",""))</f>
        <v/>
      </c>
      <c r="T2056" s="39" t="str">
        <f>IF(ISERROR(FIND('112'!$M$9,G2056,1)),"",IF((AND(LEFT(G2056,2)=LEFT('112'!$M$9,2),B2056&lt;'112'!$N$8,$L2056='112'!$I$6)),"x",""))</f>
        <v/>
      </c>
      <c r="U2056" s="39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39" t="str">
        <f>IF(OR(TH!L2056=TH!$W$7,M2056=TH!$W$7),"x","")</f>
        <v/>
      </c>
      <c r="X2056" s="39" t="str">
        <f>IF(AND(B2056&gt;='IN-NX'!$P$3,B2056&lt;='IN-NX'!$Q$3,'IN-NX'!$D$7=D2056,OR(LEFT(L2056,2)="15",AND(LEFT(M2056,2)&lt;&gt;"15",LEFT(M2056,2)&lt;&gt;"33"))),"x","")</f>
        <v/>
      </c>
      <c r="Y2056" s="39" t="str">
        <f>IF(AND(OR(LEFT(TH!L2056,2)="15",LEFT(TH!M2056,2)="15"),'152-CT'!$J$8=TH!F2056),"x","")</f>
        <v/>
      </c>
      <c r="Z2056" s="39" t="str">
        <f>IF(AND(OR(LEFT(TH!L2056,2)="15",LEFT(TH!M2056,2)="15"),TK!$E$7=TH!F2056),"x","")</f>
        <v/>
      </c>
      <c r="AA2056" s="39" t="str">
        <f>IF(AND(B2056&lt;=NKC!$N$8,B2056&gt;=NKC!$M$8),"x","")</f>
        <v/>
      </c>
      <c r="AB2056" s="821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104"/>
        <v/>
      </c>
      <c r="C2057" s="191"/>
      <c r="D2057" s="37"/>
      <c r="E2057" s="731"/>
      <c r="F2057" s="40"/>
      <c r="G2057" s="40"/>
      <c r="H2057" s="7"/>
      <c r="I2057" s="256"/>
      <c r="J2057" s="256"/>
      <c r="K2057" s="56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902" t="str">
        <f>IF(AND('341-CT'!$E$9=H2057,OR(LEFT(L2057,3)=$O$7,LEFT(M2057,3)=$O$7)),"x","")</f>
        <v/>
      </c>
      <c r="P2057" s="39" t="str">
        <f>IF(AND($B2057&gt;='111'!$N$11,$B2057&lt;='111'!$O$11,OR($L2057=$P$7,$M2057=$P$7)),"x","")</f>
        <v/>
      </c>
      <c r="Q2057" s="39" t="str">
        <f>IF(AND($L2057=$P$7,$B2057&lt;'111'!$N$11),"x","")</f>
        <v/>
      </c>
      <c r="R2057" s="39" t="str">
        <f>IF(AND($M2057=$P$7,$B2057&lt;'111'!$N$11),"x","")</f>
        <v/>
      </c>
      <c r="S2057" s="39" t="str">
        <f>IF(ISERROR(FIND('112'!$M$9,G2057,1)),"",IF((AND(FIND('112'!$M$9,G2057,1)&gt;=1,$B2057&gt;='112'!$N$8,$B2057&lt;='112'!$O$8,OR($L2057='112'!$I$6,$M2057='112'!$I$6))),"x",""))</f>
        <v/>
      </c>
      <c r="T2057" s="39" t="str">
        <f>IF(ISERROR(FIND('112'!$M$9,G2057,1)),"",IF((AND(LEFT(G2057,2)=LEFT('112'!$M$9,2),B2057&lt;'112'!$N$8,$L2057='112'!$I$6)),"x",""))</f>
        <v/>
      </c>
      <c r="U2057" s="39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39" t="str">
        <f>IF(OR(TH!L2057=TH!$W$7,M2057=TH!$W$7),"x","")</f>
        <v/>
      </c>
      <c r="X2057" s="39" t="str">
        <f>IF(AND(B2057&gt;='IN-NX'!$P$3,B2057&lt;='IN-NX'!$Q$3,'IN-NX'!$D$7=D2057,OR(LEFT(L2057,2)="15",AND(LEFT(M2057,2)&lt;&gt;"15",LEFT(M2057,2)&lt;&gt;"33"))),"x","")</f>
        <v/>
      </c>
      <c r="Y2057" s="39" t="str">
        <f>IF(AND(OR(LEFT(TH!L2057,2)="15",LEFT(TH!M2057,2)="15"),'152-CT'!$J$8=TH!F2057),"x","")</f>
        <v/>
      </c>
      <c r="Z2057" s="39" t="str">
        <f>IF(AND(OR(LEFT(TH!L2057,2)="15",LEFT(TH!M2057,2)="15"),TK!$E$7=TH!F2057),"x","")</f>
        <v/>
      </c>
      <c r="AA2057" s="39" t="str">
        <f>IF(AND(B2057&lt;=NKC!$N$8,B2057&gt;=NKC!$M$8),"x","")</f>
        <v/>
      </c>
      <c r="AB2057" s="821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104"/>
        <v/>
      </c>
      <c r="C2058" s="191"/>
      <c r="D2058" s="37"/>
      <c r="E2058" s="731"/>
      <c r="F2058" s="40"/>
      <c r="G2058" s="40"/>
      <c r="H2058" s="7"/>
      <c r="I2058" s="256"/>
      <c r="J2058" s="256"/>
      <c r="K2058" s="56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902" t="str">
        <f>IF(AND('341-CT'!$E$9=H2058,OR(LEFT(L2058,3)=$O$7,LEFT(M2058,3)=$O$7)),"x","")</f>
        <v/>
      </c>
      <c r="P2058" s="39" t="str">
        <f>IF(AND($B2058&gt;='111'!$N$11,$B2058&lt;='111'!$O$11,OR($L2058=$P$7,$M2058=$P$7)),"x","")</f>
        <v/>
      </c>
      <c r="Q2058" s="39" t="str">
        <f>IF(AND($L2058=$P$7,$B2058&lt;'111'!$N$11),"x","")</f>
        <v/>
      </c>
      <c r="R2058" s="39" t="str">
        <f>IF(AND($M2058=$P$7,$B2058&lt;'111'!$N$11),"x","")</f>
        <v/>
      </c>
      <c r="S2058" s="39" t="str">
        <f>IF(ISERROR(FIND('112'!$M$9,G2058,1)),"",IF((AND(FIND('112'!$M$9,G2058,1)&gt;=1,$B2058&gt;='112'!$N$8,$B2058&lt;='112'!$O$8,OR($L2058='112'!$I$6,$M2058='112'!$I$6))),"x",""))</f>
        <v/>
      </c>
      <c r="T2058" s="39" t="str">
        <f>IF(ISERROR(FIND('112'!$M$9,G2058,1)),"",IF((AND(LEFT(G2058,2)=LEFT('112'!$M$9,2),B2058&lt;'112'!$N$8,$L2058='112'!$I$6)),"x",""))</f>
        <v/>
      </c>
      <c r="U2058" s="39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39" t="str">
        <f>IF(OR(TH!L2058=TH!$W$7,M2058=TH!$W$7),"x","")</f>
        <v/>
      </c>
      <c r="X2058" s="39" t="str">
        <f>IF(AND(B2058&gt;='IN-NX'!$P$3,B2058&lt;='IN-NX'!$Q$3,'IN-NX'!$D$7=D2058,OR(LEFT(L2058,2)="15",AND(LEFT(M2058,2)&lt;&gt;"15",LEFT(M2058,2)&lt;&gt;"33"))),"x","")</f>
        <v/>
      </c>
      <c r="Y2058" s="39" t="str">
        <f>IF(AND(OR(LEFT(TH!L2058,2)="15",LEFT(TH!M2058,2)="15"),'152-CT'!$J$8=TH!F2058),"x","")</f>
        <v/>
      </c>
      <c r="Z2058" s="39" t="str">
        <f>IF(AND(OR(LEFT(TH!L2058,2)="15",LEFT(TH!M2058,2)="15"),TK!$E$7=TH!F2058),"x","")</f>
        <v/>
      </c>
      <c r="AA2058" s="39" t="str">
        <f>IF(AND(B2058&lt;=NKC!$N$8,B2058&gt;=NKC!$M$8),"x","")</f>
        <v/>
      </c>
      <c r="AB2058" s="821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104"/>
        <v/>
      </c>
      <c r="C2059" s="191"/>
      <c r="D2059" s="37"/>
      <c r="E2059" s="731"/>
      <c r="F2059" s="40"/>
      <c r="G2059" s="40"/>
      <c r="H2059" s="7"/>
      <c r="I2059" s="256"/>
      <c r="J2059" s="256"/>
      <c r="K2059" s="56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902" t="str">
        <f>IF(AND('341-CT'!$E$9=H2059,OR(LEFT(L2059,3)=$O$7,LEFT(M2059,3)=$O$7)),"x","")</f>
        <v/>
      </c>
      <c r="P2059" s="39" t="str">
        <f>IF(AND($B2059&gt;='111'!$N$11,$B2059&lt;='111'!$O$11,OR($L2059=$P$7,$M2059=$P$7)),"x","")</f>
        <v/>
      </c>
      <c r="Q2059" s="39" t="str">
        <f>IF(AND($L2059=$P$7,$B2059&lt;'111'!$N$11),"x","")</f>
        <v/>
      </c>
      <c r="R2059" s="39" t="str">
        <f>IF(AND($M2059=$P$7,$B2059&lt;'111'!$N$11),"x","")</f>
        <v/>
      </c>
      <c r="S2059" s="39" t="str">
        <f>IF(ISERROR(FIND('112'!$M$9,G2059,1)),"",IF((AND(FIND('112'!$M$9,G2059,1)&gt;=1,$B2059&gt;='112'!$N$8,$B2059&lt;='112'!$O$8,OR($L2059='112'!$I$6,$M2059='112'!$I$6))),"x",""))</f>
        <v/>
      </c>
      <c r="T2059" s="39" t="str">
        <f>IF(ISERROR(FIND('112'!$M$9,G2059,1)),"",IF((AND(LEFT(G2059,2)=LEFT('112'!$M$9,2),B2059&lt;'112'!$N$8,$L2059='112'!$I$6)),"x",""))</f>
        <v/>
      </c>
      <c r="U2059" s="39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39" t="str">
        <f>IF(OR(TH!L2059=TH!$W$7,M2059=TH!$W$7),"x","")</f>
        <v/>
      </c>
      <c r="X2059" s="39" t="str">
        <f>IF(AND(B2059&gt;='IN-NX'!$P$3,B2059&lt;='IN-NX'!$Q$3,'IN-NX'!$D$7=D2059,OR(LEFT(L2059,2)="15",AND(LEFT(M2059,2)&lt;&gt;"15",LEFT(M2059,2)&lt;&gt;"33"))),"x","")</f>
        <v/>
      </c>
      <c r="Y2059" s="39" t="str">
        <f>IF(AND(OR(LEFT(TH!L2059,2)="15",LEFT(TH!M2059,2)="15"),'152-CT'!$J$8=TH!F2059),"x","")</f>
        <v/>
      </c>
      <c r="Z2059" s="39" t="str">
        <f>IF(AND(OR(LEFT(TH!L2059,2)="15",LEFT(TH!M2059,2)="15"),TK!$E$7=TH!F2059),"x","")</f>
        <v/>
      </c>
      <c r="AA2059" s="39" t="str">
        <f>IF(AND(B2059&lt;=NKC!$N$8,B2059&gt;=NKC!$M$8),"x","")</f>
        <v/>
      </c>
      <c r="AB2059" s="821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104"/>
        <v/>
      </c>
      <c r="C2060" s="191"/>
      <c r="D2060" s="37"/>
      <c r="E2060" s="731"/>
      <c r="F2060" s="40"/>
      <c r="G2060" s="40"/>
      <c r="H2060" s="7"/>
      <c r="I2060" s="256"/>
      <c r="J2060" s="256"/>
      <c r="K2060" s="56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902" t="str">
        <f>IF(AND('341-CT'!$E$9=H2060,OR(LEFT(L2060,3)=$O$7,LEFT(M2060,3)=$O$7)),"x","")</f>
        <v/>
      </c>
      <c r="P2060" s="39" t="str">
        <f>IF(AND($B2060&gt;='111'!$N$11,$B2060&lt;='111'!$O$11,OR($L2060=$P$7,$M2060=$P$7)),"x","")</f>
        <v/>
      </c>
      <c r="Q2060" s="39" t="str">
        <f>IF(AND($L2060=$P$7,$B2060&lt;'111'!$N$11),"x","")</f>
        <v/>
      </c>
      <c r="R2060" s="39" t="str">
        <f>IF(AND($M2060=$P$7,$B2060&lt;'111'!$N$11),"x","")</f>
        <v/>
      </c>
      <c r="S2060" s="39" t="str">
        <f>IF(ISERROR(FIND('112'!$M$9,G2060,1)),"",IF((AND(FIND('112'!$M$9,G2060,1)&gt;=1,$B2060&gt;='112'!$N$8,$B2060&lt;='112'!$O$8,OR($L2060='112'!$I$6,$M2060='112'!$I$6))),"x",""))</f>
        <v/>
      </c>
      <c r="T2060" s="39" t="str">
        <f>IF(ISERROR(FIND('112'!$M$9,G2060,1)),"",IF((AND(LEFT(G2060,2)=LEFT('112'!$M$9,2),B2060&lt;'112'!$N$8,$L2060='112'!$I$6)),"x",""))</f>
        <v/>
      </c>
      <c r="U2060" s="39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39" t="str">
        <f>IF(OR(TH!L2060=TH!$W$7,M2060=TH!$W$7),"x","")</f>
        <v/>
      </c>
      <c r="X2060" s="39" t="str">
        <f>IF(AND(B2060&gt;='IN-NX'!$P$3,B2060&lt;='IN-NX'!$Q$3,'IN-NX'!$D$7=D2060,OR(LEFT(L2060,2)="15",AND(LEFT(M2060,2)&lt;&gt;"15",LEFT(M2060,2)&lt;&gt;"33"))),"x","")</f>
        <v/>
      </c>
      <c r="Y2060" s="39" t="str">
        <f>IF(AND(OR(LEFT(TH!L2060,2)="15",LEFT(TH!M2060,2)="15"),'152-CT'!$J$8=TH!F2060),"x","")</f>
        <v/>
      </c>
      <c r="Z2060" s="39" t="str">
        <f>IF(AND(OR(LEFT(TH!L2060,2)="15",LEFT(TH!M2060,2)="15"),TK!$E$7=TH!F2060),"x","")</f>
        <v/>
      </c>
      <c r="AA2060" s="39" t="str">
        <f>IF(AND(B2060&lt;=NKC!$N$8,B2060&gt;=NKC!$M$8),"x","")</f>
        <v/>
      </c>
      <c r="AB2060" s="821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104"/>
        <v/>
      </c>
      <c r="C2061" s="191"/>
      <c r="D2061" s="37"/>
      <c r="E2061" s="731"/>
      <c r="F2061" s="40"/>
      <c r="G2061" s="40"/>
      <c r="H2061" s="7"/>
      <c r="I2061" s="256"/>
      <c r="J2061" s="256"/>
      <c r="K2061" s="56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902" t="str">
        <f>IF(AND('341-CT'!$E$9=H2061,OR(LEFT(L2061,3)=$O$7,LEFT(M2061,3)=$O$7)),"x","")</f>
        <v/>
      </c>
      <c r="P2061" s="39" t="str">
        <f>IF(AND($B2061&gt;='111'!$N$11,$B2061&lt;='111'!$O$11,OR($L2061=$P$7,$M2061=$P$7)),"x","")</f>
        <v/>
      </c>
      <c r="Q2061" s="39" t="str">
        <f>IF(AND($L2061=$P$7,$B2061&lt;'111'!$N$11),"x","")</f>
        <v/>
      </c>
      <c r="R2061" s="39" t="str">
        <f>IF(AND($M2061=$P$7,$B2061&lt;'111'!$N$11),"x","")</f>
        <v/>
      </c>
      <c r="S2061" s="39" t="str">
        <f>IF(ISERROR(FIND('112'!$M$9,G2061,1)),"",IF((AND(FIND('112'!$M$9,G2061,1)&gt;=1,$B2061&gt;='112'!$N$8,$B2061&lt;='112'!$O$8,OR($L2061='112'!$I$6,$M2061='112'!$I$6))),"x",""))</f>
        <v/>
      </c>
      <c r="T2061" s="39" t="str">
        <f>IF(ISERROR(FIND('112'!$M$9,G2061,1)),"",IF((AND(LEFT(G2061,2)=LEFT('112'!$M$9,2),B2061&lt;'112'!$N$8,$L2061='112'!$I$6)),"x",""))</f>
        <v/>
      </c>
      <c r="U2061" s="39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39" t="str">
        <f>IF(OR(TH!L2061=TH!$W$7,M2061=TH!$W$7),"x","")</f>
        <v/>
      </c>
      <c r="X2061" s="39" t="str">
        <f>IF(AND(B2061&gt;='IN-NX'!$P$3,B2061&lt;='IN-NX'!$Q$3,'IN-NX'!$D$7=D2061,OR(LEFT(L2061,2)="15",AND(LEFT(M2061,2)&lt;&gt;"15",LEFT(M2061,2)&lt;&gt;"33"))),"x","")</f>
        <v/>
      </c>
      <c r="Y2061" s="39" t="str">
        <f>IF(AND(OR(LEFT(TH!L2061,2)="15",LEFT(TH!M2061,2)="15"),'152-CT'!$J$8=TH!F2061),"x","")</f>
        <v/>
      </c>
      <c r="Z2061" s="39" t="str">
        <f>IF(AND(OR(LEFT(TH!L2061,2)="15",LEFT(TH!M2061,2)="15"),TK!$E$7=TH!F2061),"x","")</f>
        <v/>
      </c>
      <c r="AA2061" s="39" t="str">
        <f>IF(AND(B2061&lt;=NKC!$N$8,B2061&gt;=NKC!$M$8),"x","")</f>
        <v/>
      </c>
      <c r="AB2061" s="821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104"/>
        <v/>
      </c>
      <c r="C2062" s="191"/>
      <c r="D2062" s="37"/>
      <c r="E2062" s="731"/>
      <c r="F2062" s="40"/>
      <c r="G2062" s="40"/>
      <c r="H2062" s="7"/>
      <c r="I2062" s="256"/>
      <c r="J2062" s="256"/>
      <c r="K2062" s="56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902" t="str">
        <f>IF(AND('341-CT'!$E$9=H2062,OR(LEFT(L2062,3)=$O$7,LEFT(M2062,3)=$O$7)),"x","")</f>
        <v/>
      </c>
      <c r="P2062" s="39" t="str">
        <f>IF(AND($B2062&gt;='111'!$N$11,$B2062&lt;='111'!$O$11,OR($L2062=$P$7,$M2062=$P$7)),"x","")</f>
        <v/>
      </c>
      <c r="Q2062" s="39" t="str">
        <f>IF(AND($L2062=$P$7,$B2062&lt;'111'!$N$11),"x","")</f>
        <v/>
      </c>
      <c r="R2062" s="39" t="str">
        <f>IF(AND($M2062=$P$7,$B2062&lt;'111'!$N$11),"x","")</f>
        <v/>
      </c>
      <c r="S2062" s="39" t="str">
        <f>IF(ISERROR(FIND('112'!$M$9,G2062,1)),"",IF((AND(FIND('112'!$M$9,G2062,1)&gt;=1,$B2062&gt;='112'!$N$8,$B2062&lt;='112'!$O$8,OR($L2062='112'!$I$6,$M2062='112'!$I$6))),"x",""))</f>
        <v/>
      </c>
      <c r="T2062" s="39" t="str">
        <f>IF(ISERROR(FIND('112'!$M$9,G2062,1)),"",IF((AND(LEFT(G2062,2)=LEFT('112'!$M$9,2),B2062&lt;'112'!$N$8,$L2062='112'!$I$6)),"x",""))</f>
        <v/>
      </c>
      <c r="U2062" s="39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39" t="str">
        <f>IF(OR(TH!L2062=TH!$W$7,M2062=TH!$W$7),"x","")</f>
        <v/>
      </c>
      <c r="X2062" s="39" t="str">
        <f>IF(AND(B2062&gt;='IN-NX'!$P$3,B2062&lt;='IN-NX'!$Q$3,'IN-NX'!$D$7=D2062,OR(LEFT(L2062,2)="15",AND(LEFT(M2062,2)&lt;&gt;"15",LEFT(M2062,2)&lt;&gt;"33"))),"x","")</f>
        <v/>
      </c>
      <c r="Y2062" s="39" t="str">
        <f>IF(AND(OR(LEFT(TH!L2062,2)="15",LEFT(TH!M2062,2)="15"),'152-CT'!$J$8=TH!F2062),"x","")</f>
        <v/>
      </c>
      <c r="Z2062" s="39" t="str">
        <f>IF(AND(OR(LEFT(TH!L2062,2)="15",LEFT(TH!M2062,2)="15"),TK!$E$7=TH!F2062),"x","")</f>
        <v/>
      </c>
      <c r="AA2062" s="39" t="str">
        <f>IF(AND(B2062&lt;=NKC!$N$8,B2062&gt;=NKC!$M$8),"x","")</f>
        <v/>
      </c>
      <c r="AB2062" s="821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104"/>
        <v/>
      </c>
      <c r="C2063" s="191"/>
      <c r="D2063" s="37"/>
      <c r="E2063" s="731"/>
      <c r="F2063" s="40"/>
      <c r="G2063" s="40"/>
      <c r="H2063" s="7"/>
      <c r="I2063" s="256"/>
      <c r="J2063" s="256"/>
      <c r="K2063" s="56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902" t="str">
        <f>IF(AND('341-CT'!$E$9=H2063,OR(LEFT(L2063,3)=$O$7,LEFT(M2063,3)=$O$7)),"x","")</f>
        <v/>
      </c>
      <c r="P2063" s="39" t="str">
        <f>IF(AND($B2063&gt;='111'!$N$11,$B2063&lt;='111'!$O$11,OR($L2063=$P$7,$M2063=$P$7)),"x","")</f>
        <v/>
      </c>
      <c r="Q2063" s="39" t="str">
        <f>IF(AND($L2063=$P$7,$B2063&lt;'111'!$N$11),"x","")</f>
        <v/>
      </c>
      <c r="R2063" s="39" t="str">
        <f>IF(AND($M2063=$P$7,$B2063&lt;'111'!$N$11),"x","")</f>
        <v/>
      </c>
      <c r="S2063" s="39" t="str">
        <f>IF(ISERROR(FIND('112'!$M$9,G2063,1)),"",IF((AND(FIND('112'!$M$9,G2063,1)&gt;=1,$B2063&gt;='112'!$N$8,$B2063&lt;='112'!$O$8,OR($L2063='112'!$I$6,$M2063='112'!$I$6))),"x",""))</f>
        <v/>
      </c>
      <c r="T2063" s="39" t="str">
        <f>IF(ISERROR(FIND('112'!$M$9,G2063,1)),"",IF((AND(LEFT(G2063,2)=LEFT('112'!$M$9,2),B2063&lt;'112'!$N$8,$L2063='112'!$I$6)),"x",""))</f>
        <v/>
      </c>
      <c r="U2063" s="39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39" t="str">
        <f>IF(OR(TH!L2063=TH!$W$7,M2063=TH!$W$7),"x","")</f>
        <v/>
      </c>
      <c r="X2063" s="39" t="str">
        <f>IF(AND(B2063&gt;='IN-NX'!$P$3,B2063&lt;='IN-NX'!$Q$3,'IN-NX'!$D$7=D2063,OR(LEFT(L2063,2)="15",AND(LEFT(M2063,2)&lt;&gt;"15",LEFT(M2063,2)&lt;&gt;"33"))),"x","")</f>
        <v/>
      </c>
      <c r="Y2063" s="39" t="str">
        <f>IF(AND(OR(LEFT(TH!L2063,2)="15",LEFT(TH!M2063,2)="15"),'152-CT'!$J$8=TH!F2063),"x","")</f>
        <v/>
      </c>
      <c r="Z2063" s="39" t="str">
        <f>IF(AND(OR(LEFT(TH!L2063,2)="15",LEFT(TH!M2063,2)="15"),TK!$E$7=TH!F2063),"x","")</f>
        <v/>
      </c>
      <c r="AA2063" s="39" t="str">
        <f>IF(AND(B2063&lt;=NKC!$N$8,B2063&gt;=NKC!$M$8),"x","")</f>
        <v/>
      </c>
      <c r="AB2063" s="821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104"/>
        <v/>
      </c>
      <c r="C2064" s="191"/>
      <c r="D2064" s="37"/>
      <c r="E2064" s="731"/>
      <c r="F2064" s="40"/>
      <c r="G2064" s="40"/>
      <c r="H2064" s="7"/>
      <c r="I2064" s="256"/>
      <c r="J2064" s="256"/>
      <c r="K2064" s="56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902" t="str">
        <f>IF(AND('341-CT'!$E$9=H2064,OR(LEFT(L2064,3)=$O$7,LEFT(M2064,3)=$O$7)),"x","")</f>
        <v/>
      </c>
      <c r="P2064" s="39" t="str">
        <f>IF(AND($B2064&gt;='111'!$N$11,$B2064&lt;='111'!$O$11,OR($L2064=$P$7,$M2064=$P$7)),"x","")</f>
        <v/>
      </c>
      <c r="Q2064" s="39" t="str">
        <f>IF(AND($L2064=$P$7,$B2064&lt;'111'!$N$11),"x","")</f>
        <v/>
      </c>
      <c r="R2064" s="39" t="str">
        <f>IF(AND($M2064=$P$7,$B2064&lt;'111'!$N$11),"x","")</f>
        <v/>
      </c>
      <c r="S2064" s="39" t="str">
        <f>IF(ISERROR(FIND('112'!$M$9,G2064,1)),"",IF((AND(FIND('112'!$M$9,G2064,1)&gt;=1,$B2064&gt;='112'!$N$8,$B2064&lt;='112'!$O$8,OR($L2064='112'!$I$6,$M2064='112'!$I$6))),"x",""))</f>
        <v/>
      </c>
      <c r="T2064" s="39" t="str">
        <f>IF(ISERROR(FIND('112'!$M$9,G2064,1)),"",IF((AND(LEFT(G2064,2)=LEFT('112'!$M$9,2),B2064&lt;'112'!$N$8,$L2064='112'!$I$6)),"x",""))</f>
        <v/>
      </c>
      <c r="U2064" s="39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39" t="str">
        <f>IF(OR(TH!L2064=TH!$W$7,M2064=TH!$W$7),"x","")</f>
        <v/>
      </c>
      <c r="X2064" s="39" t="str">
        <f>IF(AND(B2064&gt;='IN-NX'!$P$3,B2064&lt;='IN-NX'!$Q$3,'IN-NX'!$D$7=D2064,OR(LEFT(L2064,2)="15",AND(LEFT(M2064,2)&lt;&gt;"15",LEFT(M2064,2)&lt;&gt;"33"))),"x","")</f>
        <v/>
      </c>
      <c r="Y2064" s="39" t="str">
        <f>IF(AND(OR(LEFT(TH!L2064,2)="15",LEFT(TH!M2064,2)="15"),'152-CT'!$J$8=TH!F2064),"x","")</f>
        <v/>
      </c>
      <c r="Z2064" s="39" t="str">
        <f>IF(AND(OR(LEFT(TH!L2064,2)="15",LEFT(TH!M2064,2)="15"),TK!$E$7=TH!F2064),"x","")</f>
        <v/>
      </c>
      <c r="AA2064" s="39" t="str">
        <f>IF(AND(B2064&lt;=NKC!$N$8,B2064&gt;=NKC!$M$8),"x","")</f>
        <v/>
      </c>
      <c r="AB2064" s="821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104"/>
        <v/>
      </c>
      <c r="C2065" s="191"/>
      <c r="D2065" s="37"/>
      <c r="E2065" s="731"/>
      <c r="F2065" s="192"/>
      <c r="G2065" s="468"/>
      <c r="H2065" s="193"/>
      <c r="I2065" s="256"/>
      <c r="J2065" s="256"/>
      <c r="K2065" s="56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902" t="str">
        <f>IF(AND('341-CT'!$E$9=H2065,OR(LEFT(L2065,3)=$O$7,LEFT(M2065,3)=$O$7)),"x","")</f>
        <v/>
      </c>
      <c r="P2065" s="39" t="str">
        <f>IF(AND($B2065&gt;='111'!$N$11,$B2065&lt;='111'!$O$11,OR($L2065=$P$7,$M2065=$P$7)),"x","")</f>
        <v/>
      </c>
      <c r="Q2065" s="39" t="str">
        <f>IF(AND($L2065=$P$7,$B2065&lt;'111'!$N$11),"x","")</f>
        <v/>
      </c>
      <c r="R2065" s="39" t="str">
        <f>IF(AND($M2065=$P$7,$B2065&lt;'111'!$N$11),"x","")</f>
        <v/>
      </c>
      <c r="S2065" s="39" t="str">
        <f>IF(ISERROR(FIND('112'!$M$9,G2065,1)),"",IF((AND(FIND('112'!$M$9,G2065,1)&gt;=1,$B2065&gt;='112'!$N$8,$B2065&lt;='112'!$O$8,OR($L2065='112'!$I$6,$M2065='112'!$I$6))),"x",""))</f>
        <v/>
      </c>
      <c r="T2065" s="39" t="str">
        <f>IF(ISERROR(FIND('112'!$M$9,G2065,1)),"",IF((AND(LEFT(G2065,2)=LEFT('112'!$M$9,2),B2065&lt;'112'!$N$8,$L2065='112'!$I$6)),"x",""))</f>
        <v/>
      </c>
      <c r="U2065" s="39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39" t="str">
        <f>IF(OR(TH!L2065=TH!$W$7,M2065=TH!$W$7),"x","")</f>
        <v/>
      </c>
      <c r="X2065" s="39" t="str">
        <f>IF(AND(B2065&gt;='IN-NX'!$P$3,B2065&lt;='IN-NX'!$Q$3,'IN-NX'!$D$7=D2065,OR(LEFT(L2065,2)="15",AND(LEFT(M2065,2)&lt;&gt;"15",LEFT(M2065,2)&lt;&gt;"33"))),"x","")</f>
        <v/>
      </c>
      <c r="Y2065" s="39" t="str">
        <f>IF(AND(OR(LEFT(TH!L2065,2)="15",LEFT(TH!M2065,2)="15"),'152-CT'!$J$8=TH!F2065),"x","")</f>
        <v/>
      </c>
      <c r="Z2065" s="39" t="str">
        <f>IF(AND(OR(LEFT(TH!L2065,2)="15",LEFT(TH!M2065,2)="15"),TK!$E$7=TH!F2065),"x","")</f>
        <v/>
      </c>
      <c r="AA2065" s="39" t="str">
        <f>IF(AND(B2065&lt;=NKC!$N$8,B2065&gt;=NKC!$M$8),"x","")</f>
        <v/>
      </c>
      <c r="AB2065" s="821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104"/>
        <v/>
      </c>
      <c r="C2066" s="191"/>
      <c r="D2066" s="37"/>
      <c r="E2066" s="729"/>
      <c r="F2066" s="783"/>
      <c r="G2066" s="468"/>
      <c r="H2066" s="193"/>
      <c r="I2066" s="256"/>
      <c r="J2066" s="256"/>
      <c r="K2066" s="568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902" t="str">
        <f>IF(AND('341-CT'!$E$9=H2066,OR(LEFT(L2066,3)=$O$7,LEFT(M2066,3)=$O$7)),"x","")</f>
        <v/>
      </c>
      <c r="P2066" s="39" t="str">
        <f>IF(AND($B2066&gt;='111'!$N$11,$B2066&lt;='111'!$O$11,OR($L2066=$P$7,$M2066=$P$7)),"x","")</f>
        <v/>
      </c>
      <c r="Q2066" s="39" t="str">
        <f>IF(AND($L2066=$P$7,$B2066&lt;'111'!$N$11),"x","")</f>
        <v/>
      </c>
      <c r="R2066" s="39" t="str">
        <f>IF(AND($M2066=$P$7,$B2066&lt;'111'!$N$11),"x","")</f>
        <v/>
      </c>
      <c r="S2066" s="39" t="str">
        <f>IF(ISERROR(FIND('112'!$M$9,G2066,1)),"",IF((AND(FIND('112'!$M$9,G2066,1)&gt;=1,$B2066&gt;='112'!$N$8,$B2066&lt;='112'!$O$8,OR($L2066='112'!$I$6,$M2066='112'!$I$6))),"x",""))</f>
        <v/>
      </c>
      <c r="T2066" s="39" t="str">
        <f>IF(ISERROR(FIND('112'!$M$9,G2066,1)),"",IF((AND(LEFT(G2066,2)=LEFT('112'!$M$9,2),B2066&lt;'112'!$N$8,$L2066='112'!$I$6)),"x",""))</f>
        <v/>
      </c>
      <c r="U2066" s="39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39" t="str">
        <f>IF(OR(TH!L2066=TH!$W$7,M2066=TH!$W$7),"x","")</f>
        <v/>
      </c>
      <c r="X2066" s="39" t="str">
        <f>IF(AND(B2066&gt;='IN-NX'!$P$3,B2066&lt;='IN-NX'!$Q$3,'IN-NX'!$D$7=D2066,OR(LEFT(L2066,2)="15",AND(LEFT(M2066,2)&lt;&gt;"15",LEFT(M2066,2)&lt;&gt;"33"))),"x","")</f>
        <v/>
      </c>
      <c r="Y2066" s="39" t="str">
        <f>IF(AND(OR(LEFT(TH!L2066,2)="15",LEFT(TH!M2066,2)="15"),'152-CT'!$J$8=TH!F2066),"x","")</f>
        <v/>
      </c>
      <c r="Z2066" s="39" t="str">
        <f>IF(AND(OR(LEFT(TH!L2066,2)="15",LEFT(TH!M2066,2)="15"),TK!$E$7=TH!F2066),"x","")</f>
        <v/>
      </c>
      <c r="AA2066" s="39" t="str">
        <f>IF(AND(B2066&lt;=NKC!$N$8,B2066&gt;=NKC!$M$8),"x","")</f>
        <v/>
      </c>
      <c r="AB2066" s="821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104"/>
        <v/>
      </c>
      <c r="C2067" s="191"/>
      <c r="D2067" s="37"/>
      <c r="E2067" s="729"/>
      <c r="F2067" s="783"/>
      <c r="G2067" s="468"/>
      <c r="H2067" s="193"/>
      <c r="I2067" s="256"/>
      <c r="J2067" s="256"/>
      <c r="K2067" s="568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902" t="str">
        <f>IF(AND('341-CT'!$E$9=H2067,OR(LEFT(L2067,3)=$O$7,LEFT(M2067,3)=$O$7)),"x","")</f>
        <v/>
      </c>
      <c r="P2067" s="39" t="str">
        <f>IF(AND($B2067&gt;='111'!$N$11,$B2067&lt;='111'!$O$11,OR($L2067=$P$7,$M2067=$P$7)),"x","")</f>
        <v/>
      </c>
      <c r="Q2067" s="39" t="str">
        <f>IF(AND($L2067=$P$7,$B2067&lt;'111'!$N$11),"x","")</f>
        <v/>
      </c>
      <c r="R2067" s="39" t="str">
        <f>IF(AND($M2067=$P$7,$B2067&lt;'111'!$N$11),"x","")</f>
        <v/>
      </c>
      <c r="S2067" s="39" t="str">
        <f>IF(ISERROR(FIND('112'!$M$9,G2067,1)),"",IF((AND(FIND('112'!$M$9,G2067,1)&gt;=1,$B2067&gt;='112'!$N$8,$B2067&lt;='112'!$O$8,OR($L2067='112'!$I$6,$M2067='112'!$I$6))),"x",""))</f>
        <v/>
      </c>
      <c r="T2067" s="39" t="str">
        <f>IF(ISERROR(FIND('112'!$M$9,G2067,1)),"",IF((AND(LEFT(G2067,2)=LEFT('112'!$M$9,2),B2067&lt;'112'!$N$8,$L2067='112'!$I$6)),"x",""))</f>
        <v/>
      </c>
      <c r="U2067" s="39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39" t="str">
        <f>IF(OR(TH!L2067=TH!$W$7,M2067=TH!$W$7),"x","")</f>
        <v/>
      </c>
      <c r="X2067" s="39" t="str">
        <f>IF(AND(B2067&gt;='IN-NX'!$P$3,B2067&lt;='IN-NX'!$Q$3,'IN-NX'!$D$7=D2067,OR(LEFT(L2067,2)="15",AND(LEFT(M2067,2)&lt;&gt;"15",LEFT(M2067,2)&lt;&gt;"33"))),"x","")</f>
        <v/>
      </c>
      <c r="Y2067" s="39" t="str">
        <f>IF(AND(OR(LEFT(TH!L2067,2)="15",LEFT(TH!M2067,2)="15"),'152-CT'!$J$8=TH!F2067),"x","")</f>
        <v/>
      </c>
      <c r="Z2067" s="39" t="str">
        <f>IF(AND(OR(LEFT(TH!L2067,2)="15",LEFT(TH!M2067,2)="15"),TK!$E$7=TH!F2067),"x","")</f>
        <v/>
      </c>
      <c r="AA2067" s="39" t="str">
        <f>IF(AND(B2067&lt;=NKC!$N$8,B2067&gt;=NKC!$M$8),"x","")</f>
        <v/>
      </c>
      <c r="AB2067" s="821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104"/>
        <v/>
      </c>
      <c r="C2068" s="191"/>
      <c r="D2068" s="37"/>
      <c r="E2068" s="729"/>
      <c r="F2068" s="192"/>
      <c r="G2068" s="468"/>
      <c r="H2068" s="193"/>
      <c r="I2068" s="256"/>
      <c r="J2068" s="256"/>
      <c r="K2068" s="568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902" t="str">
        <f>IF(AND('341-CT'!$E$9=H2068,OR(LEFT(L2068,3)=$O$7,LEFT(M2068,3)=$O$7)),"x","")</f>
        <v/>
      </c>
      <c r="P2068" s="39" t="str">
        <f>IF(AND($B2068&gt;='111'!$N$11,$B2068&lt;='111'!$O$11,OR($L2068=$P$7,$M2068=$P$7)),"x","")</f>
        <v/>
      </c>
      <c r="Q2068" s="39" t="str">
        <f>IF(AND($L2068=$P$7,$B2068&lt;'111'!$N$11),"x","")</f>
        <v/>
      </c>
      <c r="R2068" s="39" t="str">
        <f>IF(AND($M2068=$P$7,$B2068&lt;'111'!$N$11),"x","")</f>
        <v/>
      </c>
      <c r="S2068" s="39" t="str">
        <f>IF(ISERROR(FIND('112'!$M$9,G2068,1)),"",IF((AND(FIND('112'!$M$9,G2068,1)&gt;=1,$B2068&gt;='112'!$N$8,$B2068&lt;='112'!$O$8,OR($L2068='112'!$I$6,$M2068='112'!$I$6))),"x",""))</f>
        <v/>
      </c>
      <c r="T2068" s="39" t="str">
        <f>IF(ISERROR(FIND('112'!$M$9,G2068,1)),"",IF((AND(LEFT(G2068,2)=LEFT('112'!$M$9,2),B2068&lt;'112'!$N$8,$L2068='112'!$I$6)),"x",""))</f>
        <v/>
      </c>
      <c r="U2068" s="39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39" t="str">
        <f>IF(OR(TH!L2068=TH!$W$7,M2068=TH!$W$7),"x","")</f>
        <v/>
      </c>
      <c r="X2068" s="39" t="str">
        <f>IF(AND(B2068&gt;='IN-NX'!$P$3,B2068&lt;='IN-NX'!$Q$3,'IN-NX'!$D$7=D2068,OR(LEFT(L2068,2)="15",AND(LEFT(M2068,2)&lt;&gt;"15",LEFT(M2068,2)&lt;&gt;"33"))),"x","")</f>
        <v/>
      </c>
      <c r="Y2068" s="39" t="str">
        <f>IF(AND(OR(LEFT(TH!L2068,2)="15",LEFT(TH!M2068,2)="15"),'152-CT'!$J$8=TH!F2068),"x","")</f>
        <v/>
      </c>
      <c r="Z2068" s="39" t="str">
        <f>IF(AND(OR(LEFT(TH!L2068,2)="15",LEFT(TH!M2068,2)="15"),TK!$E$7=TH!F2068),"x","")</f>
        <v/>
      </c>
      <c r="AA2068" s="39" t="str">
        <f>IF(AND(B2068&lt;=NKC!$N$8,B2068&gt;=NKC!$M$8),"x","")</f>
        <v/>
      </c>
      <c r="AB2068" s="821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104"/>
        <v/>
      </c>
      <c r="C2069" s="191"/>
      <c r="D2069" s="37"/>
      <c r="E2069" s="729"/>
      <c r="F2069" s="192"/>
      <c r="G2069" s="468"/>
      <c r="H2069" s="193"/>
      <c r="I2069" s="256"/>
      <c r="J2069" s="256"/>
      <c r="K2069" s="568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902" t="str">
        <f>IF(AND('341-CT'!$E$9=H2069,OR(LEFT(L2069,3)=$O$7,LEFT(M2069,3)=$O$7)),"x","")</f>
        <v/>
      </c>
      <c r="P2069" s="39" t="str">
        <f>IF(AND($B2069&gt;='111'!$N$11,$B2069&lt;='111'!$O$11,OR($L2069=$P$7,$M2069=$P$7)),"x","")</f>
        <v/>
      </c>
      <c r="Q2069" s="39" t="str">
        <f>IF(AND($L2069=$P$7,$B2069&lt;'111'!$N$11),"x","")</f>
        <v/>
      </c>
      <c r="R2069" s="39" t="str">
        <f>IF(AND($M2069=$P$7,$B2069&lt;'111'!$N$11),"x","")</f>
        <v/>
      </c>
      <c r="S2069" s="39" t="str">
        <f>IF(ISERROR(FIND('112'!$M$9,G2069,1)),"",IF((AND(FIND('112'!$M$9,G2069,1)&gt;=1,$B2069&gt;='112'!$N$8,$B2069&lt;='112'!$O$8,OR($L2069='112'!$I$6,$M2069='112'!$I$6))),"x",""))</f>
        <v/>
      </c>
      <c r="T2069" s="39" t="str">
        <f>IF(ISERROR(FIND('112'!$M$9,G2069,1)),"",IF((AND(LEFT(G2069,2)=LEFT('112'!$M$9,2),B2069&lt;'112'!$N$8,$L2069='112'!$I$6)),"x",""))</f>
        <v/>
      </c>
      <c r="U2069" s="39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39" t="str">
        <f>IF(OR(TH!L2069=TH!$W$7,M2069=TH!$W$7),"x","")</f>
        <v/>
      </c>
      <c r="X2069" s="39" t="str">
        <f>IF(AND(B2069&gt;='IN-NX'!$P$3,B2069&lt;='IN-NX'!$Q$3,'IN-NX'!$D$7=D2069,OR(LEFT(L2069,2)="15",AND(LEFT(M2069,2)&lt;&gt;"15",LEFT(M2069,2)&lt;&gt;"33"))),"x","")</f>
        <v/>
      </c>
      <c r="Y2069" s="39" t="str">
        <f>IF(AND(OR(LEFT(TH!L2069,2)="15",LEFT(TH!M2069,2)="15"),'152-CT'!$J$8=TH!F2069),"x","")</f>
        <v/>
      </c>
      <c r="Z2069" s="39" t="str">
        <f>IF(AND(OR(LEFT(TH!L2069,2)="15",LEFT(TH!M2069,2)="15"),TK!$E$7=TH!F2069),"x","")</f>
        <v/>
      </c>
      <c r="AA2069" s="39" t="str">
        <f>IF(AND(B2069&lt;=NKC!$N$8,B2069&gt;=NKC!$M$8),"x","")</f>
        <v/>
      </c>
      <c r="AB2069" s="821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104"/>
        <v/>
      </c>
      <c r="C2070" s="191"/>
      <c r="D2070" s="37"/>
      <c r="E2070" s="731"/>
      <c r="F2070" s="192"/>
      <c r="G2070" s="468"/>
      <c r="H2070" s="193"/>
      <c r="I2070" s="256"/>
      <c r="J2070" s="256"/>
      <c r="K2070" s="568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902" t="str">
        <f>IF(AND('341-CT'!$E$9=H2070,OR(LEFT(L2070,3)=$O$7,LEFT(M2070,3)=$O$7)),"x","")</f>
        <v/>
      </c>
      <c r="P2070" s="39" t="str">
        <f>IF(AND($B2070&gt;='111'!$N$11,$B2070&lt;='111'!$O$11,OR($L2070=$P$7,$M2070=$P$7)),"x","")</f>
        <v/>
      </c>
      <c r="Q2070" s="39" t="str">
        <f>IF(AND($L2070=$P$7,$B2070&lt;'111'!$N$11),"x","")</f>
        <v/>
      </c>
      <c r="R2070" s="39" t="str">
        <f>IF(AND($M2070=$P$7,$B2070&lt;'111'!$N$11),"x","")</f>
        <v/>
      </c>
      <c r="S2070" s="39" t="str">
        <f>IF(ISERROR(FIND('112'!$M$9,G2070,1)),"",IF((AND(FIND('112'!$M$9,G2070,1)&gt;=1,$B2070&gt;='112'!$N$8,$B2070&lt;='112'!$O$8,OR($L2070='112'!$I$6,$M2070='112'!$I$6))),"x",""))</f>
        <v/>
      </c>
      <c r="T2070" s="39" t="str">
        <f>IF(ISERROR(FIND('112'!$M$9,G2070,1)),"",IF((AND(LEFT(G2070,2)=LEFT('112'!$M$9,2),B2070&lt;'112'!$N$8,$L2070='112'!$I$6)),"x",""))</f>
        <v/>
      </c>
      <c r="U2070" s="39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39" t="str">
        <f>IF(OR(TH!L2070=TH!$W$7,M2070=TH!$W$7),"x","")</f>
        <v/>
      </c>
      <c r="X2070" s="39" t="str">
        <f>IF(AND(B2070&gt;='IN-NX'!$P$3,B2070&lt;='IN-NX'!$Q$3,'IN-NX'!$D$7=D2070,OR(LEFT(L2070,2)="15",AND(LEFT(M2070,2)&lt;&gt;"15",LEFT(M2070,2)&lt;&gt;"33"))),"x","")</f>
        <v/>
      </c>
      <c r="Y2070" s="39" t="str">
        <f>IF(AND(OR(LEFT(TH!L2070,2)="15",LEFT(TH!M2070,2)="15"),'152-CT'!$J$8=TH!F2070),"x","")</f>
        <v/>
      </c>
      <c r="Z2070" s="39" t="str">
        <f>IF(AND(OR(LEFT(TH!L2070,2)="15",LEFT(TH!M2070,2)="15"),TK!$E$7=TH!F2070),"x","")</f>
        <v/>
      </c>
      <c r="AA2070" s="39" t="str">
        <f>IF(AND(B2070&lt;=NKC!$N$8,B2070&gt;=NKC!$M$8),"x","")</f>
        <v/>
      </c>
      <c r="AB2070" s="821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104"/>
        <v/>
      </c>
      <c r="C2071" s="191"/>
      <c r="D2071" s="37"/>
      <c r="E2071" s="731"/>
      <c r="F2071" s="192"/>
      <c r="G2071" s="468"/>
      <c r="H2071" s="193"/>
      <c r="I2071" s="256"/>
      <c r="J2071" s="256"/>
      <c r="K2071" s="568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902" t="str">
        <f>IF(AND('341-CT'!$E$9=H2071,OR(LEFT(L2071,3)=$O$7,LEFT(M2071,3)=$O$7)),"x","")</f>
        <v/>
      </c>
      <c r="P2071" s="39" t="str">
        <f>IF(AND($B2071&gt;='111'!$N$11,$B2071&lt;='111'!$O$11,OR($L2071=$P$7,$M2071=$P$7)),"x","")</f>
        <v/>
      </c>
      <c r="Q2071" s="39" t="str">
        <f>IF(AND($L2071=$P$7,$B2071&lt;'111'!$N$11),"x","")</f>
        <v/>
      </c>
      <c r="R2071" s="39" t="str">
        <f>IF(AND($M2071=$P$7,$B2071&lt;'111'!$N$11),"x","")</f>
        <v/>
      </c>
      <c r="S2071" s="39" t="str">
        <f>IF(ISERROR(FIND('112'!$M$9,G2071,1)),"",IF((AND(FIND('112'!$M$9,G2071,1)&gt;=1,$B2071&gt;='112'!$N$8,$B2071&lt;='112'!$O$8,OR($L2071='112'!$I$6,$M2071='112'!$I$6))),"x",""))</f>
        <v/>
      </c>
      <c r="T2071" s="39" t="str">
        <f>IF(ISERROR(FIND('112'!$M$9,G2071,1)),"",IF((AND(LEFT(G2071,2)=LEFT('112'!$M$9,2),B2071&lt;'112'!$N$8,$L2071='112'!$I$6)),"x",""))</f>
        <v/>
      </c>
      <c r="U2071" s="39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39" t="str">
        <f>IF(OR(TH!L2071=TH!$W$7,M2071=TH!$W$7),"x","")</f>
        <v/>
      </c>
      <c r="X2071" s="39" t="str">
        <f>IF(AND(B2071&gt;='IN-NX'!$P$3,B2071&lt;='IN-NX'!$Q$3,'IN-NX'!$D$7=D2071,OR(LEFT(L2071,2)="15",AND(LEFT(M2071,2)&lt;&gt;"15",LEFT(M2071,2)&lt;&gt;"33"))),"x","")</f>
        <v/>
      </c>
      <c r="Y2071" s="39" t="str">
        <f>IF(AND(OR(LEFT(TH!L2071,2)="15",LEFT(TH!M2071,2)="15"),'152-CT'!$J$8=TH!F2071),"x","")</f>
        <v/>
      </c>
      <c r="Z2071" s="39" t="str">
        <f>IF(AND(OR(LEFT(TH!L2071,2)="15",LEFT(TH!M2071,2)="15"),TK!$E$7=TH!F2071),"x","")</f>
        <v/>
      </c>
      <c r="AA2071" s="39" t="str">
        <f>IF(AND(B2071&lt;=NKC!$N$8,B2071&gt;=NKC!$M$8),"x","")</f>
        <v/>
      </c>
      <c r="AB2071" s="821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104"/>
        <v/>
      </c>
      <c r="C2072" s="191"/>
      <c r="D2072" s="37"/>
      <c r="E2072" s="731"/>
      <c r="F2072" s="192"/>
      <c r="G2072" s="468"/>
      <c r="H2072" s="193"/>
      <c r="I2072" s="256"/>
      <c r="J2072" s="256"/>
      <c r="K2072" s="568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902" t="str">
        <f>IF(AND('341-CT'!$E$9=H2072,OR(LEFT(L2072,3)=$O$7,LEFT(M2072,3)=$O$7)),"x","")</f>
        <v/>
      </c>
      <c r="P2072" s="39" t="str">
        <f>IF(AND($B2072&gt;='111'!$N$11,$B2072&lt;='111'!$O$11,OR($L2072=$P$7,$M2072=$P$7)),"x","")</f>
        <v/>
      </c>
      <c r="Q2072" s="39" t="str">
        <f>IF(AND($L2072=$P$7,$B2072&lt;'111'!$N$11),"x","")</f>
        <v/>
      </c>
      <c r="R2072" s="39" t="str">
        <f>IF(AND($M2072=$P$7,$B2072&lt;'111'!$N$11),"x","")</f>
        <v/>
      </c>
      <c r="S2072" s="39" t="str">
        <f>IF(ISERROR(FIND('112'!$M$9,G2072,1)),"",IF((AND(FIND('112'!$M$9,G2072,1)&gt;=1,$B2072&gt;='112'!$N$8,$B2072&lt;='112'!$O$8,OR($L2072='112'!$I$6,$M2072='112'!$I$6))),"x",""))</f>
        <v/>
      </c>
      <c r="T2072" s="39" t="str">
        <f>IF(ISERROR(FIND('112'!$M$9,G2072,1)),"",IF((AND(LEFT(G2072,2)=LEFT('112'!$M$9,2),B2072&lt;'112'!$N$8,$L2072='112'!$I$6)),"x",""))</f>
        <v/>
      </c>
      <c r="U2072" s="39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39" t="str">
        <f>IF(OR(TH!L2072=TH!$W$7,M2072=TH!$W$7),"x","")</f>
        <v/>
      </c>
      <c r="X2072" s="39" t="str">
        <f>IF(AND(B2072&gt;='IN-NX'!$P$3,B2072&lt;='IN-NX'!$Q$3,'IN-NX'!$D$7=D2072,OR(LEFT(L2072,2)="15",AND(LEFT(M2072,2)&lt;&gt;"15",LEFT(M2072,2)&lt;&gt;"33"))),"x","")</f>
        <v/>
      </c>
      <c r="Y2072" s="39" t="str">
        <f>IF(AND(OR(LEFT(TH!L2072,2)="15",LEFT(TH!M2072,2)="15"),'152-CT'!$J$8=TH!F2072),"x","")</f>
        <v/>
      </c>
      <c r="Z2072" s="39" t="str">
        <f>IF(AND(OR(LEFT(TH!L2072,2)="15",LEFT(TH!M2072,2)="15"),TK!$E$7=TH!F2072),"x","")</f>
        <v/>
      </c>
      <c r="AA2072" s="39" t="str">
        <f>IF(AND(B2072&lt;=NKC!$N$8,B2072&gt;=NKC!$M$8),"x","")</f>
        <v/>
      </c>
      <c r="AB2072" s="821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si="104"/>
        <v/>
      </c>
      <c r="C2073" s="191"/>
      <c r="D2073" s="37"/>
      <c r="E2073" s="731"/>
      <c r="F2073" s="192"/>
      <c r="G2073" s="468"/>
      <c r="H2073" s="193"/>
      <c r="I2073" s="256"/>
      <c r="J2073" s="256"/>
      <c r="K2073" s="568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902" t="str">
        <f>IF(AND('341-CT'!$E$9=H2073,OR(LEFT(L2073,3)=$O$7,LEFT(M2073,3)=$O$7)),"x","")</f>
        <v/>
      </c>
      <c r="P2073" s="39" t="str">
        <f>IF(AND($B2073&gt;='111'!$N$11,$B2073&lt;='111'!$O$11,OR($L2073=$P$7,$M2073=$P$7)),"x","")</f>
        <v/>
      </c>
      <c r="Q2073" s="39" t="str">
        <f>IF(AND($L2073=$P$7,$B2073&lt;'111'!$N$11),"x","")</f>
        <v/>
      </c>
      <c r="R2073" s="39" t="str">
        <f>IF(AND($M2073=$P$7,$B2073&lt;'111'!$N$11),"x","")</f>
        <v/>
      </c>
      <c r="S2073" s="39" t="str">
        <f>IF(ISERROR(FIND('112'!$M$9,G2073,1)),"",IF((AND(FIND('112'!$M$9,G2073,1)&gt;=1,$B2073&gt;='112'!$N$8,$B2073&lt;='112'!$O$8,OR($L2073='112'!$I$6,$M2073='112'!$I$6))),"x",""))</f>
        <v/>
      </c>
      <c r="T2073" s="39" t="str">
        <f>IF(ISERROR(FIND('112'!$M$9,G2073,1)),"",IF((AND(LEFT(G2073,2)=LEFT('112'!$M$9,2),B2073&lt;'112'!$N$8,$L2073='112'!$I$6)),"x",""))</f>
        <v/>
      </c>
      <c r="U2073" s="39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39" t="str">
        <f>IF(OR(TH!L2073=TH!$W$7,M2073=TH!$W$7),"x","")</f>
        <v/>
      </c>
      <c r="X2073" s="39" t="str">
        <f>IF(AND(B2073&gt;='IN-NX'!$P$3,B2073&lt;='IN-NX'!$Q$3,'IN-NX'!$D$7=D2073,OR(LEFT(L2073,2)="15",AND(LEFT(M2073,2)&lt;&gt;"15",LEFT(M2073,2)&lt;&gt;"33"))),"x","")</f>
        <v/>
      </c>
      <c r="Y2073" s="39" t="str">
        <f>IF(AND(OR(LEFT(TH!L2073,2)="15",LEFT(TH!M2073,2)="15"),'152-CT'!$J$8=TH!F2073),"x","")</f>
        <v/>
      </c>
      <c r="Z2073" s="39" t="str">
        <f>IF(AND(OR(LEFT(TH!L2073,2)="15",LEFT(TH!M2073,2)="15"),TK!$E$7=TH!F2073),"x","")</f>
        <v/>
      </c>
      <c r="AA2073" s="39" t="str">
        <f>IF(AND(B2073&lt;=NKC!$N$8,B2073&gt;=NKC!$M$8),"x","")</f>
        <v/>
      </c>
      <c r="AB2073" s="821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104"/>
        <v/>
      </c>
      <c r="C2074" s="191"/>
      <c r="D2074" s="37"/>
      <c r="E2074" s="731"/>
      <c r="F2074" s="783"/>
      <c r="G2074" s="468"/>
      <c r="H2074" s="193"/>
      <c r="I2074" s="256"/>
      <c r="J2074" s="256"/>
      <c r="K2074" s="568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902" t="str">
        <f>IF(AND('341-CT'!$E$9=H2074,OR(LEFT(L2074,3)=$O$7,LEFT(M2074,3)=$O$7)),"x","")</f>
        <v/>
      </c>
      <c r="P2074" s="39" t="str">
        <f>IF(AND($B2074&gt;='111'!$N$11,$B2074&lt;='111'!$O$11,OR($L2074=$P$7,$M2074=$P$7)),"x","")</f>
        <v/>
      </c>
      <c r="Q2074" s="39" t="str">
        <f>IF(AND($L2074=$P$7,$B2074&lt;'111'!$N$11),"x","")</f>
        <v/>
      </c>
      <c r="R2074" s="39" t="str">
        <f>IF(AND($M2074=$P$7,$B2074&lt;'111'!$N$11),"x","")</f>
        <v/>
      </c>
      <c r="S2074" s="39" t="str">
        <f>IF(ISERROR(FIND('112'!$M$9,G2074,1)),"",IF((AND(FIND('112'!$M$9,G2074,1)&gt;=1,$B2074&gt;='112'!$N$8,$B2074&lt;='112'!$O$8,OR($L2074='112'!$I$6,$M2074='112'!$I$6))),"x",""))</f>
        <v/>
      </c>
      <c r="T2074" s="39" t="str">
        <f>IF(ISERROR(FIND('112'!$M$9,G2074,1)),"",IF((AND(LEFT(G2074,2)=LEFT('112'!$M$9,2),B2074&lt;'112'!$N$8,$L2074='112'!$I$6)),"x",""))</f>
        <v/>
      </c>
      <c r="U2074" s="39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39" t="str">
        <f>IF(OR(TH!L2074=TH!$W$7,M2074=TH!$W$7),"x","")</f>
        <v/>
      </c>
      <c r="X2074" s="39" t="str">
        <f>IF(AND(B2074&gt;='IN-NX'!$P$3,B2074&lt;='IN-NX'!$Q$3,'IN-NX'!$D$7=D2074,OR(LEFT(L2074,2)="15",AND(LEFT(M2074,2)&lt;&gt;"15",LEFT(M2074,2)&lt;&gt;"33"))),"x","")</f>
        <v/>
      </c>
      <c r="Y2074" s="39" t="str">
        <f>IF(AND(OR(LEFT(TH!L2074,2)="15",LEFT(TH!M2074,2)="15"),'152-CT'!$J$8=TH!F2074),"x","")</f>
        <v/>
      </c>
      <c r="Z2074" s="39" t="str">
        <f>IF(AND(OR(LEFT(TH!L2074,2)="15",LEFT(TH!M2074,2)="15"),TK!$E$7=TH!F2074),"x","")</f>
        <v/>
      </c>
      <c r="AA2074" s="39" t="str">
        <f>IF(AND(B2074&lt;=NKC!$N$8,B2074&gt;=NKC!$M$8),"x","")</f>
        <v/>
      </c>
      <c r="AB2074" s="821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104"/>
        <v/>
      </c>
      <c r="C2075" s="191"/>
      <c r="D2075" s="37"/>
      <c r="E2075" s="731"/>
      <c r="F2075" s="192"/>
      <c r="G2075" s="468"/>
      <c r="H2075" s="193"/>
      <c r="I2075" s="256"/>
      <c r="J2075" s="256"/>
      <c r="K2075" s="568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902" t="str">
        <f>IF(AND('341-CT'!$E$9=H2075,OR(LEFT(L2075,3)=$O$7,LEFT(M2075,3)=$O$7)),"x","")</f>
        <v/>
      </c>
      <c r="P2075" s="39" t="str">
        <f>IF(AND($B2075&gt;='111'!$N$11,$B2075&lt;='111'!$O$11,OR($L2075=$P$7,$M2075=$P$7)),"x","")</f>
        <v/>
      </c>
      <c r="Q2075" s="39" t="str">
        <f>IF(AND($L2075=$P$7,$B2075&lt;'111'!$N$11),"x","")</f>
        <v/>
      </c>
      <c r="R2075" s="39" t="str">
        <f>IF(AND($M2075=$P$7,$B2075&lt;'111'!$N$11),"x","")</f>
        <v/>
      </c>
      <c r="S2075" s="39" t="str">
        <f>IF(ISERROR(FIND('112'!$M$9,G2075,1)),"",IF((AND(FIND('112'!$M$9,G2075,1)&gt;=1,$B2075&gt;='112'!$N$8,$B2075&lt;='112'!$O$8,OR($L2075='112'!$I$6,$M2075='112'!$I$6))),"x",""))</f>
        <v/>
      </c>
      <c r="T2075" s="39" t="str">
        <f>IF(ISERROR(FIND('112'!$M$9,G2075,1)),"",IF((AND(LEFT(G2075,2)=LEFT('112'!$M$9,2),B2075&lt;'112'!$N$8,$L2075='112'!$I$6)),"x",""))</f>
        <v/>
      </c>
      <c r="U2075" s="39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39" t="str">
        <f>IF(OR(TH!L2075=TH!$W$7,M2075=TH!$W$7),"x","")</f>
        <v/>
      </c>
      <c r="X2075" s="39" t="str">
        <f>IF(AND(B2075&gt;='IN-NX'!$P$3,B2075&lt;='IN-NX'!$Q$3,'IN-NX'!$D$7=D2075,OR(LEFT(L2075,2)="15",AND(LEFT(M2075,2)&lt;&gt;"15",LEFT(M2075,2)&lt;&gt;"33"))),"x","")</f>
        <v/>
      </c>
      <c r="Y2075" s="39" t="str">
        <f>IF(AND(OR(LEFT(TH!L2075,2)="15",LEFT(TH!M2075,2)="15"),'152-CT'!$J$8=TH!F2075),"x","")</f>
        <v/>
      </c>
      <c r="Z2075" s="39" t="str">
        <f>IF(AND(OR(LEFT(TH!L2075,2)="15",LEFT(TH!M2075,2)="15"),TK!$E$7=TH!F2075),"x","")</f>
        <v/>
      </c>
      <c r="AA2075" s="39" t="str">
        <f>IF(AND(B2075&lt;=NKC!$N$8,B2075&gt;=NKC!$M$8),"x","")</f>
        <v/>
      </c>
      <c r="AB2075" s="821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104"/>
        <v/>
      </c>
      <c r="C2076" s="191"/>
      <c r="D2076" s="37"/>
      <c r="E2076" s="731"/>
      <c r="F2076" s="192"/>
      <c r="G2076" s="468"/>
      <c r="H2076" s="193"/>
      <c r="I2076" s="256"/>
      <c r="J2076" s="256"/>
      <c r="K2076" s="568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902" t="str">
        <f>IF(AND('341-CT'!$E$9=H2076,OR(LEFT(L2076,3)=$O$7,LEFT(M2076,3)=$O$7)),"x","")</f>
        <v/>
      </c>
      <c r="P2076" s="39" t="str">
        <f>IF(AND($B2076&gt;='111'!$N$11,$B2076&lt;='111'!$O$11,OR($L2076=$P$7,$M2076=$P$7)),"x","")</f>
        <v/>
      </c>
      <c r="Q2076" s="39" t="str">
        <f>IF(AND($L2076=$P$7,$B2076&lt;'111'!$N$11),"x","")</f>
        <v/>
      </c>
      <c r="R2076" s="39" t="str">
        <f>IF(AND($M2076=$P$7,$B2076&lt;'111'!$N$11),"x","")</f>
        <v/>
      </c>
      <c r="S2076" s="39" t="str">
        <f>IF(ISERROR(FIND('112'!$M$9,G2076,1)),"",IF((AND(FIND('112'!$M$9,G2076,1)&gt;=1,$B2076&gt;='112'!$N$8,$B2076&lt;='112'!$O$8,OR($L2076='112'!$I$6,$M2076='112'!$I$6))),"x",""))</f>
        <v/>
      </c>
      <c r="T2076" s="39" t="str">
        <f>IF(ISERROR(FIND('112'!$M$9,G2076,1)),"",IF((AND(LEFT(G2076,2)=LEFT('112'!$M$9,2),B2076&lt;'112'!$N$8,$L2076='112'!$I$6)),"x",""))</f>
        <v/>
      </c>
      <c r="U2076" s="39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39" t="str">
        <f>IF(OR(TH!L2076=TH!$W$7,M2076=TH!$W$7),"x","")</f>
        <v/>
      </c>
      <c r="X2076" s="39" t="str">
        <f>IF(AND(B2076&gt;='IN-NX'!$P$3,B2076&lt;='IN-NX'!$Q$3,'IN-NX'!$D$7=D2076,OR(LEFT(L2076,2)="15",AND(LEFT(M2076,2)&lt;&gt;"15",LEFT(M2076,2)&lt;&gt;"33"))),"x","")</f>
        <v/>
      </c>
      <c r="Y2076" s="39" t="str">
        <f>IF(AND(OR(LEFT(TH!L2076,2)="15",LEFT(TH!M2076,2)="15"),'152-CT'!$J$8=TH!F2076),"x","")</f>
        <v/>
      </c>
      <c r="Z2076" s="39" t="str">
        <f>IF(AND(OR(LEFT(TH!L2076,2)="15",LEFT(TH!M2076,2)="15"),TK!$E$7=TH!F2076),"x","")</f>
        <v/>
      </c>
      <c r="AA2076" s="39" t="str">
        <f>IF(AND(B2076&lt;=NKC!$N$8,B2076&gt;=NKC!$M$8),"x","")</f>
        <v/>
      </c>
      <c r="AB2076" s="821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104"/>
        <v/>
      </c>
      <c r="C2077" s="191"/>
      <c r="D2077" s="37"/>
      <c r="E2077" s="731"/>
      <c r="F2077" s="192"/>
      <c r="G2077" s="468"/>
      <c r="H2077" s="193"/>
      <c r="I2077" s="256"/>
      <c r="J2077" s="256"/>
      <c r="K2077" s="568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902" t="str">
        <f>IF(AND('341-CT'!$E$9=H2077,OR(LEFT(L2077,3)=$O$7,LEFT(M2077,3)=$O$7)),"x","")</f>
        <v/>
      </c>
      <c r="P2077" s="39" t="str">
        <f>IF(AND($B2077&gt;='111'!$N$11,$B2077&lt;='111'!$O$11,OR($L2077=$P$7,$M2077=$P$7)),"x","")</f>
        <v/>
      </c>
      <c r="Q2077" s="39" t="str">
        <f>IF(AND($L2077=$P$7,$B2077&lt;'111'!$N$11),"x","")</f>
        <v/>
      </c>
      <c r="R2077" s="39" t="str">
        <f>IF(AND($M2077=$P$7,$B2077&lt;'111'!$N$11),"x","")</f>
        <v/>
      </c>
      <c r="S2077" s="39" t="str">
        <f>IF(ISERROR(FIND('112'!$M$9,G2077,1)),"",IF((AND(FIND('112'!$M$9,G2077,1)&gt;=1,$B2077&gt;='112'!$N$8,$B2077&lt;='112'!$O$8,OR($L2077='112'!$I$6,$M2077='112'!$I$6))),"x",""))</f>
        <v/>
      </c>
      <c r="T2077" s="39" t="str">
        <f>IF(ISERROR(FIND('112'!$M$9,G2077,1)),"",IF((AND(LEFT(G2077,2)=LEFT('112'!$M$9,2),B2077&lt;'112'!$N$8,$L2077='112'!$I$6)),"x",""))</f>
        <v/>
      </c>
      <c r="U2077" s="39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39" t="str">
        <f>IF(OR(TH!L2077=TH!$W$7,M2077=TH!$W$7),"x","")</f>
        <v/>
      </c>
      <c r="X2077" s="39" t="str">
        <f>IF(AND(B2077&gt;='IN-NX'!$P$3,B2077&lt;='IN-NX'!$Q$3,'IN-NX'!$D$7=D2077,OR(LEFT(L2077,2)="15",AND(LEFT(M2077,2)&lt;&gt;"15",LEFT(M2077,2)&lt;&gt;"33"))),"x","")</f>
        <v/>
      </c>
      <c r="Y2077" s="39" t="str">
        <f>IF(AND(OR(LEFT(TH!L2077,2)="15",LEFT(TH!M2077,2)="15"),'152-CT'!$J$8=TH!F2077),"x","")</f>
        <v/>
      </c>
      <c r="Z2077" s="39" t="str">
        <f>IF(AND(OR(LEFT(TH!L2077,2)="15",LEFT(TH!M2077,2)="15"),TK!$E$7=TH!F2077),"x","")</f>
        <v/>
      </c>
      <c r="AA2077" s="39" t="str">
        <f>IF(AND(B2077&lt;=NKC!$N$8,B2077&gt;=NKC!$M$8),"x","")</f>
        <v/>
      </c>
      <c r="AB2077" s="821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104"/>
        <v/>
      </c>
      <c r="C2078" s="191"/>
      <c r="D2078" s="37"/>
      <c r="E2078" s="731"/>
      <c r="F2078" s="192"/>
      <c r="G2078" s="468"/>
      <c r="H2078" s="193"/>
      <c r="I2078" s="256"/>
      <c r="J2078" s="256"/>
      <c r="K2078" s="568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902" t="str">
        <f>IF(AND('341-CT'!$E$9=H2078,OR(LEFT(L2078,3)=$O$7,LEFT(M2078,3)=$O$7)),"x","")</f>
        <v/>
      </c>
      <c r="P2078" s="39" t="str">
        <f>IF(AND($B2078&gt;='111'!$N$11,$B2078&lt;='111'!$O$11,OR($L2078=$P$7,$M2078=$P$7)),"x","")</f>
        <v/>
      </c>
      <c r="Q2078" s="39" t="str">
        <f>IF(AND($L2078=$P$7,$B2078&lt;'111'!$N$11),"x","")</f>
        <v/>
      </c>
      <c r="R2078" s="39" t="str">
        <f>IF(AND($M2078=$P$7,$B2078&lt;'111'!$N$11),"x","")</f>
        <v/>
      </c>
      <c r="S2078" s="39" t="str">
        <f>IF(ISERROR(FIND('112'!$M$9,G2078,1)),"",IF((AND(FIND('112'!$M$9,G2078,1)&gt;=1,$B2078&gt;='112'!$N$8,$B2078&lt;='112'!$O$8,OR($L2078='112'!$I$6,$M2078='112'!$I$6))),"x",""))</f>
        <v/>
      </c>
      <c r="T2078" s="39" t="str">
        <f>IF(ISERROR(FIND('112'!$M$9,G2078,1)),"",IF((AND(LEFT(G2078,2)=LEFT('112'!$M$9,2),B2078&lt;'112'!$N$8,$L2078='112'!$I$6)),"x",""))</f>
        <v/>
      </c>
      <c r="U2078" s="39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39" t="str">
        <f>IF(OR(TH!L2078=TH!$W$7,M2078=TH!$W$7),"x","")</f>
        <v/>
      </c>
      <c r="X2078" s="39" t="str">
        <f>IF(AND(B2078&gt;='IN-NX'!$P$3,B2078&lt;='IN-NX'!$Q$3,'IN-NX'!$D$7=D2078,OR(LEFT(L2078,2)="15",AND(LEFT(M2078,2)&lt;&gt;"15",LEFT(M2078,2)&lt;&gt;"33"))),"x","")</f>
        <v/>
      </c>
      <c r="Y2078" s="39" t="str">
        <f>IF(AND(OR(LEFT(TH!L2078,2)="15",LEFT(TH!M2078,2)="15"),'152-CT'!$J$8=TH!F2078),"x","")</f>
        <v/>
      </c>
      <c r="Z2078" s="39" t="str">
        <f>IF(AND(OR(LEFT(TH!L2078,2)="15",LEFT(TH!M2078,2)="15"),TK!$E$7=TH!F2078),"x","")</f>
        <v/>
      </c>
      <c r="AA2078" s="39" t="str">
        <f>IF(AND(B2078&lt;=NKC!$N$8,B2078&gt;=NKC!$M$8),"x","")</f>
        <v/>
      </c>
      <c r="AB2078" s="821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 t="str">
        <f t="shared" si="104"/>
        <v/>
      </c>
      <c r="C2079" s="191"/>
      <c r="D2079" s="37"/>
      <c r="E2079" s="731"/>
      <c r="F2079" s="192"/>
      <c r="G2079" s="468"/>
      <c r="H2079" s="193"/>
      <c r="I2079" s="256"/>
      <c r="J2079" s="256"/>
      <c r="K2079" s="568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902" t="str">
        <f>IF(AND('341-CT'!$E$9=H2079,OR(LEFT(L2079,3)=$O$7,LEFT(M2079,3)=$O$7)),"x","")</f>
        <v/>
      </c>
      <c r="P2079" s="39" t="str">
        <f>IF(AND($B2079&gt;='111'!$N$11,$B2079&lt;='111'!$O$11,OR($L2079=$P$7,$M2079=$P$7)),"x","")</f>
        <v/>
      </c>
      <c r="Q2079" s="39" t="str">
        <f>IF(AND($L2079=$P$7,$B2079&lt;'111'!$N$11),"x","")</f>
        <v/>
      </c>
      <c r="R2079" s="39" t="str">
        <f>IF(AND($M2079=$P$7,$B2079&lt;'111'!$N$11),"x","")</f>
        <v/>
      </c>
      <c r="S2079" s="39" t="str">
        <f>IF(ISERROR(FIND('112'!$M$9,G2079,1)),"",IF((AND(FIND('112'!$M$9,G2079,1)&gt;=1,$B2079&gt;='112'!$N$8,$B2079&lt;='112'!$O$8,OR($L2079='112'!$I$6,$M2079='112'!$I$6))),"x",""))</f>
        <v/>
      </c>
      <c r="T2079" s="39" t="str">
        <f>IF(ISERROR(FIND('112'!$M$9,G2079,1)),"",IF((AND(LEFT(G2079,2)=LEFT('112'!$M$9,2),B2079&lt;'112'!$N$8,$L2079='112'!$I$6)),"x",""))</f>
        <v/>
      </c>
      <c r="U2079" s="39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39" t="str">
        <f>IF(OR(TH!L2079=TH!$W$7,M2079=TH!$W$7),"x","")</f>
        <v/>
      </c>
      <c r="X2079" s="39" t="str">
        <f>IF(AND(B2079&gt;='IN-NX'!$P$3,B2079&lt;='IN-NX'!$Q$3,'IN-NX'!$D$7=D2079,OR(LEFT(L2079,2)="15",AND(LEFT(M2079,2)&lt;&gt;"15",LEFT(M2079,2)&lt;&gt;"33"))),"x","")</f>
        <v/>
      </c>
      <c r="Y2079" s="39" t="str">
        <f>IF(AND(OR(LEFT(TH!L2079,2)="15",LEFT(TH!M2079,2)="15"),'152-CT'!$J$8=TH!F2079),"x","")</f>
        <v/>
      </c>
      <c r="Z2079" s="39" t="str">
        <f>IF(AND(OR(LEFT(TH!L2079,2)="15",LEFT(TH!M2079,2)="15"),TK!$E$7=TH!F2079),"x","")</f>
        <v/>
      </c>
      <c r="AA2079" s="39" t="str">
        <f>IF(AND(B2079&lt;=NKC!$N$8,B2079&gt;=NKC!$M$8),"x","")</f>
        <v/>
      </c>
      <c r="AB2079" s="821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 t="str">
        <f t="shared" si="104"/>
        <v/>
      </c>
      <c r="C2080" s="191"/>
      <c r="D2080" s="37"/>
      <c r="E2080" s="731"/>
      <c r="F2080" s="192"/>
      <c r="G2080" s="468"/>
      <c r="H2080" s="193"/>
      <c r="I2080" s="256"/>
      <c r="J2080" s="256"/>
      <c r="K2080" s="568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902" t="str">
        <f>IF(AND('341-CT'!$E$9=H2080,OR(LEFT(L2080,3)=$O$7,LEFT(M2080,3)=$O$7)),"x","")</f>
        <v/>
      </c>
      <c r="P2080" s="39" t="str">
        <f>IF(AND($B2080&gt;='111'!$N$11,$B2080&lt;='111'!$O$11,OR($L2080=$P$7,$M2080=$P$7)),"x","")</f>
        <v/>
      </c>
      <c r="Q2080" s="39" t="str">
        <f>IF(AND($L2080=$P$7,$B2080&lt;'111'!$N$11),"x","")</f>
        <v/>
      </c>
      <c r="R2080" s="39" t="str">
        <f>IF(AND($M2080=$P$7,$B2080&lt;'111'!$N$11),"x","")</f>
        <v/>
      </c>
      <c r="S2080" s="39" t="str">
        <f>IF(ISERROR(FIND('112'!$M$9,G2080,1)),"",IF((AND(FIND('112'!$M$9,G2080,1)&gt;=1,$B2080&gt;='112'!$N$8,$B2080&lt;='112'!$O$8,OR($L2080='112'!$I$6,$M2080='112'!$I$6))),"x",""))</f>
        <v/>
      </c>
      <c r="T2080" s="39" t="str">
        <f>IF(ISERROR(FIND('112'!$M$9,G2080,1)),"",IF((AND(LEFT(G2080,2)=LEFT('112'!$M$9,2),B2080&lt;'112'!$N$8,$L2080='112'!$I$6)),"x",""))</f>
        <v/>
      </c>
      <c r="U2080" s="39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39" t="str">
        <f>IF(OR(TH!L2080=TH!$W$7,M2080=TH!$W$7),"x","")</f>
        <v/>
      </c>
      <c r="X2080" s="39" t="str">
        <f>IF(AND(B2080&gt;='IN-NX'!$P$3,B2080&lt;='IN-NX'!$Q$3,'IN-NX'!$D$7=D2080,OR(LEFT(L2080,2)="15",AND(LEFT(M2080,2)&lt;&gt;"15",LEFT(M2080,2)&lt;&gt;"33"))),"x","")</f>
        <v/>
      </c>
      <c r="Y2080" s="39" t="str">
        <f>IF(AND(OR(LEFT(TH!L2080,2)="15",LEFT(TH!M2080,2)="15"),'152-CT'!$J$8=TH!F2080),"x","")</f>
        <v/>
      </c>
      <c r="Z2080" s="39" t="str">
        <f>IF(AND(OR(LEFT(TH!L2080,2)="15",LEFT(TH!M2080,2)="15"),TK!$E$7=TH!F2080),"x","")</f>
        <v/>
      </c>
      <c r="AA2080" s="39" t="str">
        <f>IF(AND(B2080&lt;=NKC!$N$8,B2080&gt;=NKC!$M$8),"x","")</f>
        <v/>
      </c>
      <c r="AB2080" s="821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 t="str">
        <f t="shared" si="104"/>
        <v/>
      </c>
      <c r="C2081" s="191"/>
      <c r="D2081" s="37"/>
      <c r="E2081" s="731"/>
      <c r="F2081" s="192"/>
      <c r="G2081" s="468"/>
      <c r="H2081" s="193"/>
      <c r="I2081" s="256"/>
      <c r="J2081" s="256"/>
      <c r="K2081" s="568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902" t="str">
        <f>IF(AND('341-CT'!$E$9=H2081,OR(LEFT(L2081,3)=$O$7,LEFT(M2081,3)=$O$7)),"x","")</f>
        <v/>
      </c>
      <c r="P2081" s="39" t="str">
        <f>IF(AND($B2081&gt;='111'!$N$11,$B2081&lt;='111'!$O$11,OR($L2081=$P$7,$M2081=$P$7)),"x","")</f>
        <v/>
      </c>
      <c r="Q2081" s="39" t="str">
        <f>IF(AND($L2081=$P$7,$B2081&lt;'111'!$N$11),"x","")</f>
        <v/>
      </c>
      <c r="R2081" s="39" t="str">
        <f>IF(AND($M2081=$P$7,$B2081&lt;'111'!$N$11),"x","")</f>
        <v/>
      </c>
      <c r="S2081" s="39" t="str">
        <f>IF(ISERROR(FIND('112'!$M$9,G2081,1)),"",IF((AND(FIND('112'!$M$9,G2081,1)&gt;=1,$B2081&gt;='112'!$N$8,$B2081&lt;='112'!$O$8,OR($L2081='112'!$I$6,$M2081='112'!$I$6))),"x",""))</f>
        <v/>
      </c>
      <c r="T2081" s="39" t="str">
        <f>IF(ISERROR(FIND('112'!$M$9,G2081,1)),"",IF((AND(LEFT(G2081,2)=LEFT('112'!$M$9,2),B2081&lt;'112'!$N$8,$L2081='112'!$I$6)),"x",""))</f>
        <v/>
      </c>
      <c r="U2081" s="39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39" t="str">
        <f>IF(OR(TH!L2081=TH!$W$7,M2081=TH!$W$7),"x","")</f>
        <v/>
      </c>
      <c r="X2081" s="39" t="str">
        <f>IF(AND(B2081&gt;='IN-NX'!$P$3,B2081&lt;='IN-NX'!$Q$3,'IN-NX'!$D$7=D2081,OR(LEFT(L2081,2)="15",AND(LEFT(M2081,2)&lt;&gt;"15",LEFT(M2081,2)&lt;&gt;"33"))),"x","")</f>
        <v/>
      </c>
      <c r="Y2081" s="39" t="str">
        <f>IF(AND(OR(LEFT(TH!L2081,2)="15",LEFT(TH!M2081,2)="15"),'152-CT'!$J$8=TH!F2081),"x","")</f>
        <v/>
      </c>
      <c r="Z2081" s="39" t="str">
        <f>IF(AND(OR(LEFT(TH!L2081,2)="15",LEFT(TH!M2081,2)="15"),TK!$E$7=TH!F2081),"x","")</f>
        <v/>
      </c>
      <c r="AA2081" s="39" t="str">
        <f>IF(AND(B2081&lt;=NKC!$N$8,B2081&gt;=NKC!$M$8),"x","")</f>
        <v/>
      </c>
      <c r="AB2081" s="821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 t="str">
        <f t="shared" si="104"/>
        <v/>
      </c>
      <c r="C2082" s="191"/>
      <c r="D2082" s="37"/>
      <c r="E2082" s="731"/>
      <c r="F2082" s="192"/>
      <c r="G2082" s="468"/>
      <c r="H2082" s="193"/>
      <c r="I2082" s="256"/>
      <c r="J2082" s="256"/>
      <c r="K2082" s="568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902" t="str">
        <f>IF(AND('341-CT'!$E$9=H2082,OR(LEFT(L2082,3)=$O$7,LEFT(M2082,3)=$O$7)),"x","")</f>
        <v/>
      </c>
      <c r="P2082" s="39" t="str">
        <f>IF(AND($B2082&gt;='111'!$N$11,$B2082&lt;='111'!$O$11,OR($L2082=$P$7,$M2082=$P$7)),"x","")</f>
        <v/>
      </c>
      <c r="Q2082" s="39" t="str">
        <f>IF(AND($L2082=$P$7,$B2082&lt;'111'!$N$11),"x","")</f>
        <v/>
      </c>
      <c r="R2082" s="39" t="str">
        <f>IF(AND($M2082=$P$7,$B2082&lt;'111'!$N$11),"x","")</f>
        <v/>
      </c>
      <c r="S2082" s="39" t="str">
        <f>IF(ISERROR(FIND('112'!$M$9,G2082,1)),"",IF((AND(FIND('112'!$M$9,G2082,1)&gt;=1,$B2082&gt;='112'!$N$8,$B2082&lt;='112'!$O$8,OR($L2082='112'!$I$6,$M2082='112'!$I$6))),"x",""))</f>
        <v/>
      </c>
      <c r="T2082" s="39" t="str">
        <f>IF(ISERROR(FIND('112'!$M$9,G2082,1)),"",IF((AND(LEFT(G2082,2)=LEFT('112'!$M$9,2),B2082&lt;'112'!$N$8,$L2082='112'!$I$6)),"x",""))</f>
        <v/>
      </c>
      <c r="U2082" s="39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39" t="str">
        <f>IF(OR(TH!L2082=TH!$W$7,M2082=TH!$W$7),"x","")</f>
        <v/>
      </c>
      <c r="X2082" s="39" t="str">
        <f>IF(AND(B2082&gt;='IN-NX'!$P$3,B2082&lt;='IN-NX'!$Q$3,'IN-NX'!$D$7=D2082,OR(LEFT(L2082,2)="15",AND(LEFT(M2082,2)&lt;&gt;"15",LEFT(M2082,2)&lt;&gt;"33"))),"x","")</f>
        <v/>
      </c>
      <c r="Y2082" s="39" t="str">
        <f>IF(AND(OR(LEFT(TH!L2082,2)="15",LEFT(TH!M2082,2)="15"),'152-CT'!$J$8=TH!F2082),"x","")</f>
        <v/>
      </c>
      <c r="Z2082" s="39" t="str">
        <f>IF(AND(OR(LEFT(TH!L2082,2)="15",LEFT(TH!M2082,2)="15"),TK!$E$7=TH!F2082),"x","")</f>
        <v/>
      </c>
      <c r="AA2082" s="39" t="str">
        <f>IF(AND(B2082&lt;=NKC!$N$8,B2082&gt;=NKC!$M$8),"x","")</f>
        <v/>
      </c>
      <c r="AB2082" s="821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 t="str">
        <f t="shared" si="104"/>
        <v/>
      </c>
      <c r="C2083" s="184"/>
      <c r="D2083" s="184"/>
      <c r="E2083" s="184"/>
      <c r="F2083" s="189"/>
      <c r="G2083" s="570"/>
      <c r="H2083" s="193"/>
      <c r="I2083" s="256"/>
      <c r="J2083" s="256"/>
      <c r="K2083" s="568"/>
      <c r="L2083" s="569"/>
      <c r="M2083" s="569"/>
      <c r="N2083" s="39" t="str">
        <f>IF(AND('331-CT'!$E$7=TH!H2083,OR(L2083="331",M2083="331")),"331",IF(AND(OR(L2083="131",M2083="131"),H2083='131-CT'!$E$7),"131",""))</f>
        <v/>
      </c>
      <c r="O2083" s="902" t="str">
        <f>IF(AND('341-CT'!$E$9=H2083,OR(LEFT(L2083,3)=$O$7,LEFT(M2083,3)=$O$7)),"x","")</f>
        <v/>
      </c>
      <c r="P2083" s="39" t="str">
        <f>IF(AND($B2083&gt;='111'!$N$11,$B2083&lt;='111'!$O$11,OR($L2083=$P$7,$M2083=$P$7)),"x","")</f>
        <v/>
      </c>
      <c r="Q2083" s="39" t="str">
        <f>IF(AND($L2083=$P$7,$B2083&lt;'111'!$N$11),"x","")</f>
        <v/>
      </c>
      <c r="R2083" s="39" t="str">
        <f>IF(AND($M2083=$P$7,$B2083&lt;'111'!$N$11),"x","")</f>
        <v/>
      </c>
      <c r="S2083" s="39" t="str">
        <f>IF(ISERROR(FIND('112'!$M$9,G2083,1)),"",IF((AND(FIND('112'!$M$9,G2083,1)&gt;=1,$B2083&gt;='112'!$N$8,$B2083&lt;='112'!$O$8,OR($L2083='112'!$I$6,$M2083='112'!$I$6))),"x",""))</f>
        <v/>
      </c>
      <c r="T2083" s="39" t="str">
        <f>IF(ISERROR(FIND('112'!$M$9,G2083,1)),"",IF((AND(LEFT(G2083,2)=LEFT('112'!$M$9,2),B2083&lt;'112'!$N$8,$L2083='112'!$I$6)),"x",""))</f>
        <v/>
      </c>
      <c r="U2083" s="39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39" t="str">
        <f>IF(OR(TH!L2083=TH!$W$7,M2083=TH!$W$7),"x","")</f>
        <v/>
      </c>
      <c r="X2083" s="39" t="str">
        <f>IF(AND(B2083&gt;='IN-NX'!$P$3,B2083&lt;='IN-NX'!$Q$3,'IN-NX'!$D$7=D2083,OR(LEFT(L2083,2)="15",AND(LEFT(M2083,2)&lt;&gt;"15",LEFT(M2083,2)&lt;&gt;"33"))),"x","")</f>
        <v/>
      </c>
      <c r="Y2083" s="39" t="str">
        <f>IF(AND(OR(LEFT(TH!L2083,2)="15",LEFT(TH!M2083,2)="15"),'152-CT'!$J$8=TH!F2083),"x","")</f>
        <v/>
      </c>
      <c r="Z2083" s="39" t="str">
        <f>IF(AND(OR(LEFT(TH!L2083,2)="15",LEFT(TH!M2083,2)="15"),TK!$E$7=TH!F2083),"x","")</f>
        <v/>
      </c>
      <c r="AA2083" s="39" t="str">
        <f>IF(AND(B2083&lt;=NKC!$N$8,B2083&gt;=NKC!$M$8),"x","")</f>
        <v/>
      </c>
      <c r="AB2083" s="821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 t="str">
        <f t="shared" si="104"/>
        <v/>
      </c>
      <c r="C2084" s="191"/>
      <c r="D2084" s="191"/>
      <c r="E2084" s="191"/>
      <c r="F2084" s="192"/>
      <c r="G2084" s="468"/>
      <c r="H2084" s="45"/>
      <c r="I2084" s="256"/>
      <c r="J2084" s="256"/>
      <c r="K2084" s="38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902" t="str">
        <f>IF(AND('341-CT'!$E$9=H2084,OR(LEFT(L2084,3)=$O$7,LEFT(M2084,3)=$O$7)),"x","")</f>
        <v/>
      </c>
      <c r="P2084" s="39" t="str">
        <f>IF(AND($B2084&gt;='111'!$N$11,$B2084&lt;='111'!$O$11,OR($L2084=$P$7,$M2084=$P$7)),"x","")</f>
        <v/>
      </c>
      <c r="Q2084" s="39" t="str">
        <f>IF(AND($L2084=$P$7,$B2084&lt;'111'!$N$11),"x","")</f>
        <v/>
      </c>
      <c r="R2084" s="39" t="str">
        <f>IF(AND($M2084=$P$7,$B2084&lt;'111'!$N$11),"x","")</f>
        <v/>
      </c>
      <c r="S2084" s="39" t="str">
        <f>IF(ISERROR(FIND('112'!$M$9,G2084,1)),"",IF((AND(FIND('112'!$M$9,G2084,1)&gt;=1,$B2084&gt;='112'!$N$8,$B2084&lt;='112'!$O$8,OR($L2084='112'!$I$6,$M2084='112'!$I$6))),"x",""))</f>
        <v/>
      </c>
      <c r="T2084" s="39" t="str">
        <f>IF(ISERROR(FIND('112'!$M$9,G2084,1)),"",IF((AND(LEFT(G2084,2)=LEFT('112'!$M$9,2),B2084&lt;'112'!$N$8,$L2084='112'!$I$6)),"x",""))</f>
        <v/>
      </c>
      <c r="U2084" s="39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39" t="str">
        <f>IF(OR(TH!L2084=TH!$W$7,M2084=TH!$W$7),"x","")</f>
        <v/>
      </c>
      <c r="X2084" s="39" t="str">
        <f>IF(AND(B2084&gt;='IN-NX'!$P$3,B2084&lt;='IN-NX'!$Q$3,'IN-NX'!$D$7=D2084,OR(LEFT(L2084,2)="15",AND(LEFT(M2084,2)&lt;&gt;"15",LEFT(M2084,2)&lt;&gt;"33"))),"x","")</f>
        <v/>
      </c>
      <c r="Y2084" s="39" t="str">
        <f>IF(AND(OR(LEFT(TH!L2084,2)="15",LEFT(TH!M2084,2)="15"),'152-CT'!$J$8=TH!F2084),"x","")</f>
        <v/>
      </c>
      <c r="Z2084" s="39" t="str">
        <f>IF(AND(OR(LEFT(TH!L2084,2)="15",LEFT(TH!M2084,2)="15"),TK!$E$7=TH!F2084),"x","")</f>
        <v/>
      </c>
      <c r="AA2084" s="39" t="str">
        <f>IF(AND(B2084&lt;=NKC!$N$8,B2084&gt;=NKC!$M$8),"x","")</f>
        <v/>
      </c>
      <c r="AB2084" s="821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 t="str">
        <f t="shared" si="104"/>
        <v/>
      </c>
      <c r="C2085" s="191"/>
      <c r="D2085" s="191"/>
      <c r="E2085" s="191"/>
      <c r="F2085" s="192"/>
      <c r="G2085" s="468"/>
      <c r="H2085" s="45"/>
      <c r="I2085" s="256"/>
      <c r="J2085" s="256"/>
      <c r="K2085" s="38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902" t="str">
        <f>IF(AND('341-CT'!$E$9=H2085,OR(LEFT(L2085,3)=$O$7,LEFT(M2085,3)=$O$7)),"x","")</f>
        <v/>
      </c>
      <c r="P2085" s="39" t="str">
        <f>IF(AND($B2085&gt;='111'!$N$11,$B2085&lt;='111'!$O$11,OR($L2085=$P$7,$M2085=$P$7)),"x","")</f>
        <v/>
      </c>
      <c r="Q2085" s="39" t="str">
        <f>IF(AND($L2085=$P$7,$B2085&lt;'111'!$N$11),"x","")</f>
        <v/>
      </c>
      <c r="R2085" s="39" t="str">
        <f>IF(AND($M2085=$P$7,$B2085&lt;'111'!$N$11),"x","")</f>
        <v/>
      </c>
      <c r="S2085" s="39" t="str">
        <f>IF(ISERROR(FIND('112'!$M$9,G2085,1)),"",IF((AND(FIND('112'!$M$9,G2085,1)&gt;=1,$B2085&gt;='112'!$N$8,$B2085&lt;='112'!$O$8,OR($L2085='112'!$I$6,$M2085='112'!$I$6))),"x",""))</f>
        <v/>
      </c>
      <c r="T2085" s="39" t="str">
        <f>IF(ISERROR(FIND('112'!$M$9,G2085,1)),"",IF((AND(LEFT(G2085,2)=LEFT('112'!$M$9,2),B2085&lt;'112'!$N$8,$L2085='112'!$I$6)),"x",""))</f>
        <v/>
      </c>
      <c r="U2085" s="39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39" t="str">
        <f>IF(OR(TH!L2085=TH!$W$7,M2085=TH!$W$7),"x","")</f>
        <v/>
      </c>
      <c r="X2085" s="39" t="str">
        <f>IF(AND(B2085&gt;='IN-NX'!$P$3,B2085&lt;='IN-NX'!$Q$3,'IN-NX'!$D$7=D2085,OR(LEFT(L2085,2)="15",AND(LEFT(M2085,2)&lt;&gt;"15",LEFT(M2085,2)&lt;&gt;"33"))),"x","")</f>
        <v/>
      </c>
      <c r="Y2085" s="39" t="str">
        <f>IF(AND(OR(LEFT(TH!L2085,2)="15",LEFT(TH!M2085,2)="15"),'152-CT'!$J$8=TH!F2085),"x","")</f>
        <v/>
      </c>
      <c r="Z2085" s="39" t="str">
        <f>IF(AND(OR(LEFT(TH!L2085,2)="15",LEFT(TH!M2085,2)="15"),TK!$E$7=TH!F2085),"x","")</f>
        <v/>
      </c>
      <c r="AA2085" s="39" t="str">
        <f>IF(AND(B2085&lt;=NKC!$N$8,B2085&gt;=NKC!$M$8),"x","")</f>
        <v/>
      </c>
      <c r="AB2085" s="821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 t="str">
        <f t="shared" si="104"/>
        <v/>
      </c>
      <c r="C2086" s="191"/>
      <c r="D2086" s="191"/>
      <c r="E2086" s="731"/>
      <c r="F2086" s="40"/>
      <c r="G2086" s="40"/>
      <c r="H2086" s="7"/>
      <c r="I2086" s="256"/>
      <c r="J2086" s="256"/>
      <c r="K2086" s="56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902" t="str">
        <f>IF(AND('341-CT'!$E$9=H2086,OR(LEFT(L2086,3)=$O$7,LEFT(M2086,3)=$O$7)),"x","")</f>
        <v/>
      </c>
      <c r="P2086" s="39" t="str">
        <f>IF(AND($B2086&gt;='111'!$N$11,$B2086&lt;='111'!$O$11,OR($L2086=$P$7,$M2086=$P$7)),"x","")</f>
        <v/>
      </c>
      <c r="Q2086" s="39" t="str">
        <f>IF(AND($L2086=$P$7,$B2086&lt;'111'!$N$11),"x","")</f>
        <v/>
      </c>
      <c r="R2086" s="39" t="str">
        <f>IF(AND($M2086=$P$7,$B2086&lt;'111'!$N$11),"x","")</f>
        <v/>
      </c>
      <c r="S2086" s="39" t="str">
        <f>IF(ISERROR(FIND('112'!$M$9,G2086,1)),"",IF((AND(FIND('112'!$M$9,G2086,1)&gt;=1,$B2086&gt;='112'!$N$8,$B2086&lt;='112'!$O$8,OR($L2086='112'!$I$6,$M2086='112'!$I$6))),"x",""))</f>
        <v/>
      </c>
      <c r="T2086" s="39" t="str">
        <f>IF(ISERROR(FIND('112'!$M$9,G2086,1)),"",IF((AND(LEFT(G2086,2)=LEFT('112'!$M$9,2),B2086&lt;'112'!$N$8,$L2086='112'!$I$6)),"x",""))</f>
        <v/>
      </c>
      <c r="U2086" s="39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39" t="str">
        <f>IF(OR(TH!L2086=TH!$W$7,M2086=TH!$W$7),"x","")</f>
        <v/>
      </c>
      <c r="X2086" s="39" t="str">
        <f>IF(AND(B2086&gt;='IN-NX'!$P$3,B2086&lt;='IN-NX'!$Q$3,'IN-NX'!$D$7=D2086,OR(LEFT(L2086,2)="15",AND(LEFT(M2086,2)&lt;&gt;"15",LEFT(M2086,2)&lt;&gt;"33"))),"x","")</f>
        <v/>
      </c>
      <c r="Y2086" s="39" t="str">
        <f>IF(AND(OR(LEFT(TH!L2086,2)="15",LEFT(TH!M2086,2)="15"),'152-CT'!$J$8=TH!F2086),"x","")</f>
        <v/>
      </c>
      <c r="Z2086" s="39" t="str">
        <f>IF(AND(OR(LEFT(TH!L2086,2)="15",LEFT(TH!M2086,2)="15"),TK!$E$7=TH!F2086),"x","")</f>
        <v/>
      </c>
      <c r="AA2086" s="39" t="str">
        <f>IF(AND(B2086&lt;=NKC!$N$8,B2086&gt;=NKC!$M$8),"x","")</f>
        <v/>
      </c>
      <c r="AB2086" s="821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 t="str">
        <f t="shared" si="104"/>
        <v/>
      </c>
      <c r="C2087" s="191"/>
      <c r="D2087" s="191"/>
      <c r="E2087" s="731"/>
      <c r="F2087" s="40"/>
      <c r="G2087" s="40"/>
      <c r="H2087" s="7"/>
      <c r="I2087" s="256"/>
      <c r="J2087" s="256"/>
      <c r="K2087" s="56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902" t="str">
        <f>IF(AND('341-CT'!$E$9=H2087,OR(LEFT(L2087,3)=$O$7,LEFT(M2087,3)=$O$7)),"x","")</f>
        <v/>
      </c>
      <c r="P2087" s="39" t="str">
        <f>IF(AND($B2087&gt;='111'!$N$11,$B2087&lt;='111'!$O$11,OR($L2087=$P$7,$M2087=$P$7)),"x","")</f>
        <v/>
      </c>
      <c r="Q2087" s="39" t="str">
        <f>IF(AND($L2087=$P$7,$B2087&lt;'111'!$N$11),"x","")</f>
        <v/>
      </c>
      <c r="R2087" s="39" t="str">
        <f>IF(AND($M2087=$P$7,$B2087&lt;'111'!$N$11),"x","")</f>
        <v/>
      </c>
      <c r="S2087" s="39" t="str">
        <f>IF(ISERROR(FIND('112'!$M$9,G2087,1)),"",IF((AND(FIND('112'!$M$9,G2087,1)&gt;=1,$B2087&gt;='112'!$N$8,$B2087&lt;='112'!$O$8,OR($L2087='112'!$I$6,$M2087='112'!$I$6))),"x",""))</f>
        <v/>
      </c>
      <c r="T2087" s="39" t="str">
        <f>IF(ISERROR(FIND('112'!$M$9,G2087,1)),"",IF((AND(LEFT(G2087,2)=LEFT('112'!$M$9,2),B2087&lt;'112'!$N$8,$L2087='112'!$I$6)),"x",""))</f>
        <v/>
      </c>
      <c r="U2087" s="39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39" t="str">
        <f>IF(OR(TH!L2087=TH!$W$7,M2087=TH!$W$7),"x","")</f>
        <v/>
      </c>
      <c r="X2087" s="39" t="str">
        <f>IF(AND(B2087&gt;='IN-NX'!$P$3,B2087&lt;='IN-NX'!$Q$3,'IN-NX'!$D$7=D2087,OR(LEFT(L2087,2)="15",AND(LEFT(M2087,2)&lt;&gt;"15",LEFT(M2087,2)&lt;&gt;"33"))),"x","")</f>
        <v/>
      </c>
      <c r="Y2087" s="39" t="str">
        <f>IF(AND(OR(LEFT(TH!L2087,2)="15",LEFT(TH!M2087,2)="15"),'152-CT'!$J$8=TH!F2087),"x","")</f>
        <v/>
      </c>
      <c r="Z2087" s="39" t="str">
        <f>IF(AND(OR(LEFT(TH!L2087,2)="15",LEFT(TH!M2087,2)="15"),TK!$E$7=TH!F2087),"x","")</f>
        <v/>
      </c>
      <c r="AA2087" s="39" t="str">
        <f>IF(AND(B2087&lt;=NKC!$N$8,B2087&gt;=NKC!$M$8),"x","")</f>
        <v/>
      </c>
      <c r="AB2087" s="821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 t="str">
        <f t="shared" si="104"/>
        <v/>
      </c>
      <c r="C2088" s="191"/>
      <c r="D2088" s="191"/>
      <c r="E2088" s="731"/>
      <c r="F2088" s="40"/>
      <c r="G2088" s="40"/>
      <c r="H2088" s="7"/>
      <c r="I2088" s="256"/>
      <c r="J2088" s="256"/>
      <c r="K2088" s="56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902" t="str">
        <f>IF(AND('341-CT'!$E$9=H2088,OR(LEFT(L2088,3)=$O$7,LEFT(M2088,3)=$O$7)),"x","")</f>
        <v/>
      </c>
      <c r="P2088" s="39" t="str">
        <f>IF(AND($B2088&gt;='111'!$N$11,$B2088&lt;='111'!$O$11,OR($L2088=$P$7,$M2088=$P$7)),"x","")</f>
        <v/>
      </c>
      <c r="Q2088" s="39" t="str">
        <f>IF(AND($L2088=$P$7,$B2088&lt;'111'!$N$11),"x","")</f>
        <v/>
      </c>
      <c r="R2088" s="39" t="str">
        <f>IF(AND($M2088=$P$7,$B2088&lt;'111'!$N$11),"x","")</f>
        <v/>
      </c>
      <c r="S2088" s="39" t="str">
        <f>IF(ISERROR(FIND('112'!$M$9,G2088,1)),"",IF((AND(FIND('112'!$M$9,G2088,1)&gt;=1,$B2088&gt;='112'!$N$8,$B2088&lt;='112'!$O$8,OR($L2088='112'!$I$6,$M2088='112'!$I$6))),"x",""))</f>
        <v/>
      </c>
      <c r="T2088" s="39" t="str">
        <f>IF(ISERROR(FIND('112'!$M$9,G2088,1)),"",IF((AND(LEFT(G2088,2)=LEFT('112'!$M$9,2),B2088&lt;'112'!$N$8,$L2088='112'!$I$6)),"x",""))</f>
        <v/>
      </c>
      <c r="U2088" s="39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39" t="str">
        <f>IF(OR(TH!L2088=TH!$W$7,M2088=TH!$W$7),"x","")</f>
        <v/>
      </c>
      <c r="X2088" s="39" t="str">
        <f>IF(AND(B2088&gt;='IN-NX'!$P$3,B2088&lt;='IN-NX'!$Q$3,'IN-NX'!$D$7=D2088,OR(LEFT(L2088,2)="15",AND(LEFT(M2088,2)&lt;&gt;"15",LEFT(M2088,2)&lt;&gt;"33"))),"x","")</f>
        <v/>
      </c>
      <c r="Y2088" s="39" t="str">
        <f>IF(AND(OR(LEFT(TH!L2088,2)="15",LEFT(TH!M2088,2)="15"),'152-CT'!$J$8=TH!F2088),"x","")</f>
        <v/>
      </c>
      <c r="Z2088" s="39" t="str">
        <f>IF(AND(OR(LEFT(TH!L2088,2)="15",LEFT(TH!M2088,2)="15"),TK!$E$7=TH!F2088),"x","")</f>
        <v/>
      </c>
      <c r="AA2088" s="39" t="str">
        <f>IF(AND(B2088&lt;=NKC!$N$8,B2088&gt;=NKC!$M$8),"x","")</f>
        <v/>
      </c>
      <c r="AB2088" s="821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 t="str">
        <f t="shared" si="104"/>
        <v/>
      </c>
      <c r="C2089" s="191"/>
      <c r="D2089" s="191"/>
      <c r="E2089" s="731"/>
      <c r="F2089" s="189"/>
      <c r="G2089" s="40"/>
      <c r="H2089" s="7"/>
      <c r="I2089" s="256"/>
      <c r="J2089" s="256"/>
      <c r="K2089" s="56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902" t="str">
        <f>IF(AND('341-CT'!$E$9=H2089,OR(LEFT(L2089,3)=$O$7,LEFT(M2089,3)=$O$7)),"x","")</f>
        <v/>
      </c>
      <c r="P2089" s="39" t="str">
        <f>IF(AND($B2089&gt;='111'!$N$11,$B2089&lt;='111'!$O$11,OR($L2089=$P$7,$M2089=$P$7)),"x","")</f>
        <v/>
      </c>
      <c r="Q2089" s="39" t="str">
        <f>IF(AND($L2089=$P$7,$B2089&lt;'111'!$N$11),"x","")</f>
        <v/>
      </c>
      <c r="R2089" s="39" t="str">
        <f>IF(AND($M2089=$P$7,$B2089&lt;'111'!$N$11),"x","")</f>
        <v/>
      </c>
      <c r="S2089" s="39" t="str">
        <f>IF(ISERROR(FIND('112'!$M$9,G2089,1)),"",IF((AND(FIND('112'!$M$9,G2089,1)&gt;=1,$B2089&gt;='112'!$N$8,$B2089&lt;='112'!$O$8,OR($L2089='112'!$I$6,$M2089='112'!$I$6))),"x",""))</f>
        <v/>
      </c>
      <c r="T2089" s="39" t="str">
        <f>IF(ISERROR(FIND('112'!$M$9,G2089,1)),"",IF((AND(LEFT(G2089,2)=LEFT('112'!$M$9,2),B2089&lt;'112'!$N$8,$L2089='112'!$I$6)),"x",""))</f>
        <v/>
      </c>
      <c r="U2089" s="39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39" t="str">
        <f>IF(OR(TH!L2089=TH!$W$7,M2089=TH!$W$7),"x","")</f>
        <v/>
      </c>
      <c r="X2089" s="39" t="str">
        <f>IF(AND(B2089&gt;='IN-NX'!$P$3,B2089&lt;='IN-NX'!$Q$3,'IN-NX'!$D$7=D2089,OR(LEFT(L2089,2)="15",AND(LEFT(M2089,2)&lt;&gt;"15",LEFT(M2089,2)&lt;&gt;"33"))),"x","")</f>
        <v/>
      </c>
      <c r="Y2089" s="39" t="str">
        <f>IF(AND(OR(LEFT(TH!L2089,2)="15",LEFT(TH!M2089,2)="15"),'152-CT'!$J$8=TH!F2089),"x","")</f>
        <v/>
      </c>
      <c r="Z2089" s="39" t="str">
        <f>IF(AND(OR(LEFT(TH!L2089,2)="15",LEFT(TH!M2089,2)="15"),TK!$E$7=TH!F2089),"x","")</f>
        <v/>
      </c>
      <c r="AA2089" s="39" t="str">
        <f>IF(AND(B2089&lt;=NKC!$N$8,B2089&gt;=NKC!$M$8),"x","")</f>
        <v/>
      </c>
      <c r="AB2089" s="821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 t="str">
        <f t="shared" si="104"/>
        <v/>
      </c>
      <c r="C2090" s="191"/>
      <c r="D2090" s="191"/>
      <c r="E2090" s="731"/>
      <c r="F2090" s="40"/>
      <c r="G2090" s="40"/>
      <c r="H2090" s="7"/>
      <c r="I2090" s="256"/>
      <c r="J2090" s="256"/>
      <c r="K2090" s="56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902" t="str">
        <f>IF(AND('341-CT'!$E$9=H2090,OR(LEFT(L2090,3)=$O$7,LEFT(M2090,3)=$O$7)),"x","")</f>
        <v/>
      </c>
      <c r="P2090" s="39" t="str">
        <f>IF(AND($B2090&gt;='111'!$N$11,$B2090&lt;='111'!$O$11,OR($L2090=$P$7,$M2090=$P$7)),"x","")</f>
        <v/>
      </c>
      <c r="Q2090" s="39" t="str">
        <f>IF(AND($L2090=$P$7,$B2090&lt;'111'!$N$11),"x","")</f>
        <v/>
      </c>
      <c r="R2090" s="39" t="str">
        <f>IF(AND($M2090=$P$7,$B2090&lt;'111'!$N$11),"x","")</f>
        <v/>
      </c>
      <c r="S2090" s="39" t="str">
        <f>IF(ISERROR(FIND('112'!$M$9,G2090,1)),"",IF((AND(FIND('112'!$M$9,G2090,1)&gt;=1,$B2090&gt;='112'!$N$8,$B2090&lt;='112'!$O$8,OR($L2090='112'!$I$6,$M2090='112'!$I$6))),"x",""))</f>
        <v/>
      </c>
      <c r="T2090" s="39" t="str">
        <f>IF(ISERROR(FIND('112'!$M$9,G2090,1)),"",IF((AND(LEFT(G2090,2)=LEFT('112'!$M$9,2),B2090&lt;'112'!$N$8,$L2090='112'!$I$6)),"x",""))</f>
        <v/>
      </c>
      <c r="U2090" s="39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39" t="str">
        <f>IF(OR(TH!L2090=TH!$W$7,M2090=TH!$W$7),"x","")</f>
        <v/>
      </c>
      <c r="X2090" s="39" t="str">
        <f>IF(AND(B2090&gt;='IN-NX'!$P$3,B2090&lt;='IN-NX'!$Q$3,'IN-NX'!$D$7=D2090,OR(LEFT(L2090,2)="15",AND(LEFT(M2090,2)&lt;&gt;"15",LEFT(M2090,2)&lt;&gt;"33"))),"x","")</f>
        <v/>
      </c>
      <c r="Y2090" s="39" t="str">
        <f>IF(AND(OR(LEFT(TH!L2090,2)="15",LEFT(TH!M2090,2)="15"),'152-CT'!$J$8=TH!F2090),"x","")</f>
        <v/>
      </c>
      <c r="Z2090" s="39" t="str">
        <f>IF(AND(OR(LEFT(TH!L2090,2)="15",LEFT(TH!M2090,2)="15"),TK!$E$7=TH!F2090),"x","")</f>
        <v/>
      </c>
      <c r="AA2090" s="39" t="str">
        <f>IF(AND(B2090&lt;=NKC!$N$8,B2090&gt;=NKC!$M$8),"x","")</f>
        <v/>
      </c>
      <c r="AB2090" s="821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 t="str">
        <f t="shared" si="104"/>
        <v/>
      </c>
      <c r="C2091" s="191"/>
      <c r="D2091" s="191"/>
      <c r="E2091" s="731"/>
      <c r="F2091" s="40"/>
      <c r="G2091" s="40"/>
      <c r="H2091" s="7"/>
      <c r="I2091" s="256"/>
      <c r="J2091" s="256"/>
      <c r="K2091" s="56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902" t="str">
        <f>IF(AND('341-CT'!$E$9=H2091,OR(LEFT(L2091,3)=$O$7,LEFT(M2091,3)=$O$7)),"x","")</f>
        <v/>
      </c>
      <c r="P2091" s="39" t="str">
        <f>IF(AND($B2091&gt;='111'!$N$11,$B2091&lt;='111'!$O$11,OR($L2091=$P$7,$M2091=$P$7)),"x","")</f>
        <v/>
      </c>
      <c r="Q2091" s="39" t="str">
        <f>IF(AND($L2091=$P$7,$B2091&lt;'111'!$N$11),"x","")</f>
        <v/>
      </c>
      <c r="R2091" s="39" t="str">
        <f>IF(AND($M2091=$P$7,$B2091&lt;'111'!$N$11),"x","")</f>
        <v/>
      </c>
      <c r="S2091" s="39" t="str">
        <f>IF(ISERROR(FIND('112'!$M$9,G2091,1)),"",IF((AND(FIND('112'!$M$9,G2091,1)&gt;=1,$B2091&gt;='112'!$N$8,$B2091&lt;='112'!$O$8,OR($L2091='112'!$I$6,$M2091='112'!$I$6))),"x",""))</f>
        <v/>
      </c>
      <c r="T2091" s="39" t="str">
        <f>IF(ISERROR(FIND('112'!$M$9,G2091,1)),"",IF((AND(LEFT(G2091,2)=LEFT('112'!$M$9,2),B2091&lt;'112'!$N$8,$L2091='112'!$I$6)),"x",""))</f>
        <v/>
      </c>
      <c r="U2091" s="39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39" t="str">
        <f>IF(OR(TH!L2091=TH!$W$7,M2091=TH!$W$7),"x","")</f>
        <v/>
      </c>
      <c r="X2091" s="39" t="str">
        <f>IF(AND(B2091&gt;='IN-NX'!$P$3,B2091&lt;='IN-NX'!$Q$3,'IN-NX'!$D$7=D2091,OR(LEFT(L2091,2)="15",AND(LEFT(M2091,2)&lt;&gt;"15",LEFT(M2091,2)&lt;&gt;"33"))),"x","")</f>
        <v/>
      </c>
      <c r="Y2091" s="39" t="str">
        <f>IF(AND(OR(LEFT(TH!L2091,2)="15",LEFT(TH!M2091,2)="15"),'152-CT'!$J$8=TH!F2091),"x","")</f>
        <v/>
      </c>
      <c r="Z2091" s="39" t="str">
        <f>IF(AND(OR(LEFT(TH!L2091,2)="15",LEFT(TH!M2091,2)="15"),TK!$E$7=TH!F2091),"x","")</f>
        <v/>
      </c>
      <c r="AA2091" s="39" t="str">
        <f>IF(AND(B2091&lt;=NKC!$N$8,B2091&gt;=NKC!$M$8),"x","")</f>
        <v/>
      </c>
      <c r="AB2091" s="821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 t="str">
        <f t="shared" si="104"/>
        <v/>
      </c>
      <c r="C2092" s="191"/>
      <c r="D2092" s="191"/>
      <c r="E2092" s="731"/>
      <c r="F2092" s="40"/>
      <c r="G2092" s="40"/>
      <c r="H2092" s="7"/>
      <c r="I2092" s="256"/>
      <c r="J2092" s="256"/>
      <c r="K2092" s="56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902" t="str">
        <f>IF(AND('341-CT'!$E$9=H2092,OR(LEFT(L2092,3)=$O$7,LEFT(M2092,3)=$O$7)),"x","")</f>
        <v/>
      </c>
      <c r="P2092" s="39" t="str">
        <f>IF(AND($B2092&gt;='111'!$N$11,$B2092&lt;='111'!$O$11,OR($L2092=$P$7,$M2092=$P$7)),"x","")</f>
        <v/>
      </c>
      <c r="Q2092" s="39" t="str">
        <f>IF(AND($L2092=$P$7,$B2092&lt;'111'!$N$11),"x","")</f>
        <v/>
      </c>
      <c r="R2092" s="39" t="str">
        <f>IF(AND($M2092=$P$7,$B2092&lt;'111'!$N$11),"x","")</f>
        <v/>
      </c>
      <c r="S2092" s="39" t="str">
        <f>IF(ISERROR(FIND('112'!$M$9,G2092,1)),"",IF((AND(FIND('112'!$M$9,G2092,1)&gt;=1,$B2092&gt;='112'!$N$8,$B2092&lt;='112'!$O$8,OR($L2092='112'!$I$6,$M2092='112'!$I$6))),"x",""))</f>
        <v/>
      </c>
      <c r="T2092" s="39" t="str">
        <f>IF(ISERROR(FIND('112'!$M$9,G2092,1)),"",IF((AND(LEFT(G2092,2)=LEFT('112'!$M$9,2),B2092&lt;'112'!$N$8,$L2092='112'!$I$6)),"x",""))</f>
        <v/>
      </c>
      <c r="U2092" s="39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39" t="str">
        <f>IF(OR(TH!L2092=TH!$W$7,M2092=TH!$W$7),"x","")</f>
        <v/>
      </c>
      <c r="X2092" s="39" t="str">
        <f>IF(AND(B2092&gt;='IN-NX'!$P$3,B2092&lt;='IN-NX'!$Q$3,'IN-NX'!$D$7=D2092,OR(LEFT(L2092,2)="15",AND(LEFT(M2092,2)&lt;&gt;"15",LEFT(M2092,2)&lt;&gt;"33"))),"x","")</f>
        <v/>
      </c>
      <c r="Y2092" s="39" t="str">
        <f>IF(AND(OR(LEFT(TH!L2092,2)="15",LEFT(TH!M2092,2)="15"),'152-CT'!$J$8=TH!F2092),"x","")</f>
        <v/>
      </c>
      <c r="Z2092" s="39" t="str">
        <f>IF(AND(OR(LEFT(TH!L2092,2)="15",LEFT(TH!M2092,2)="15"),TK!$E$7=TH!F2092),"x","")</f>
        <v/>
      </c>
      <c r="AA2092" s="39" t="str">
        <f>IF(AND(B2092&lt;=NKC!$N$8,B2092&gt;=NKC!$M$8),"x","")</f>
        <v/>
      </c>
      <c r="AB2092" s="821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 t="str">
        <f t="shared" si="104"/>
        <v/>
      </c>
      <c r="C2093" s="191"/>
      <c r="D2093" s="191"/>
      <c r="E2093" s="731"/>
      <c r="F2093" s="189"/>
      <c r="G2093" s="40"/>
      <c r="H2093" s="7"/>
      <c r="I2093" s="256"/>
      <c r="J2093" s="256"/>
      <c r="K2093" s="56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902" t="str">
        <f>IF(AND('341-CT'!$E$9=H2093,OR(LEFT(L2093,3)=$O$7,LEFT(M2093,3)=$O$7)),"x","")</f>
        <v/>
      </c>
      <c r="P2093" s="39" t="str">
        <f>IF(AND($B2093&gt;='111'!$N$11,$B2093&lt;='111'!$O$11,OR($L2093=$P$7,$M2093=$P$7)),"x","")</f>
        <v/>
      </c>
      <c r="Q2093" s="39" t="str">
        <f>IF(AND($L2093=$P$7,$B2093&lt;'111'!$N$11),"x","")</f>
        <v/>
      </c>
      <c r="R2093" s="39" t="str">
        <f>IF(AND($M2093=$P$7,$B2093&lt;'111'!$N$11),"x","")</f>
        <v/>
      </c>
      <c r="S2093" s="39" t="str">
        <f>IF(ISERROR(FIND('112'!$M$9,G2093,1)),"",IF((AND(FIND('112'!$M$9,G2093,1)&gt;=1,$B2093&gt;='112'!$N$8,$B2093&lt;='112'!$O$8,OR($L2093='112'!$I$6,$M2093='112'!$I$6))),"x",""))</f>
        <v/>
      </c>
      <c r="T2093" s="39" t="str">
        <f>IF(ISERROR(FIND('112'!$M$9,G2093,1)),"",IF((AND(LEFT(G2093,2)=LEFT('112'!$M$9,2),B2093&lt;'112'!$N$8,$L2093='112'!$I$6)),"x",""))</f>
        <v/>
      </c>
      <c r="U2093" s="39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39" t="str">
        <f>IF(OR(TH!L2093=TH!$W$7,M2093=TH!$W$7),"x","")</f>
        <v/>
      </c>
      <c r="X2093" s="39" t="str">
        <f>IF(AND(B2093&gt;='IN-NX'!$P$3,B2093&lt;='IN-NX'!$Q$3,'IN-NX'!$D$7=D2093,OR(LEFT(L2093,2)="15",AND(LEFT(M2093,2)&lt;&gt;"15",LEFT(M2093,2)&lt;&gt;"33"))),"x","")</f>
        <v/>
      </c>
      <c r="Y2093" s="39" t="str">
        <f>IF(AND(OR(LEFT(TH!L2093,2)="15",LEFT(TH!M2093,2)="15"),'152-CT'!$J$8=TH!F2093),"x","")</f>
        <v/>
      </c>
      <c r="Z2093" s="39" t="str">
        <f>IF(AND(OR(LEFT(TH!L2093,2)="15",LEFT(TH!M2093,2)="15"),TK!$E$7=TH!F2093),"x","")</f>
        <v/>
      </c>
      <c r="AA2093" s="39" t="str">
        <f>IF(AND(B2093&lt;=NKC!$N$8,B2093&gt;=NKC!$M$8),"x","")</f>
        <v/>
      </c>
      <c r="AB2093" s="821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 t="str">
        <f t="shared" si="104"/>
        <v/>
      </c>
      <c r="C2094" s="191"/>
      <c r="D2094" s="191"/>
      <c r="E2094" s="731"/>
      <c r="F2094" s="189"/>
      <c r="G2094" s="40"/>
      <c r="H2094" s="7"/>
      <c r="I2094" s="256"/>
      <c r="J2094" s="256"/>
      <c r="K2094" s="56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902" t="str">
        <f>IF(AND('341-CT'!$E$9=H2094,OR(LEFT(L2094,3)=$O$7,LEFT(M2094,3)=$O$7)),"x","")</f>
        <v/>
      </c>
      <c r="P2094" s="39" t="str">
        <f>IF(AND($B2094&gt;='111'!$N$11,$B2094&lt;='111'!$O$11,OR($L2094=$P$7,$M2094=$P$7)),"x","")</f>
        <v/>
      </c>
      <c r="Q2094" s="39" t="str">
        <f>IF(AND($L2094=$P$7,$B2094&lt;'111'!$N$11),"x","")</f>
        <v/>
      </c>
      <c r="R2094" s="39" t="str">
        <f>IF(AND($M2094=$P$7,$B2094&lt;'111'!$N$11),"x","")</f>
        <v/>
      </c>
      <c r="S2094" s="39" t="str">
        <f>IF(ISERROR(FIND('112'!$M$9,G2094,1)),"",IF((AND(FIND('112'!$M$9,G2094,1)&gt;=1,$B2094&gt;='112'!$N$8,$B2094&lt;='112'!$O$8,OR($L2094='112'!$I$6,$M2094='112'!$I$6))),"x",""))</f>
        <v/>
      </c>
      <c r="T2094" s="39" t="str">
        <f>IF(ISERROR(FIND('112'!$M$9,G2094,1)),"",IF((AND(LEFT(G2094,2)=LEFT('112'!$M$9,2),B2094&lt;'112'!$N$8,$L2094='112'!$I$6)),"x",""))</f>
        <v/>
      </c>
      <c r="U2094" s="39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39" t="str">
        <f>IF(OR(TH!L2094=TH!$W$7,M2094=TH!$W$7),"x","")</f>
        <v/>
      </c>
      <c r="X2094" s="39" t="str">
        <f>IF(AND(B2094&gt;='IN-NX'!$P$3,B2094&lt;='IN-NX'!$Q$3,'IN-NX'!$D$7=D2094,OR(LEFT(L2094,2)="15",AND(LEFT(M2094,2)&lt;&gt;"15",LEFT(M2094,2)&lt;&gt;"33"))),"x","")</f>
        <v/>
      </c>
      <c r="Y2094" s="39" t="str">
        <f>IF(AND(OR(LEFT(TH!L2094,2)="15",LEFT(TH!M2094,2)="15"),'152-CT'!$J$8=TH!F2094),"x","")</f>
        <v/>
      </c>
      <c r="Z2094" s="39" t="str">
        <f>IF(AND(OR(LEFT(TH!L2094,2)="15",LEFT(TH!M2094,2)="15"),TK!$E$7=TH!F2094),"x","")</f>
        <v/>
      </c>
      <c r="AA2094" s="39" t="str">
        <f>IF(AND(B2094&lt;=NKC!$N$8,B2094&gt;=NKC!$M$8),"x","")</f>
        <v/>
      </c>
      <c r="AB2094" s="821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 t="str">
        <f t="shared" si="104"/>
        <v/>
      </c>
      <c r="C2095" s="191"/>
      <c r="D2095" s="191"/>
      <c r="E2095" s="731"/>
      <c r="F2095" s="189"/>
      <c r="G2095" s="40"/>
      <c r="H2095" s="7"/>
      <c r="I2095" s="256"/>
      <c r="J2095" s="256"/>
      <c r="K2095" s="56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902" t="str">
        <f>IF(AND('341-CT'!$E$9=H2095,OR(LEFT(L2095,3)=$O$7,LEFT(M2095,3)=$O$7)),"x","")</f>
        <v/>
      </c>
      <c r="P2095" s="39" t="str">
        <f>IF(AND($B2095&gt;='111'!$N$11,$B2095&lt;='111'!$O$11,OR($L2095=$P$7,$M2095=$P$7)),"x","")</f>
        <v/>
      </c>
      <c r="Q2095" s="39" t="str">
        <f>IF(AND($L2095=$P$7,$B2095&lt;'111'!$N$11),"x","")</f>
        <v/>
      </c>
      <c r="R2095" s="39" t="str">
        <f>IF(AND($M2095=$P$7,$B2095&lt;'111'!$N$11),"x","")</f>
        <v/>
      </c>
      <c r="S2095" s="39" t="str">
        <f>IF(ISERROR(FIND('112'!$M$9,G2095,1)),"",IF((AND(FIND('112'!$M$9,G2095,1)&gt;=1,$B2095&gt;='112'!$N$8,$B2095&lt;='112'!$O$8,OR($L2095='112'!$I$6,$M2095='112'!$I$6))),"x",""))</f>
        <v/>
      </c>
      <c r="T2095" s="39" t="str">
        <f>IF(ISERROR(FIND('112'!$M$9,G2095,1)),"",IF((AND(LEFT(G2095,2)=LEFT('112'!$M$9,2),B2095&lt;'112'!$N$8,$L2095='112'!$I$6)),"x",""))</f>
        <v/>
      </c>
      <c r="U2095" s="39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39" t="str">
        <f>IF(OR(TH!L2095=TH!$W$7,M2095=TH!$W$7),"x","")</f>
        <v/>
      </c>
      <c r="X2095" s="39" t="str">
        <f>IF(AND(B2095&gt;='IN-NX'!$P$3,B2095&lt;='IN-NX'!$Q$3,'IN-NX'!$D$7=D2095,OR(LEFT(L2095,2)="15",AND(LEFT(M2095,2)&lt;&gt;"15",LEFT(M2095,2)&lt;&gt;"33"))),"x","")</f>
        <v/>
      </c>
      <c r="Y2095" s="39" t="str">
        <f>IF(AND(OR(LEFT(TH!L2095,2)="15",LEFT(TH!M2095,2)="15"),'152-CT'!$J$8=TH!F2095),"x","")</f>
        <v/>
      </c>
      <c r="Z2095" s="39" t="str">
        <f>IF(AND(OR(LEFT(TH!L2095,2)="15",LEFT(TH!M2095,2)="15"),TK!$E$7=TH!F2095),"x","")</f>
        <v/>
      </c>
      <c r="AA2095" s="39" t="str">
        <f>IF(AND(B2095&lt;=NKC!$N$8,B2095&gt;=NKC!$M$8),"x","")</f>
        <v/>
      </c>
      <c r="AB2095" s="821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 t="str">
        <f t="shared" si="104"/>
        <v/>
      </c>
      <c r="C2096" s="191"/>
      <c r="D2096" s="191"/>
      <c r="E2096" s="731"/>
      <c r="F2096" s="189"/>
      <c r="G2096" s="40"/>
      <c r="H2096" s="7"/>
      <c r="I2096" s="256"/>
      <c r="J2096" s="256"/>
      <c r="K2096" s="56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902" t="str">
        <f>IF(AND('341-CT'!$E$9=H2096,OR(LEFT(L2096,3)=$O$7,LEFT(M2096,3)=$O$7)),"x","")</f>
        <v/>
      </c>
      <c r="P2096" s="39" t="str">
        <f>IF(AND($B2096&gt;='111'!$N$11,$B2096&lt;='111'!$O$11,OR($L2096=$P$7,$M2096=$P$7)),"x","")</f>
        <v/>
      </c>
      <c r="Q2096" s="39" t="str">
        <f>IF(AND($L2096=$P$7,$B2096&lt;'111'!$N$11),"x","")</f>
        <v/>
      </c>
      <c r="R2096" s="39" t="str">
        <f>IF(AND($M2096=$P$7,$B2096&lt;'111'!$N$11),"x","")</f>
        <v/>
      </c>
      <c r="S2096" s="39" t="str">
        <f>IF(ISERROR(FIND('112'!$M$9,G2096,1)),"",IF((AND(FIND('112'!$M$9,G2096,1)&gt;=1,$B2096&gt;='112'!$N$8,$B2096&lt;='112'!$O$8,OR($L2096='112'!$I$6,$M2096='112'!$I$6))),"x",""))</f>
        <v/>
      </c>
      <c r="T2096" s="39" t="str">
        <f>IF(ISERROR(FIND('112'!$M$9,G2096,1)),"",IF((AND(LEFT(G2096,2)=LEFT('112'!$M$9,2),B2096&lt;'112'!$N$8,$L2096='112'!$I$6)),"x",""))</f>
        <v/>
      </c>
      <c r="U2096" s="39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39" t="str">
        <f>IF(OR(TH!L2096=TH!$W$7,M2096=TH!$W$7),"x","")</f>
        <v/>
      </c>
      <c r="X2096" s="39" t="str">
        <f>IF(AND(B2096&gt;='IN-NX'!$P$3,B2096&lt;='IN-NX'!$Q$3,'IN-NX'!$D$7=D2096,OR(LEFT(L2096,2)="15",AND(LEFT(M2096,2)&lt;&gt;"15",LEFT(M2096,2)&lt;&gt;"33"))),"x","")</f>
        <v/>
      </c>
      <c r="Y2096" s="39" t="str">
        <f>IF(AND(OR(LEFT(TH!L2096,2)="15",LEFT(TH!M2096,2)="15"),'152-CT'!$J$8=TH!F2096),"x","")</f>
        <v/>
      </c>
      <c r="Z2096" s="39" t="str">
        <f>IF(AND(OR(LEFT(TH!L2096,2)="15",LEFT(TH!M2096,2)="15"),TK!$E$7=TH!F2096),"x","")</f>
        <v/>
      </c>
      <c r="AA2096" s="39" t="str">
        <f>IF(AND(B2096&lt;=NKC!$N$8,B2096&gt;=NKC!$M$8),"x","")</f>
        <v/>
      </c>
      <c r="AB2096" s="821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104"/>
        <v/>
      </c>
      <c r="C2097" s="191"/>
      <c r="D2097" s="191"/>
      <c r="E2097" s="731"/>
      <c r="F2097" s="189"/>
      <c r="G2097" s="40"/>
      <c r="H2097" s="7"/>
      <c r="I2097" s="256"/>
      <c r="J2097" s="256"/>
      <c r="K2097" s="56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902" t="str">
        <f>IF(AND('341-CT'!$E$9=H2097,OR(LEFT(L2097,3)=$O$7,LEFT(M2097,3)=$O$7)),"x","")</f>
        <v/>
      </c>
      <c r="P2097" s="39" t="str">
        <f>IF(AND($B2097&gt;='111'!$N$11,$B2097&lt;='111'!$O$11,OR($L2097=$P$7,$M2097=$P$7)),"x","")</f>
        <v/>
      </c>
      <c r="Q2097" s="39" t="str">
        <f>IF(AND($L2097=$P$7,$B2097&lt;'111'!$N$11),"x","")</f>
        <v/>
      </c>
      <c r="R2097" s="39" t="str">
        <f>IF(AND($M2097=$P$7,$B2097&lt;'111'!$N$11),"x","")</f>
        <v/>
      </c>
      <c r="S2097" s="39" t="str">
        <f>IF(ISERROR(FIND('112'!$M$9,G2097,1)),"",IF((AND(FIND('112'!$M$9,G2097,1)&gt;=1,$B2097&gt;='112'!$N$8,$B2097&lt;='112'!$O$8,OR($L2097='112'!$I$6,$M2097='112'!$I$6))),"x",""))</f>
        <v/>
      </c>
      <c r="T2097" s="39" t="str">
        <f>IF(ISERROR(FIND('112'!$M$9,G2097,1)),"",IF((AND(LEFT(G2097,2)=LEFT('112'!$M$9,2),B2097&lt;'112'!$N$8,$L2097='112'!$I$6)),"x",""))</f>
        <v/>
      </c>
      <c r="U2097" s="39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39" t="str">
        <f>IF(OR(TH!L2097=TH!$W$7,M2097=TH!$W$7),"x","")</f>
        <v/>
      </c>
      <c r="X2097" s="39" t="str">
        <f>IF(AND(B2097&gt;='IN-NX'!$P$3,B2097&lt;='IN-NX'!$Q$3,'IN-NX'!$D$7=D2097,OR(LEFT(L2097,2)="15",AND(LEFT(M2097,2)&lt;&gt;"15",LEFT(M2097,2)&lt;&gt;"33"))),"x","")</f>
        <v/>
      </c>
      <c r="Y2097" s="39" t="str">
        <f>IF(AND(OR(LEFT(TH!L2097,2)="15",LEFT(TH!M2097,2)="15"),'152-CT'!$J$8=TH!F2097),"x","")</f>
        <v/>
      </c>
      <c r="Z2097" s="39" t="str">
        <f>IF(AND(OR(LEFT(TH!L2097,2)="15",LEFT(TH!M2097,2)="15"),TK!$E$7=TH!F2097),"x","")</f>
        <v/>
      </c>
      <c r="AA2097" s="39" t="str">
        <f>IF(AND(B2097&lt;=NKC!$N$8,B2097&gt;=NKC!$M$8),"x","")</f>
        <v/>
      </c>
      <c r="AB2097" s="821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104"/>
        <v/>
      </c>
      <c r="C2098" s="191"/>
      <c r="D2098" s="191"/>
      <c r="E2098" s="731"/>
      <c r="F2098" s="189"/>
      <c r="G2098" s="40"/>
      <c r="H2098" s="7"/>
      <c r="I2098" s="256"/>
      <c r="J2098" s="256"/>
      <c r="K2098" s="56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902" t="str">
        <f>IF(AND('341-CT'!$E$9=H2098,OR(LEFT(L2098,3)=$O$7,LEFT(M2098,3)=$O$7)),"x","")</f>
        <v/>
      </c>
      <c r="P2098" s="39" t="str">
        <f>IF(AND($B2098&gt;='111'!$N$11,$B2098&lt;='111'!$O$11,OR($L2098=$P$7,$M2098=$P$7)),"x","")</f>
        <v/>
      </c>
      <c r="Q2098" s="39" t="str">
        <f>IF(AND($L2098=$P$7,$B2098&lt;'111'!$N$11),"x","")</f>
        <v/>
      </c>
      <c r="R2098" s="39" t="str">
        <f>IF(AND($M2098=$P$7,$B2098&lt;'111'!$N$11),"x","")</f>
        <v/>
      </c>
      <c r="S2098" s="39" t="str">
        <f>IF(ISERROR(FIND('112'!$M$9,G2098,1)),"",IF((AND(FIND('112'!$M$9,G2098,1)&gt;=1,$B2098&gt;='112'!$N$8,$B2098&lt;='112'!$O$8,OR($L2098='112'!$I$6,$M2098='112'!$I$6))),"x",""))</f>
        <v/>
      </c>
      <c r="T2098" s="39" t="str">
        <f>IF(ISERROR(FIND('112'!$M$9,G2098,1)),"",IF((AND(LEFT(G2098,2)=LEFT('112'!$M$9,2),B2098&lt;'112'!$N$8,$L2098='112'!$I$6)),"x",""))</f>
        <v/>
      </c>
      <c r="U2098" s="39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39" t="str">
        <f>IF(OR(TH!L2098=TH!$W$7,M2098=TH!$W$7),"x","")</f>
        <v/>
      </c>
      <c r="X2098" s="39" t="str">
        <f>IF(AND(B2098&gt;='IN-NX'!$P$3,B2098&lt;='IN-NX'!$Q$3,'IN-NX'!$D$7=D2098,OR(LEFT(L2098,2)="15",AND(LEFT(M2098,2)&lt;&gt;"15",LEFT(M2098,2)&lt;&gt;"33"))),"x","")</f>
        <v/>
      </c>
      <c r="Y2098" s="39" t="str">
        <f>IF(AND(OR(LEFT(TH!L2098,2)="15",LEFT(TH!M2098,2)="15"),'152-CT'!$J$8=TH!F2098),"x","")</f>
        <v/>
      </c>
      <c r="Z2098" s="39" t="str">
        <f>IF(AND(OR(LEFT(TH!L2098,2)="15",LEFT(TH!M2098,2)="15"),TK!$E$7=TH!F2098),"x","")</f>
        <v/>
      </c>
      <c r="AA2098" s="39" t="str">
        <f>IF(AND(B2098&lt;=NKC!$N$8,B2098&gt;=NKC!$M$8),"x","")</f>
        <v/>
      </c>
      <c r="AB2098" s="821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104"/>
        <v/>
      </c>
      <c r="C2099" s="191"/>
      <c r="D2099" s="191"/>
      <c r="E2099" s="731"/>
      <c r="F2099" s="189"/>
      <c r="G2099" s="40"/>
      <c r="H2099" s="7"/>
      <c r="I2099" s="256"/>
      <c r="J2099" s="256"/>
      <c r="K2099" s="56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902" t="str">
        <f>IF(AND('341-CT'!$E$9=H2099,OR(LEFT(L2099,3)=$O$7,LEFT(M2099,3)=$O$7)),"x","")</f>
        <v/>
      </c>
      <c r="P2099" s="39" t="str">
        <f>IF(AND($B2099&gt;='111'!$N$11,$B2099&lt;='111'!$O$11,OR($L2099=$P$7,$M2099=$P$7)),"x","")</f>
        <v/>
      </c>
      <c r="Q2099" s="39" t="str">
        <f>IF(AND($L2099=$P$7,$B2099&lt;'111'!$N$11),"x","")</f>
        <v/>
      </c>
      <c r="R2099" s="39" t="str">
        <f>IF(AND($M2099=$P$7,$B2099&lt;'111'!$N$11),"x","")</f>
        <v/>
      </c>
      <c r="S2099" s="39" t="str">
        <f>IF(ISERROR(FIND('112'!$M$9,G2099,1)),"",IF((AND(FIND('112'!$M$9,G2099,1)&gt;=1,$B2099&gt;='112'!$N$8,$B2099&lt;='112'!$O$8,OR($L2099='112'!$I$6,$M2099='112'!$I$6))),"x",""))</f>
        <v/>
      </c>
      <c r="T2099" s="39" t="str">
        <f>IF(ISERROR(FIND('112'!$M$9,G2099,1)),"",IF((AND(LEFT(G2099,2)=LEFT('112'!$M$9,2),B2099&lt;'112'!$N$8,$L2099='112'!$I$6)),"x",""))</f>
        <v/>
      </c>
      <c r="U2099" s="39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39" t="str">
        <f>IF(OR(TH!L2099=TH!$W$7,M2099=TH!$W$7),"x","")</f>
        <v/>
      </c>
      <c r="X2099" s="39" t="str">
        <f>IF(AND(B2099&gt;='IN-NX'!$P$3,B2099&lt;='IN-NX'!$Q$3,'IN-NX'!$D$7=D2099,OR(LEFT(L2099,2)="15",AND(LEFT(M2099,2)&lt;&gt;"15",LEFT(M2099,2)&lt;&gt;"33"))),"x","")</f>
        <v/>
      </c>
      <c r="Y2099" s="39" t="str">
        <f>IF(AND(OR(LEFT(TH!L2099,2)="15",LEFT(TH!M2099,2)="15"),'152-CT'!$J$8=TH!F2099),"x","")</f>
        <v/>
      </c>
      <c r="Z2099" s="39" t="str">
        <f>IF(AND(OR(LEFT(TH!L2099,2)="15",LEFT(TH!M2099,2)="15"),TK!$E$7=TH!F2099),"x","")</f>
        <v/>
      </c>
      <c r="AA2099" s="39" t="str">
        <f>IF(AND(B2099&lt;=NKC!$N$8,B2099&gt;=NKC!$M$8),"x","")</f>
        <v/>
      </c>
      <c r="AB2099" s="821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si="104"/>
        <v/>
      </c>
      <c r="C2100" s="191"/>
      <c r="D2100" s="191"/>
      <c r="E2100" s="731"/>
      <c r="F2100" s="40"/>
      <c r="G2100" s="40"/>
      <c r="H2100" s="7"/>
      <c r="I2100" s="256"/>
      <c r="J2100" s="256"/>
      <c r="K2100" s="56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902" t="str">
        <f>IF(AND('341-CT'!$E$9=H2100,OR(LEFT(L2100,3)=$O$7,LEFT(M2100,3)=$O$7)),"x","")</f>
        <v/>
      </c>
      <c r="P2100" s="39" t="str">
        <f>IF(AND($B2100&gt;='111'!$N$11,$B2100&lt;='111'!$O$11,OR($L2100=$P$7,$M2100=$P$7)),"x","")</f>
        <v/>
      </c>
      <c r="Q2100" s="39" t="str">
        <f>IF(AND($L2100=$P$7,$B2100&lt;'111'!$N$11),"x","")</f>
        <v/>
      </c>
      <c r="R2100" s="39" t="str">
        <f>IF(AND($M2100=$P$7,$B2100&lt;'111'!$N$11),"x","")</f>
        <v/>
      </c>
      <c r="S2100" s="39" t="str">
        <f>IF(ISERROR(FIND('112'!$M$9,G2100,1)),"",IF((AND(FIND('112'!$M$9,G2100,1)&gt;=1,$B2100&gt;='112'!$N$8,$B2100&lt;='112'!$O$8,OR($L2100='112'!$I$6,$M2100='112'!$I$6))),"x",""))</f>
        <v/>
      </c>
      <c r="T2100" s="39" t="str">
        <f>IF(ISERROR(FIND('112'!$M$9,G2100,1)),"",IF((AND(LEFT(G2100,2)=LEFT('112'!$M$9,2),B2100&lt;'112'!$N$8,$L2100='112'!$I$6)),"x",""))</f>
        <v/>
      </c>
      <c r="U2100" s="39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39" t="str">
        <f>IF(OR(TH!L2100=TH!$W$7,M2100=TH!$W$7),"x","")</f>
        <v/>
      </c>
      <c r="X2100" s="39" t="str">
        <f>IF(AND(B2100&gt;='IN-NX'!$P$3,B2100&lt;='IN-NX'!$Q$3,'IN-NX'!$D$7=D2100,OR(LEFT(L2100,2)="15",AND(LEFT(M2100,2)&lt;&gt;"15",LEFT(M2100,2)&lt;&gt;"33"))),"x","")</f>
        <v/>
      </c>
      <c r="Y2100" s="39" t="str">
        <f>IF(AND(OR(LEFT(TH!L2100,2)="15",LEFT(TH!M2100,2)="15"),'152-CT'!$J$8=TH!F2100),"x","")</f>
        <v/>
      </c>
      <c r="Z2100" s="39" t="str">
        <f>IF(AND(OR(LEFT(TH!L2100,2)="15",LEFT(TH!M2100,2)="15"),TK!$E$7=TH!F2100),"x","")</f>
        <v/>
      </c>
      <c r="AA2100" s="39" t="str">
        <f>IF(AND(B2100&lt;=NKC!$N$8,B2100&gt;=NKC!$M$8),"x","")</f>
        <v/>
      </c>
      <c r="AB2100" s="821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104"/>
        <v/>
      </c>
      <c r="C2101" s="191"/>
      <c r="D2101" s="191"/>
      <c r="E2101" s="731"/>
      <c r="F2101" s="443"/>
      <c r="G2101" s="40"/>
      <c r="H2101" s="7"/>
      <c r="I2101" s="256"/>
      <c r="J2101" s="256"/>
      <c r="K2101" s="56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902" t="str">
        <f>IF(AND('341-CT'!$E$9=H2101,OR(LEFT(L2101,3)=$O$7,LEFT(M2101,3)=$O$7)),"x","")</f>
        <v/>
      </c>
      <c r="P2101" s="39" t="str">
        <f>IF(AND($B2101&gt;='111'!$N$11,$B2101&lt;='111'!$O$11,OR($L2101=$P$7,$M2101=$P$7)),"x","")</f>
        <v/>
      </c>
      <c r="Q2101" s="39" t="str">
        <f>IF(AND($L2101=$P$7,$B2101&lt;'111'!$N$11),"x","")</f>
        <v/>
      </c>
      <c r="R2101" s="39" t="str">
        <f>IF(AND($M2101=$P$7,$B2101&lt;'111'!$N$11),"x","")</f>
        <v/>
      </c>
      <c r="S2101" s="39" t="str">
        <f>IF(ISERROR(FIND('112'!$M$9,G2101,1)),"",IF((AND(FIND('112'!$M$9,G2101,1)&gt;=1,$B2101&gt;='112'!$N$8,$B2101&lt;='112'!$O$8,OR($L2101='112'!$I$6,$M2101='112'!$I$6))),"x",""))</f>
        <v/>
      </c>
      <c r="T2101" s="39" t="str">
        <f>IF(ISERROR(FIND('112'!$M$9,G2101,1)),"",IF((AND(LEFT(G2101,2)=LEFT('112'!$M$9,2),B2101&lt;'112'!$N$8,$L2101='112'!$I$6)),"x",""))</f>
        <v/>
      </c>
      <c r="U2101" s="39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39" t="str">
        <f>IF(OR(TH!L2101=TH!$W$7,M2101=TH!$W$7),"x","")</f>
        <v/>
      </c>
      <c r="X2101" s="39" t="str">
        <f>IF(AND(B2101&gt;='IN-NX'!$P$3,B2101&lt;='IN-NX'!$Q$3,'IN-NX'!$D$7=D2101,OR(LEFT(L2101,2)="15",AND(LEFT(M2101,2)&lt;&gt;"15",LEFT(M2101,2)&lt;&gt;"33"))),"x","")</f>
        <v/>
      </c>
      <c r="Y2101" s="39" t="str">
        <f>IF(AND(OR(LEFT(TH!L2101,2)="15",LEFT(TH!M2101,2)="15"),'152-CT'!$J$8=TH!F2101),"x","")</f>
        <v/>
      </c>
      <c r="Z2101" s="39" t="str">
        <f>IF(AND(OR(LEFT(TH!L2101,2)="15",LEFT(TH!M2101,2)="15"),TK!$E$7=TH!F2101),"x","")</f>
        <v/>
      </c>
      <c r="AA2101" s="39" t="str">
        <f>IF(AND(B2101&lt;=NKC!$N$8,B2101&gt;=NKC!$M$8),"x","")</f>
        <v/>
      </c>
      <c r="AB2101" s="821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104"/>
        <v/>
      </c>
      <c r="C2102" s="191"/>
      <c r="D2102" s="191"/>
      <c r="E2102" s="731"/>
      <c r="F2102" s="189"/>
      <c r="G2102" s="40"/>
      <c r="H2102" s="7"/>
      <c r="I2102" s="256"/>
      <c r="J2102" s="256"/>
      <c r="K2102" s="56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902" t="str">
        <f>IF(AND('341-CT'!$E$9=H2102,OR(LEFT(L2102,3)=$O$7,LEFT(M2102,3)=$O$7)),"x","")</f>
        <v/>
      </c>
      <c r="P2102" s="39" t="str">
        <f>IF(AND($B2102&gt;='111'!$N$11,$B2102&lt;='111'!$O$11,OR($L2102=$P$7,$M2102=$P$7)),"x","")</f>
        <v/>
      </c>
      <c r="Q2102" s="39" t="str">
        <f>IF(AND($L2102=$P$7,$B2102&lt;'111'!$N$11),"x","")</f>
        <v/>
      </c>
      <c r="R2102" s="39" t="str">
        <f>IF(AND($M2102=$P$7,$B2102&lt;'111'!$N$11),"x","")</f>
        <v/>
      </c>
      <c r="S2102" s="39" t="str">
        <f>IF(ISERROR(FIND('112'!$M$9,G2102,1)),"",IF((AND(FIND('112'!$M$9,G2102,1)&gt;=1,$B2102&gt;='112'!$N$8,$B2102&lt;='112'!$O$8,OR($L2102='112'!$I$6,$M2102='112'!$I$6))),"x",""))</f>
        <v/>
      </c>
      <c r="T2102" s="39" t="str">
        <f>IF(ISERROR(FIND('112'!$M$9,G2102,1)),"",IF((AND(LEFT(G2102,2)=LEFT('112'!$M$9,2),B2102&lt;'112'!$N$8,$L2102='112'!$I$6)),"x",""))</f>
        <v/>
      </c>
      <c r="U2102" s="39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39" t="str">
        <f>IF(OR(TH!L2102=TH!$W$7,M2102=TH!$W$7),"x","")</f>
        <v/>
      </c>
      <c r="X2102" s="39" t="str">
        <f>IF(AND(B2102&gt;='IN-NX'!$P$3,B2102&lt;='IN-NX'!$Q$3,'IN-NX'!$D$7=D2102,OR(LEFT(L2102,2)="15",AND(LEFT(M2102,2)&lt;&gt;"15",LEFT(M2102,2)&lt;&gt;"33"))),"x","")</f>
        <v/>
      </c>
      <c r="Y2102" s="39" t="str">
        <f>IF(AND(OR(LEFT(TH!L2102,2)="15",LEFT(TH!M2102,2)="15"),'152-CT'!$J$8=TH!F2102),"x","")</f>
        <v/>
      </c>
      <c r="Z2102" s="39" t="str">
        <f>IF(AND(OR(LEFT(TH!L2102,2)="15",LEFT(TH!M2102,2)="15"),TK!$E$7=TH!F2102),"x","")</f>
        <v/>
      </c>
      <c r="AA2102" s="39" t="str">
        <f>IF(AND(B2102&lt;=NKC!$N$8,B2102&gt;=NKC!$M$8),"x","")</f>
        <v/>
      </c>
      <c r="AB2102" s="821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104"/>
        <v/>
      </c>
      <c r="C2103" s="191"/>
      <c r="D2103" s="191"/>
      <c r="E2103" s="731"/>
      <c r="F2103" s="40"/>
      <c r="G2103" s="40"/>
      <c r="H2103" s="7"/>
      <c r="I2103" s="256"/>
      <c r="J2103" s="256"/>
      <c r="K2103" s="56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902" t="str">
        <f>IF(AND('341-CT'!$E$9=H2103,OR(LEFT(L2103,3)=$O$7,LEFT(M2103,3)=$O$7)),"x","")</f>
        <v/>
      </c>
      <c r="P2103" s="39" t="str">
        <f>IF(AND($B2103&gt;='111'!$N$11,$B2103&lt;='111'!$O$11,OR($L2103=$P$7,$M2103=$P$7)),"x","")</f>
        <v/>
      </c>
      <c r="Q2103" s="39" t="str">
        <f>IF(AND($L2103=$P$7,$B2103&lt;'111'!$N$11),"x","")</f>
        <v/>
      </c>
      <c r="R2103" s="39" t="str">
        <f>IF(AND($M2103=$P$7,$B2103&lt;'111'!$N$11),"x","")</f>
        <v/>
      </c>
      <c r="S2103" s="39" t="str">
        <f>IF(ISERROR(FIND('112'!$M$9,G2103,1)),"",IF((AND(FIND('112'!$M$9,G2103,1)&gt;=1,$B2103&gt;='112'!$N$8,$B2103&lt;='112'!$O$8,OR($L2103='112'!$I$6,$M2103='112'!$I$6))),"x",""))</f>
        <v/>
      </c>
      <c r="T2103" s="39" t="str">
        <f>IF(ISERROR(FIND('112'!$M$9,G2103,1)),"",IF((AND(LEFT(G2103,2)=LEFT('112'!$M$9,2),B2103&lt;'112'!$N$8,$L2103='112'!$I$6)),"x",""))</f>
        <v/>
      </c>
      <c r="U2103" s="39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39" t="str">
        <f>IF(OR(TH!L2103=TH!$W$7,M2103=TH!$W$7),"x","")</f>
        <v/>
      </c>
      <c r="X2103" s="39" t="str">
        <f>IF(AND(B2103&gt;='IN-NX'!$P$3,B2103&lt;='IN-NX'!$Q$3,'IN-NX'!$D$7=D2103,OR(LEFT(L2103,2)="15",AND(LEFT(M2103,2)&lt;&gt;"15",LEFT(M2103,2)&lt;&gt;"33"))),"x","")</f>
        <v/>
      </c>
      <c r="Y2103" s="39" t="str">
        <f>IF(AND(OR(LEFT(TH!L2103,2)="15",LEFT(TH!M2103,2)="15"),'152-CT'!$J$8=TH!F2103),"x","")</f>
        <v/>
      </c>
      <c r="Z2103" s="39" t="str">
        <f>IF(AND(OR(LEFT(TH!L2103,2)="15",LEFT(TH!M2103,2)="15"),TK!$E$7=TH!F2103),"x","")</f>
        <v/>
      </c>
      <c r="AA2103" s="39" t="str">
        <f>IF(AND(B2103&lt;=NKC!$N$8,B2103&gt;=NKC!$M$8),"x","")</f>
        <v/>
      </c>
      <c r="AB2103" s="821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104"/>
        <v/>
      </c>
      <c r="C2104" s="191"/>
      <c r="D2104" s="191"/>
      <c r="E2104" s="731"/>
      <c r="F2104" s="189"/>
      <c r="G2104" s="40"/>
      <c r="H2104" s="7"/>
      <c r="I2104" s="256"/>
      <c r="J2104" s="256"/>
      <c r="K2104" s="56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902" t="str">
        <f>IF(AND('341-CT'!$E$9=H2104,OR(LEFT(L2104,3)=$O$7,LEFT(M2104,3)=$O$7)),"x","")</f>
        <v/>
      </c>
      <c r="P2104" s="39" t="str">
        <f>IF(AND($B2104&gt;='111'!$N$11,$B2104&lt;='111'!$O$11,OR($L2104=$P$7,$M2104=$P$7)),"x","")</f>
        <v/>
      </c>
      <c r="Q2104" s="39" t="str">
        <f>IF(AND($L2104=$P$7,$B2104&lt;'111'!$N$11),"x","")</f>
        <v/>
      </c>
      <c r="R2104" s="39" t="str">
        <f>IF(AND($M2104=$P$7,$B2104&lt;'111'!$N$11),"x","")</f>
        <v/>
      </c>
      <c r="S2104" s="39" t="str">
        <f>IF(ISERROR(FIND('112'!$M$9,G2104,1)),"",IF((AND(FIND('112'!$M$9,G2104,1)&gt;=1,$B2104&gt;='112'!$N$8,$B2104&lt;='112'!$O$8,OR($L2104='112'!$I$6,$M2104='112'!$I$6))),"x",""))</f>
        <v/>
      </c>
      <c r="T2104" s="39" t="str">
        <f>IF(ISERROR(FIND('112'!$M$9,G2104,1)),"",IF((AND(LEFT(G2104,2)=LEFT('112'!$M$9,2),B2104&lt;'112'!$N$8,$L2104='112'!$I$6)),"x",""))</f>
        <v/>
      </c>
      <c r="U2104" s="39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39" t="str">
        <f>IF(OR(TH!L2104=TH!$W$7,M2104=TH!$W$7),"x","")</f>
        <v/>
      </c>
      <c r="X2104" s="39" t="str">
        <f>IF(AND(B2104&gt;='IN-NX'!$P$3,B2104&lt;='IN-NX'!$Q$3,'IN-NX'!$D$7=D2104,OR(LEFT(L2104,2)="15",AND(LEFT(M2104,2)&lt;&gt;"15",LEFT(M2104,2)&lt;&gt;"33"))),"x","")</f>
        <v/>
      </c>
      <c r="Y2104" s="39" t="str">
        <f>IF(AND(OR(LEFT(TH!L2104,2)="15",LEFT(TH!M2104,2)="15"),'152-CT'!$J$8=TH!F2104),"x","")</f>
        <v/>
      </c>
      <c r="Z2104" s="39" t="str">
        <f>IF(AND(OR(LEFT(TH!L2104,2)="15",LEFT(TH!M2104,2)="15"),TK!$E$7=TH!F2104),"x","")</f>
        <v/>
      </c>
      <c r="AA2104" s="39" t="str">
        <f>IF(AND(B2104&lt;=NKC!$N$8,B2104&gt;=NKC!$M$8),"x","")</f>
        <v/>
      </c>
      <c r="AB2104" s="821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ref="B2105:B2168" si="105">IF(C2105&lt;&gt;"",MONTH(C2105),"")</f>
        <v/>
      </c>
      <c r="C2105" s="191"/>
      <c r="D2105" s="191"/>
      <c r="E2105" s="731"/>
      <c r="F2105" s="189"/>
      <c r="G2105" s="40"/>
      <c r="H2105" s="7"/>
      <c r="I2105" s="256"/>
      <c r="J2105" s="256"/>
      <c r="K2105" s="56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902" t="str">
        <f>IF(AND('341-CT'!$E$9=H2105,OR(LEFT(L2105,3)=$O$7,LEFT(M2105,3)=$O$7)),"x","")</f>
        <v/>
      </c>
      <c r="P2105" s="39" t="str">
        <f>IF(AND($B2105&gt;='111'!$N$11,$B2105&lt;='111'!$O$11,OR($L2105=$P$7,$M2105=$P$7)),"x","")</f>
        <v/>
      </c>
      <c r="Q2105" s="39" t="str">
        <f>IF(AND($L2105=$P$7,$B2105&lt;'111'!$N$11),"x","")</f>
        <v/>
      </c>
      <c r="R2105" s="39" t="str">
        <f>IF(AND($M2105=$P$7,$B2105&lt;'111'!$N$11),"x","")</f>
        <v/>
      </c>
      <c r="S2105" s="39" t="str">
        <f>IF(ISERROR(FIND('112'!$M$9,G2105,1)),"",IF((AND(FIND('112'!$M$9,G2105,1)&gt;=1,$B2105&gt;='112'!$N$8,$B2105&lt;='112'!$O$8,OR($L2105='112'!$I$6,$M2105='112'!$I$6))),"x",""))</f>
        <v/>
      </c>
      <c r="T2105" s="39" t="str">
        <f>IF(ISERROR(FIND('112'!$M$9,G2105,1)),"",IF((AND(LEFT(G2105,2)=LEFT('112'!$M$9,2),B2105&lt;'112'!$N$8,$L2105='112'!$I$6)),"x",""))</f>
        <v/>
      </c>
      <c r="U2105" s="39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39" t="str">
        <f>IF(OR(TH!L2105=TH!$W$7,M2105=TH!$W$7),"x","")</f>
        <v/>
      </c>
      <c r="X2105" s="39" t="str">
        <f>IF(AND(B2105&gt;='IN-NX'!$P$3,B2105&lt;='IN-NX'!$Q$3,'IN-NX'!$D$7=D2105,OR(LEFT(L2105,2)="15",AND(LEFT(M2105,2)&lt;&gt;"15",LEFT(M2105,2)&lt;&gt;"33"))),"x","")</f>
        <v/>
      </c>
      <c r="Y2105" s="39" t="str">
        <f>IF(AND(OR(LEFT(TH!L2105,2)="15",LEFT(TH!M2105,2)="15"),'152-CT'!$J$8=TH!F2105),"x","")</f>
        <v/>
      </c>
      <c r="Z2105" s="39" t="str">
        <f>IF(AND(OR(LEFT(TH!L2105,2)="15",LEFT(TH!M2105,2)="15"),TK!$E$7=TH!F2105),"x","")</f>
        <v/>
      </c>
      <c r="AA2105" s="39" t="str">
        <f>IF(AND(B2105&lt;=NKC!$N$8,B2105&gt;=NKC!$M$8),"x","")</f>
        <v/>
      </c>
      <c r="AB2105" s="821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105"/>
        <v/>
      </c>
      <c r="C2106" s="191"/>
      <c r="D2106" s="191"/>
      <c r="E2106" s="731"/>
      <c r="F2106" s="189"/>
      <c r="G2106" s="40"/>
      <c r="H2106" s="7"/>
      <c r="I2106" s="256"/>
      <c r="J2106" s="256"/>
      <c r="K2106" s="56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902" t="str">
        <f>IF(AND('341-CT'!$E$9=H2106,OR(LEFT(L2106,3)=$O$7,LEFT(M2106,3)=$O$7)),"x","")</f>
        <v/>
      </c>
      <c r="P2106" s="39" t="str">
        <f>IF(AND($B2106&gt;='111'!$N$11,$B2106&lt;='111'!$O$11,OR($L2106=$P$7,$M2106=$P$7)),"x","")</f>
        <v/>
      </c>
      <c r="Q2106" s="39" t="str">
        <f>IF(AND($L2106=$P$7,$B2106&lt;'111'!$N$11),"x","")</f>
        <v/>
      </c>
      <c r="R2106" s="39" t="str">
        <f>IF(AND($M2106=$P$7,$B2106&lt;'111'!$N$11),"x","")</f>
        <v/>
      </c>
      <c r="S2106" s="39" t="str">
        <f>IF(ISERROR(FIND('112'!$M$9,G2106,1)),"",IF((AND(FIND('112'!$M$9,G2106,1)&gt;=1,$B2106&gt;='112'!$N$8,$B2106&lt;='112'!$O$8,OR($L2106='112'!$I$6,$M2106='112'!$I$6))),"x",""))</f>
        <v/>
      </c>
      <c r="T2106" s="39" t="str">
        <f>IF(ISERROR(FIND('112'!$M$9,G2106,1)),"",IF((AND(LEFT(G2106,2)=LEFT('112'!$M$9,2),B2106&lt;'112'!$N$8,$L2106='112'!$I$6)),"x",""))</f>
        <v/>
      </c>
      <c r="U2106" s="39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39" t="str">
        <f>IF(OR(TH!L2106=TH!$W$7,M2106=TH!$W$7),"x","")</f>
        <v/>
      </c>
      <c r="X2106" s="39" t="str">
        <f>IF(AND(B2106&gt;='IN-NX'!$P$3,B2106&lt;='IN-NX'!$Q$3,'IN-NX'!$D$7=D2106,OR(LEFT(L2106,2)="15",AND(LEFT(M2106,2)&lt;&gt;"15",LEFT(M2106,2)&lt;&gt;"33"))),"x","")</f>
        <v/>
      </c>
      <c r="Y2106" s="39" t="str">
        <f>IF(AND(OR(LEFT(TH!L2106,2)="15",LEFT(TH!M2106,2)="15"),'152-CT'!$J$8=TH!F2106),"x","")</f>
        <v/>
      </c>
      <c r="Z2106" s="39" t="str">
        <f>IF(AND(OR(LEFT(TH!L2106,2)="15",LEFT(TH!M2106,2)="15"),TK!$E$7=TH!F2106),"x","")</f>
        <v/>
      </c>
      <c r="AA2106" s="39" t="str">
        <f>IF(AND(B2106&lt;=NKC!$N$8,B2106&gt;=NKC!$M$8),"x","")</f>
        <v/>
      </c>
      <c r="AB2106" s="821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105"/>
        <v/>
      </c>
      <c r="C2107" s="191"/>
      <c r="D2107" s="191"/>
      <c r="E2107" s="731"/>
      <c r="F2107" s="40"/>
      <c r="G2107" s="40"/>
      <c r="H2107" s="7"/>
      <c r="I2107" s="256"/>
      <c r="J2107" s="256"/>
      <c r="K2107" s="56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902" t="str">
        <f>IF(AND('341-CT'!$E$9=H2107,OR(LEFT(L2107,3)=$O$7,LEFT(M2107,3)=$O$7)),"x","")</f>
        <v/>
      </c>
      <c r="P2107" s="39" t="str">
        <f>IF(AND($B2107&gt;='111'!$N$11,$B2107&lt;='111'!$O$11,OR($L2107=$P$7,$M2107=$P$7)),"x","")</f>
        <v/>
      </c>
      <c r="Q2107" s="39" t="str">
        <f>IF(AND($L2107=$P$7,$B2107&lt;'111'!$N$11),"x","")</f>
        <v/>
      </c>
      <c r="R2107" s="39" t="str">
        <f>IF(AND($M2107=$P$7,$B2107&lt;'111'!$N$11),"x","")</f>
        <v/>
      </c>
      <c r="S2107" s="39" t="str">
        <f>IF(ISERROR(FIND('112'!$M$9,G2107,1)),"",IF((AND(FIND('112'!$M$9,G2107,1)&gt;=1,$B2107&gt;='112'!$N$8,$B2107&lt;='112'!$O$8,OR($L2107='112'!$I$6,$M2107='112'!$I$6))),"x",""))</f>
        <v/>
      </c>
      <c r="T2107" s="39" t="str">
        <f>IF(ISERROR(FIND('112'!$M$9,G2107,1)),"",IF((AND(LEFT(G2107,2)=LEFT('112'!$M$9,2),B2107&lt;'112'!$N$8,$L2107='112'!$I$6)),"x",""))</f>
        <v/>
      </c>
      <c r="U2107" s="39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39" t="str">
        <f>IF(OR(TH!L2107=TH!$W$7,M2107=TH!$W$7),"x","")</f>
        <v/>
      </c>
      <c r="X2107" s="39" t="str">
        <f>IF(AND(B2107&gt;='IN-NX'!$P$3,B2107&lt;='IN-NX'!$Q$3,'IN-NX'!$D$7=D2107,OR(LEFT(L2107,2)="15",AND(LEFT(M2107,2)&lt;&gt;"15",LEFT(M2107,2)&lt;&gt;"33"))),"x","")</f>
        <v/>
      </c>
      <c r="Y2107" s="39" t="str">
        <f>IF(AND(OR(LEFT(TH!L2107,2)="15",LEFT(TH!M2107,2)="15"),'152-CT'!$J$8=TH!F2107),"x","")</f>
        <v/>
      </c>
      <c r="Z2107" s="39" t="str">
        <f>IF(AND(OR(LEFT(TH!L2107,2)="15",LEFT(TH!M2107,2)="15"),TK!$E$7=TH!F2107),"x","")</f>
        <v/>
      </c>
      <c r="AA2107" s="39" t="str">
        <f>IF(AND(B2107&lt;=NKC!$N$8,B2107&gt;=NKC!$M$8),"x","")</f>
        <v/>
      </c>
      <c r="AB2107" s="821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105"/>
        <v/>
      </c>
      <c r="C2108" s="191"/>
      <c r="D2108" s="191"/>
      <c r="E2108" s="731"/>
      <c r="F2108" s="40"/>
      <c r="G2108" s="40"/>
      <c r="H2108" s="7"/>
      <c r="I2108" s="256"/>
      <c r="J2108" s="256"/>
      <c r="K2108" s="56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902" t="str">
        <f>IF(AND('341-CT'!$E$9=H2108,OR(LEFT(L2108,3)=$O$7,LEFT(M2108,3)=$O$7)),"x","")</f>
        <v/>
      </c>
      <c r="P2108" s="39" t="str">
        <f>IF(AND($B2108&gt;='111'!$N$11,$B2108&lt;='111'!$O$11,OR($L2108=$P$7,$M2108=$P$7)),"x","")</f>
        <v/>
      </c>
      <c r="Q2108" s="39" t="str">
        <f>IF(AND($L2108=$P$7,$B2108&lt;'111'!$N$11),"x","")</f>
        <v/>
      </c>
      <c r="R2108" s="39" t="str">
        <f>IF(AND($M2108=$P$7,$B2108&lt;'111'!$N$11),"x","")</f>
        <v/>
      </c>
      <c r="S2108" s="39" t="str">
        <f>IF(ISERROR(FIND('112'!$M$9,G2108,1)),"",IF((AND(FIND('112'!$M$9,G2108,1)&gt;=1,$B2108&gt;='112'!$N$8,$B2108&lt;='112'!$O$8,OR($L2108='112'!$I$6,$M2108='112'!$I$6))),"x",""))</f>
        <v/>
      </c>
      <c r="T2108" s="39" t="str">
        <f>IF(ISERROR(FIND('112'!$M$9,G2108,1)),"",IF((AND(LEFT(G2108,2)=LEFT('112'!$M$9,2),B2108&lt;'112'!$N$8,$L2108='112'!$I$6)),"x",""))</f>
        <v/>
      </c>
      <c r="U2108" s="39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39" t="str">
        <f>IF(OR(TH!L2108=TH!$W$7,M2108=TH!$W$7),"x","")</f>
        <v/>
      </c>
      <c r="X2108" s="39" t="str">
        <f>IF(AND(B2108&gt;='IN-NX'!$P$3,B2108&lt;='IN-NX'!$Q$3,'IN-NX'!$D$7=D2108,OR(LEFT(L2108,2)="15",AND(LEFT(M2108,2)&lt;&gt;"15",LEFT(M2108,2)&lt;&gt;"33"))),"x","")</f>
        <v/>
      </c>
      <c r="Y2108" s="39" t="str">
        <f>IF(AND(OR(LEFT(TH!L2108,2)="15",LEFT(TH!M2108,2)="15"),'152-CT'!$J$8=TH!F2108),"x","")</f>
        <v/>
      </c>
      <c r="Z2108" s="39" t="str">
        <f>IF(AND(OR(LEFT(TH!L2108,2)="15",LEFT(TH!M2108,2)="15"),TK!$E$7=TH!F2108),"x","")</f>
        <v/>
      </c>
      <c r="AA2108" s="39" t="str">
        <f>IF(AND(B2108&lt;=NKC!$N$8,B2108&gt;=NKC!$M$8),"x","")</f>
        <v/>
      </c>
      <c r="AB2108" s="821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105"/>
        <v/>
      </c>
      <c r="C2109" s="191"/>
      <c r="D2109" s="191"/>
      <c r="E2109" s="731"/>
      <c r="F2109" s="40"/>
      <c r="G2109" s="40"/>
      <c r="H2109" s="7"/>
      <c r="I2109" s="256"/>
      <c r="J2109" s="256"/>
      <c r="K2109" s="56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902" t="str">
        <f>IF(AND('341-CT'!$E$9=H2109,OR(LEFT(L2109,3)=$O$7,LEFT(M2109,3)=$O$7)),"x","")</f>
        <v/>
      </c>
      <c r="P2109" s="39" t="str">
        <f>IF(AND($B2109&gt;='111'!$N$11,$B2109&lt;='111'!$O$11,OR($L2109=$P$7,$M2109=$P$7)),"x","")</f>
        <v/>
      </c>
      <c r="Q2109" s="39" t="str">
        <f>IF(AND($L2109=$P$7,$B2109&lt;'111'!$N$11),"x","")</f>
        <v/>
      </c>
      <c r="R2109" s="39" t="str">
        <f>IF(AND($M2109=$P$7,$B2109&lt;'111'!$N$11),"x","")</f>
        <v/>
      </c>
      <c r="S2109" s="39" t="str">
        <f>IF(ISERROR(FIND('112'!$M$9,G2109,1)),"",IF((AND(FIND('112'!$M$9,G2109,1)&gt;=1,$B2109&gt;='112'!$N$8,$B2109&lt;='112'!$O$8,OR($L2109='112'!$I$6,$M2109='112'!$I$6))),"x",""))</f>
        <v/>
      </c>
      <c r="T2109" s="39" t="str">
        <f>IF(ISERROR(FIND('112'!$M$9,G2109,1)),"",IF((AND(LEFT(G2109,2)=LEFT('112'!$M$9,2),B2109&lt;'112'!$N$8,$L2109='112'!$I$6)),"x",""))</f>
        <v/>
      </c>
      <c r="U2109" s="39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39" t="str">
        <f>IF(OR(TH!L2109=TH!$W$7,M2109=TH!$W$7),"x","")</f>
        <v/>
      </c>
      <c r="X2109" s="39" t="str">
        <f>IF(AND(B2109&gt;='IN-NX'!$P$3,B2109&lt;='IN-NX'!$Q$3,'IN-NX'!$D$7=D2109,OR(LEFT(L2109,2)="15",AND(LEFT(M2109,2)&lt;&gt;"15",LEFT(M2109,2)&lt;&gt;"33"))),"x","")</f>
        <v/>
      </c>
      <c r="Y2109" s="39" t="str">
        <f>IF(AND(OR(LEFT(TH!L2109,2)="15",LEFT(TH!M2109,2)="15"),'152-CT'!$J$8=TH!F2109),"x","")</f>
        <v/>
      </c>
      <c r="Z2109" s="39" t="str">
        <f>IF(AND(OR(LEFT(TH!L2109,2)="15",LEFT(TH!M2109,2)="15"),TK!$E$7=TH!F2109),"x","")</f>
        <v/>
      </c>
      <c r="AA2109" s="39" t="str">
        <f>IF(AND(B2109&lt;=NKC!$N$8,B2109&gt;=NKC!$M$8),"x","")</f>
        <v/>
      </c>
      <c r="AB2109" s="821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105"/>
        <v/>
      </c>
      <c r="C2110" s="191"/>
      <c r="D2110" s="191"/>
      <c r="E2110" s="731"/>
      <c r="F2110" s="40"/>
      <c r="G2110" s="40"/>
      <c r="H2110" s="7"/>
      <c r="I2110" s="256"/>
      <c r="J2110" s="256"/>
      <c r="K2110" s="56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902" t="str">
        <f>IF(AND('341-CT'!$E$9=H2110,OR(LEFT(L2110,3)=$O$7,LEFT(M2110,3)=$O$7)),"x","")</f>
        <v/>
      </c>
      <c r="P2110" s="39" t="str">
        <f>IF(AND($B2110&gt;='111'!$N$11,$B2110&lt;='111'!$O$11,OR($L2110=$P$7,$M2110=$P$7)),"x","")</f>
        <v/>
      </c>
      <c r="Q2110" s="39" t="str">
        <f>IF(AND($L2110=$P$7,$B2110&lt;'111'!$N$11),"x","")</f>
        <v/>
      </c>
      <c r="R2110" s="39" t="str">
        <f>IF(AND($M2110=$P$7,$B2110&lt;'111'!$N$11),"x","")</f>
        <v/>
      </c>
      <c r="S2110" s="39" t="str">
        <f>IF(ISERROR(FIND('112'!$M$9,G2110,1)),"",IF((AND(FIND('112'!$M$9,G2110,1)&gt;=1,$B2110&gt;='112'!$N$8,$B2110&lt;='112'!$O$8,OR($L2110='112'!$I$6,$M2110='112'!$I$6))),"x",""))</f>
        <v/>
      </c>
      <c r="T2110" s="39" t="str">
        <f>IF(ISERROR(FIND('112'!$M$9,G2110,1)),"",IF((AND(LEFT(G2110,2)=LEFT('112'!$M$9,2),B2110&lt;'112'!$N$8,$L2110='112'!$I$6)),"x",""))</f>
        <v/>
      </c>
      <c r="U2110" s="39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39" t="str">
        <f>IF(OR(TH!L2110=TH!$W$7,M2110=TH!$W$7),"x","")</f>
        <v/>
      </c>
      <c r="X2110" s="39" t="str">
        <f>IF(AND(B2110&gt;='IN-NX'!$P$3,B2110&lt;='IN-NX'!$Q$3,'IN-NX'!$D$7=D2110,OR(LEFT(L2110,2)="15",AND(LEFT(M2110,2)&lt;&gt;"15",LEFT(M2110,2)&lt;&gt;"33"))),"x","")</f>
        <v/>
      </c>
      <c r="Y2110" s="39" t="str">
        <f>IF(AND(OR(LEFT(TH!L2110,2)="15",LEFT(TH!M2110,2)="15"),'152-CT'!$J$8=TH!F2110),"x","")</f>
        <v/>
      </c>
      <c r="Z2110" s="39" t="str">
        <f>IF(AND(OR(LEFT(TH!L2110,2)="15",LEFT(TH!M2110,2)="15"),TK!$E$7=TH!F2110),"x","")</f>
        <v/>
      </c>
      <c r="AA2110" s="39" t="str">
        <f>IF(AND(B2110&lt;=NKC!$N$8,B2110&gt;=NKC!$M$8),"x","")</f>
        <v/>
      </c>
      <c r="AB2110" s="821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105"/>
        <v/>
      </c>
      <c r="C2111" s="191"/>
      <c r="D2111" s="191"/>
      <c r="E2111" s="731"/>
      <c r="F2111" s="40"/>
      <c r="G2111" s="40"/>
      <c r="H2111" s="7"/>
      <c r="I2111" s="256"/>
      <c r="J2111" s="256"/>
      <c r="K2111" s="568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902" t="str">
        <f>IF(AND('341-CT'!$E$9=H2111,OR(LEFT(L2111,3)=$O$7,LEFT(M2111,3)=$O$7)),"x","")</f>
        <v/>
      </c>
      <c r="P2111" s="39" t="str">
        <f>IF(AND($B2111&gt;='111'!$N$11,$B2111&lt;='111'!$O$11,OR($L2111=$P$7,$M2111=$P$7)),"x","")</f>
        <v/>
      </c>
      <c r="Q2111" s="39" t="str">
        <f>IF(AND($L2111=$P$7,$B2111&lt;'111'!$N$11),"x","")</f>
        <v/>
      </c>
      <c r="R2111" s="39" t="str">
        <f>IF(AND($M2111=$P$7,$B2111&lt;'111'!$N$11),"x","")</f>
        <v/>
      </c>
      <c r="S2111" s="39" t="str">
        <f>IF(ISERROR(FIND('112'!$M$9,G2111,1)),"",IF((AND(FIND('112'!$M$9,G2111,1)&gt;=1,$B2111&gt;='112'!$N$8,$B2111&lt;='112'!$O$8,OR($L2111='112'!$I$6,$M2111='112'!$I$6))),"x",""))</f>
        <v/>
      </c>
      <c r="T2111" s="39" t="str">
        <f>IF(ISERROR(FIND('112'!$M$9,G2111,1)),"",IF((AND(LEFT(G2111,2)=LEFT('112'!$M$9,2),B2111&lt;'112'!$N$8,$L2111='112'!$I$6)),"x",""))</f>
        <v/>
      </c>
      <c r="U2111" s="39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39" t="str">
        <f>IF(OR(TH!L2111=TH!$W$7,M2111=TH!$W$7),"x","")</f>
        <v/>
      </c>
      <c r="X2111" s="39" t="str">
        <f>IF(AND(B2111&gt;='IN-NX'!$P$3,B2111&lt;='IN-NX'!$Q$3,'IN-NX'!$D$7=D2111,OR(LEFT(L2111,2)="15",AND(LEFT(M2111,2)&lt;&gt;"15",LEFT(M2111,2)&lt;&gt;"33"))),"x","")</f>
        <v/>
      </c>
      <c r="Y2111" s="39" t="str">
        <f>IF(AND(OR(LEFT(TH!L2111,2)="15",LEFT(TH!M2111,2)="15"),'152-CT'!$J$8=TH!F2111),"x","")</f>
        <v/>
      </c>
      <c r="Z2111" s="39" t="str">
        <f>IF(AND(OR(LEFT(TH!L2111,2)="15",LEFT(TH!M2111,2)="15"),TK!$E$7=TH!F2111),"x","")</f>
        <v/>
      </c>
      <c r="AA2111" s="39" t="str">
        <f>IF(AND(B2111&lt;=NKC!$N$8,B2111&gt;=NKC!$M$8),"x","")</f>
        <v/>
      </c>
      <c r="AB2111" s="821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105"/>
        <v/>
      </c>
      <c r="C2112" s="191"/>
      <c r="D2112" s="191"/>
      <c r="E2112" s="731"/>
      <c r="F2112" s="40"/>
      <c r="G2112" s="40"/>
      <c r="H2112" s="7"/>
      <c r="I2112" s="256"/>
      <c r="J2112" s="256"/>
      <c r="K2112" s="568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902" t="str">
        <f>IF(AND('341-CT'!$E$9=H2112,OR(LEFT(L2112,3)=$O$7,LEFT(M2112,3)=$O$7)),"x","")</f>
        <v/>
      </c>
      <c r="P2112" s="39" t="str">
        <f>IF(AND($B2112&gt;='111'!$N$11,$B2112&lt;='111'!$O$11,OR($L2112=$P$7,$M2112=$P$7)),"x","")</f>
        <v/>
      </c>
      <c r="Q2112" s="39" t="str">
        <f>IF(AND($L2112=$P$7,$B2112&lt;'111'!$N$11),"x","")</f>
        <v/>
      </c>
      <c r="R2112" s="39" t="str">
        <f>IF(AND($M2112=$P$7,$B2112&lt;'111'!$N$11),"x","")</f>
        <v/>
      </c>
      <c r="S2112" s="39" t="str">
        <f>IF(ISERROR(FIND('112'!$M$9,G2112,1)),"",IF((AND(FIND('112'!$M$9,G2112,1)&gt;=1,$B2112&gt;='112'!$N$8,$B2112&lt;='112'!$O$8,OR($L2112='112'!$I$6,$M2112='112'!$I$6))),"x",""))</f>
        <v/>
      </c>
      <c r="T2112" s="39" t="str">
        <f>IF(ISERROR(FIND('112'!$M$9,G2112,1)),"",IF((AND(LEFT(G2112,2)=LEFT('112'!$M$9,2),B2112&lt;'112'!$N$8,$L2112='112'!$I$6)),"x",""))</f>
        <v/>
      </c>
      <c r="U2112" s="39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39" t="str">
        <f>IF(OR(TH!L2112=TH!$W$7,M2112=TH!$W$7),"x","")</f>
        <v/>
      </c>
      <c r="X2112" s="39" t="str">
        <f>IF(AND(B2112&gt;='IN-NX'!$P$3,B2112&lt;='IN-NX'!$Q$3,'IN-NX'!$D$7=D2112,OR(LEFT(L2112,2)="15",AND(LEFT(M2112,2)&lt;&gt;"15",LEFT(M2112,2)&lt;&gt;"33"))),"x","")</f>
        <v/>
      </c>
      <c r="Y2112" s="39" t="str">
        <f>IF(AND(OR(LEFT(TH!L2112,2)="15",LEFT(TH!M2112,2)="15"),'152-CT'!$J$8=TH!F2112),"x","")</f>
        <v/>
      </c>
      <c r="Z2112" s="39" t="str">
        <f>IF(AND(OR(LEFT(TH!L2112,2)="15",LEFT(TH!M2112,2)="15"),TK!$E$7=TH!F2112),"x","")</f>
        <v/>
      </c>
      <c r="AA2112" s="39" t="str">
        <f>IF(AND(B2112&lt;=NKC!$N$8,B2112&gt;=NKC!$M$8),"x","")</f>
        <v/>
      </c>
      <c r="AB2112" s="821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105"/>
        <v/>
      </c>
      <c r="C2113" s="184"/>
      <c r="D2113" s="184"/>
      <c r="E2113" s="184"/>
      <c r="F2113" s="189"/>
      <c r="G2113" s="570"/>
      <c r="H2113" s="7"/>
      <c r="I2113" s="256"/>
      <c r="J2113" s="256"/>
      <c r="K2113" s="568"/>
      <c r="L2113" s="569"/>
      <c r="M2113" s="569"/>
      <c r="N2113" s="39" t="str">
        <f>IF(AND('331-CT'!$E$7=TH!H2113,OR(L2113="331",M2113="331")),"331",IF(AND(OR(L2113="131",M2113="131"),H2113='131-CT'!$E$7),"131",""))</f>
        <v/>
      </c>
      <c r="O2113" s="902" t="str">
        <f>IF(AND('341-CT'!$E$9=H2113,OR(LEFT(L2113,3)=$O$7,LEFT(M2113,3)=$O$7)),"x","")</f>
        <v/>
      </c>
      <c r="P2113" s="39" t="str">
        <f>IF(AND($B2113&gt;='111'!$N$11,$B2113&lt;='111'!$O$11,OR($L2113=$P$7,$M2113=$P$7)),"x","")</f>
        <v/>
      </c>
      <c r="Q2113" s="39" t="str">
        <f>IF(AND($L2113=$P$7,$B2113&lt;'111'!$N$11),"x","")</f>
        <v/>
      </c>
      <c r="R2113" s="39" t="str">
        <f>IF(AND($M2113=$P$7,$B2113&lt;'111'!$N$11),"x","")</f>
        <v/>
      </c>
      <c r="S2113" s="39" t="str">
        <f>IF(ISERROR(FIND('112'!$M$9,G2113,1)),"",IF((AND(FIND('112'!$M$9,G2113,1)&gt;=1,$B2113&gt;='112'!$N$8,$B2113&lt;='112'!$O$8,OR($L2113='112'!$I$6,$M2113='112'!$I$6))),"x",""))</f>
        <v/>
      </c>
      <c r="T2113" s="39" t="str">
        <f>IF(ISERROR(FIND('112'!$M$9,G2113,1)),"",IF((AND(LEFT(G2113,2)=LEFT('112'!$M$9,2),B2113&lt;'112'!$N$8,$L2113='112'!$I$6)),"x",""))</f>
        <v/>
      </c>
      <c r="U2113" s="39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39" t="str">
        <f>IF(OR(TH!L2113=TH!$W$7,M2113=TH!$W$7),"x","")</f>
        <v/>
      </c>
      <c r="X2113" s="39" t="str">
        <f>IF(AND(B2113&gt;='IN-NX'!$P$3,B2113&lt;='IN-NX'!$Q$3,'IN-NX'!$D$7=D2113,OR(LEFT(L2113,2)="15",AND(LEFT(M2113,2)&lt;&gt;"15",LEFT(M2113,2)&lt;&gt;"33"))),"x","")</f>
        <v/>
      </c>
      <c r="Y2113" s="39" t="str">
        <f>IF(AND(OR(LEFT(TH!L2113,2)="15",LEFT(TH!M2113,2)="15"),'152-CT'!$J$8=TH!F2113),"x","")</f>
        <v/>
      </c>
      <c r="Z2113" s="39" t="str">
        <f>IF(AND(OR(LEFT(TH!L2113,2)="15",LEFT(TH!M2113,2)="15"),TK!$E$7=TH!F2113),"x","")</f>
        <v/>
      </c>
      <c r="AA2113" s="39" t="str">
        <f>IF(AND(B2113&lt;=NKC!$N$8,B2113&gt;=NKC!$M$8),"x","")</f>
        <v/>
      </c>
      <c r="AB2113" s="821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105"/>
        <v/>
      </c>
      <c r="C2114" s="191"/>
      <c r="D2114" s="191"/>
      <c r="E2114" s="191"/>
      <c r="F2114" s="192"/>
      <c r="G2114" s="468"/>
      <c r="H2114" s="193"/>
      <c r="I2114" s="256"/>
      <c r="J2114" s="256"/>
      <c r="K2114" s="568"/>
      <c r="L2114" s="194"/>
      <c r="M2114" s="194"/>
      <c r="N2114" s="39" t="str">
        <f>IF(AND('331-CT'!$E$7=TH!H2114,OR(L2114="331",M2114="331")),"331",IF(AND(OR(L2114="131",M2114="131"),H2114='131-CT'!$E$7),"131",""))</f>
        <v/>
      </c>
      <c r="O2114" s="902" t="str">
        <f>IF(AND('341-CT'!$E$9=H2114,OR(LEFT(L2114,3)=$O$7,LEFT(M2114,3)=$O$7)),"x","")</f>
        <v/>
      </c>
      <c r="P2114" s="39" t="str">
        <f>IF(AND($B2114&gt;='111'!$N$11,$B2114&lt;='111'!$O$11,OR($L2114=$P$7,$M2114=$P$7)),"x","")</f>
        <v/>
      </c>
      <c r="Q2114" s="39" t="str">
        <f>IF(AND($L2114=$P$7,$B2114&lt;'111'!$N$11),"x","")</f>
        <v/>
      </c>
      <c r="R2114" s="39" t="str">
        <f>IF(AND($M2114=$P$7,$B2114&lt;'111'!$N$11),"x","")</f>
        <v/>
      </c>
      <c r="S2114" s="39" t="str">
        <f>IF(ISERROR(FIND('112'!$M$9,G2114,1)),"",IF((AND(FIND('112'!$M$9,G2114,1)&gt;=1,$B2114&gt;='112'!$N$8,$B2114&lt;='112'!$O$8,OR($L2114='112'!$I$6,$M2114='112'!$I$6))),"x",""))</f>
        <v/>
      </c>
      <c r="T2114" s="39" t="str">
        <f>IF(ISERROR(FIND('112'!$M$9,G2114,1)),"",IF((AND(LEFT(G2114,2)=LEFT('112'!$M$9,2),B2114&lt;'112'!$N$8,$L2114='112'!$I$6)),"x",""))</f>
        <v/>
      </c>
      <c r="U2114" s="39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39" t="str">
        <f>IF(OR(TH!L2114=TH!$W$7,M2114=TH!$W$7),"x","")</f>
        <v/>
      </c>
      <c r="X2114" s="39" t="str">
        <f>IF(AND(B2114&gt;='IN-NX'!$P$3,B2114&lt;='IN-NX'!$Q$3,'IN-NX'!$D$7=D2114,OR(LEFT(L2114,2)="15",AND(LEFT(M2114,2)&lt;&gt;"15",LEFT(M2114,2)&lt;&gt;"33"))),"x","")</f>
        <v/>
      </c>
      <c r="Y2114" s="39" t="str">
        <f>IF(AND(OR(LEFT(TH!L2114,2)="15",LEFT(TH!M2114,2)="15"),'152-CT'!$J$8=TH!F2114),"x","")</f>
        <v/>
      </c>
      <c r="Z2114" s="39" t="str">
        <f>IF(AND(OR(LEFT(TH!L2114,2)="15",LEFT(TH!M2114,2)="15"),TK!$E$7=TH!F2114),"x","")</f>
        <v/>
      </c>
      <c r="AA2114" s="39" t="str">
        <f>IF(AND(B2114&lt;=NKC!$N$8,B2114&gt;=NKC!$M$8),"x","")</f>
        <v/>
      </c>
      <c r="AB2114" s="821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105"/>
        <v/>
      </c>
      <c r="C2115" s="191"/>
      <c r="D2115" s="191"/>
      <c r="E2115" s="191"/>
      <c r="F2115" s="192"/>
      <c r="G2115" s="468"/>
      <c r="H2115" s="193"/>
      <c r="I2115" s="256"/>
      <c r="J2115" s="256"/>
      <c r="K2115" s="568"/>
      <c r="L2115" s="194"/>
      <c r="M2115" s="194"/>
      <c r="N2115" s="39" t="str">
        <f>IF(AND('331-CT'!$E$7=TH!H2115,OR(L2115="331",M2115="331")),"331",IF(AND(OR(L2115="131",M2115="131"),H2115='131-CT'!$E$7),"131",""))</f>
        <v/>
      </c>
      <c r="O2115" s="902" t="str">
        <f>IF(AND('341-CT'!$E$9=H2115,OR(LEFT(L2115,3)=$O$7,LEFT(M2115,3)=$O$7)),"x","")</f>
        <v/>
      </c>
      <c r="P2115" s="39" t="str">
        <f>IF(AND($B2115&gt;='111'!$N$11,$B2115&lt;='111'!$O$11,OR($L2115=$P$7,$M2115=$P$7)),"x","")</f>
        <v/>
      </c>
      <c r="Q2115" s="39" t="str">
        <f>IF(AND($L2115=$P$7,$B2115&lt;'111'!$N$11),"x","")</f>
        <v/>
      </c>
      <c r="R2115" s="39" t="str">
        <f>IF(AND($M2115=$P$7,$B2115&lt;'111'!$N$11),"x","")</f>
        <v/>
      </c>
      <c r="S2115" s="39" t="str">
        <f>IF(ISERROR(FIND('112'!$M$9,G2115,1)),"",IF((AND(FIND('112'!$M$9,G2115,1)&gt;=1,$B2115&gt;='112'!$N$8,$B2115&lt;='112'!$O$8,OR($L2115='112'!$I$6,$M2115='112'!$I$6))),"x",""))</f>
        <v/>
      </c>
      <c r="T2115" s="39" t="str">
        <f>IF(ISERROR(FIND('112'!$M$9,G2115,1)),"",IF((AND(LEFT(G2115,2)=LEFT('112'!$M$9,2),B2115&lt;'112'!$N$8,$L2115='112'!$I$6)),"x",""))</f>
        <v/>
      </c>
      <c r="U2115" s="39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39" t="str">
        <f>IF(OR(TH!L2115=TH!$W$7,M2115=TH!$W$7),"x","")</f>
        <v/>
      </c>
      <c r="X2115" s="39" t="str">
        <f>IF(AND(B2115&gt;='IN-NX'!$P$3,B2115&lt;='IN-NX'!$Q$3,'IN-NX'!$D$7=D2115,OR(LEFT(L2115,2)="15",AND(LEFT(M2115,2)&lt;&gt;"15",LEFT(M2115,2)&lt;&gt;"33"))),"x","")</f>
        <v/>
      </c>
      <c r="Y2115" s="39" t="str">
        <f>IF(AND(OR(LEFT(TH!L2115,2)="15",LEFT(TH!M2115,2)="15"),'152-CT'!$J$8=TH!F2115),"x","")</f>
        <v/>
      </c>
      <c r="Z2115" s="39" t="str">
        <f>IF(AND(OR(LEFT(TH!L2115,2)="15",LEFT(TH!M2115,2)="15"),TK!$E$7=TH!F2115),"x","")</f>
        <v/>
      </c>
      <c r="AA2115" s="39" t="str">
        <f>IF(AND(B2115&lt;=NKC!$N$8,B2115&gt;=NKC!$M$8),"x","")</f>
        <v/>
      </c>
      <c r="AB2115" s="821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105"/>
        <v/>
      </c>
      <c r="C2116" s="191"/>
      <c r="D2116" s="191"/>
      <c r="E2116" s="191"/>
      <c r="F2116" s="192"/>
      <c r="G2116" s="468"/>
      <c r="H2116" s="193"/>
      <c r="I2116" s="256"/>
      <c r="J2116" s="256"/>
      <c r="K2116" s="56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902" t="str">
        <f>IF(AND('341-CT'!$E$9=H2116,OR(LEFT(L2116,3)=$O$7,LEFT(M2116,3)=$O$7)),"x","")</f>
        <v/>
      </c>
      <c r="P2116" s="39" t="str">
        <f>IF(AND($B2116&gt;='111'!$N$11,$B2116&lt;='111'!$O$11,OR($L2116=$P$7,$M2116=$P$7)),"x","")</f>
        <v/>
      </c>
      <c r="Q2116" s="39" t="str">
        <f>IF(AND($L2116=$P$7,$B2116&lt;'111'!$N$11),"x","")</f>
        <v/>
      </c>
      <c r="R2116" s="39" t="str">
        <f>IF(AND($M2116=$P$7,$B2116&lt;'111'!$N$11),"x","")</f>
        <v/>
      </c>
      <c r="S2116" s="39" t="str">
        <f>IF(ISERROR(FIND('112'!$M$9,G2116,1)),"",IF((AND(FIND('112'!$M$9,G2116,1)&gt;=1,$B2116&gt;='112'!$N$8,$B2116&lt;='112'!$O$8,OR($L2116='112'!$I$6,$M2116='112'!$I$6))),"x",""))</f>
        <v/>
      </c>
      <c r="T2116" s="39" t="str">
        <f>IF(ISERROR(FIND('112'!$M$9,G2116,1)),"",IF((AND(LEFT(G2116,2)=LEFT('112'!$M$9,2),B2116&lt;'112'!$N$8,$L2116='112'!$I$6)),"x",""))</f>
        <v/>
      </c>
      <c r="U2116" s="39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39" t="str">
        <f>IF(OR(TH!L2116=TH!$W$7,M2116=TH!$W$7),"x","")</f>
        <v/>
      </c>
      <c r="X2116" s="39" t="str">
        <f>IF(AND(B2116&gt;='IN-NX'!$P$3,B2116&lt;='IN-NX'!$Q$3,'IN-NX'!$D$7=D2116,OR(LEFT(L2116,2)="15",AND(LEFT(M2116,2)&lt;&gt;"15",LEFT(M2116,2)&lt;&gt;"33"))),"x","")</f>
        <v/>
      </c>
      <c r="Y2116" s="39" t="str">
        <f>IF(AND(OR(LEFT(TH!L2116,2)="15",LEFT(TH!M2116,2)="15"),'152-CT'!$J$8=TH!F2116),"x","")</f>
        <v/>
      </c>
      <c r="Z2116" s="39" t="str">
        <f>IF(AND(OR(LEFT(TH!L2116,2)="15",LEFT(TH!M2116,2)="15"),TK!$E$7=TH!F2116),"x","")</f>
        <v/>
      </c>
      <c r="AA2116" s="39" t="str">
        <f>IF(AND(B2116&lt;=NKC!$N$8,B2116&gt;=NKC!$M$8),"x","")</f>
        <v/>
      </c>
      <c r="AB2116" s="821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105"/>
        <v/>
      </c>
      <c r="C2117" s="191"/>
      <c r="D2117" s="191"/>
      <c r="E2117" s="191"/>
      <c r="F2117" s="192"/>
      <c r="G2117" s="468"/>
      <c r="H2117" s="193"/>
      <c r="I2117" s="256"/>
      <c r="J2117" s="256"/>
      <c r="K2117" s="56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902" t="str">
        <f>IF(AND('341-CT'!$E$9=H2117,OR(LEFT(L2117,3)=$O$7,LEFT(M2117,3)=$O$7)),"x","")</f>
        <v/>
      </c>
      <c r="P2117" s="39" t="str">
        <f>IF(AND($B2117&gt;='111'!$N$11,$B2117&lt;='111'!$O$11,OR($L2117=$P$7,$M2117=$P$7)),"x","")</f>
        <v/>
      </c>
      <c r="Q2117" s="39" t="str">
        <f>IF(AND($L2117=$P$7,$B2117&lt;'111'!$N$11),"x","")</f>
        <v/>
      </c>
      <c r="R2117" s="39" t="str">
        <f>IF(AND($M2117=$P$7,$B2117&lt;'111'!$N$11),"x","")</f>
        <v/>
      </c>
      <c r="S2117" s="39" t="str">
        <f>IF(ISERROR(FIND('112'!$M$9,G2117,1)),"",IF((AND(FIND('112'!$M$9,G2117,1)&gt;=1,$B2117&gt;='112'!$N$8,$B2117&lt;='112'!$O$8,OR($L2117='112'!$I$6,$M2117='112'!$I$6))),"x",""))</f>
        <v/>
      </c>
      <c r="T2117" s="39" t="str">
        <f>IF(ISERROR(FIND('112'!$M$9,G2117,1)),"",IF((AND(LEFT(G2117,2)=LEFT('112'!$M$9,2),B2117&lt;'112'!$N$8,$L2117='112'!$I$6)),"x",""))</f>
        <v/>
      </c>
      <c r="U2117" s="39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39" t="str">
        <f>IF(OR(TH!L2117=TH!$W$7,M2117=TH!$W$7),"x","")</f>
        <v/>
      </c>
      <c r="X2117" s="39" t="str">
        <f>IF(AND(B2117&gt;='IN-NX'!$P$3,B2117&lt;='IN-NX'!$Q$3,'IN-NX'!$D$7=D2117,OR(LEFT(L2117,2)="15",AND(LEFT(M2117,2)&lt;&gt;"15",LEFT(M2117,2)&lt;&gt;"33"))),"x","")</f>
        <v/>
      </c>
      <c r="Y2117" s="39" t="str">
        <f>IF(AND(OR(LEFT(TH!L2117,2)="15",LEFT(TH!M2117,2)="15"),'152-CT'!$J$8=TH!F2117),"x","")</f>
        <v/>
      </c>
      <c r="Z2117" s="39" t="str">
        <f>IF(AND(OR(LEFT(TH!L2117,2)="15",LEFT(TH!M2117,2)="15"),TK!$E$7=TH!F2117),"x","")</f>
        <v/>
      </c>
      <c r="AA2117" s="39" t="str">
        <f>IF(AND(B2117&lt;=NKC!$N$8,B2117&gt;=NKC!$M$8),"x","")</f>
        <v/>
      </c>
      <c r="AB2117" s="821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105"/>
        <v/>
      </c>
      <c r="C2118" s="191"/>
      <c r="D2118" s="191"/>
      <c r="E2118" s="191"/>
      <c r="F2118" s="192"/>
      <c r="G2118" s="468"/>
      <c r="H2118" s="193"/>
      <c r="I2118" s="256"/>
      <c r="J2118" s="256"/>
      <c r="K2118" s="568"/>
      <c r="L2118" s="194"/>
      <c r="M2118" s="194"/>
      <c r="N2118" s="39" t="str">
        <f>IF(AND('331-CT'!$E$7=TH!H2118,OR(L2118="331",M2118="331")),"331",IF(AND(OR(L2118="131",M2118="131"),H2118='131-CT'!$E$7),"131",""))</f>
        <v/>
      </c>
      <c r="O2118" s="902" t="str">
        <f>IF(AND('341-CT'!$E$9=H2118,OR(LEFT(L2118,3)=$O$7,LEFT(M2118,3)=$O$7)),"x","")</f>
        <v/>
      </c>
      <c r="P2118" s="39" t="str">
        <f>IF(AND($B2118&gt;='111'!$N$11,$B2118&lt;='111'!$O$11,OR($L2118=$P$7,$M2118=$P$7)),"x","")</f>
        <v/>
      </c>
      <c r="Q2118" s="39" t="str">
        <f>IF(AND($L2118=$P$7,$B2118&lt;'111'!$N$11),"x","")</f>
        <v/>
      </c>
      <c r="R2118" s="39" t="str">
        <f>IF(AND($M2118=$P$7,$B2118&lt;'111'!$N$11),"x","")</f>
        <v/>
      </c>
      <c r="S2118" s="39" t="str">
        <f>IF(ISERROR(FIND('112'!$M$9,G2118,1)),"",IF((AND(FIND('112'!$M$9,G2118,1)&gt;=1,$B2118&gt;='112'!$N$8,$B2118&lt;='112'!$O$8,OR($L2118='112'!$I$6,$M2118='112'!$I$6))),"x",""))</f>
        <v/>
      </c>
      <c r="T2118" s="39" t="str">
        <f>IF(ISERROR(FIND('112'!$M$9,G2118,1)),"",IF((AND(LEFT(G2118,2)=LEFT('112'!$M$9,2),B2118&lt;'112'!$N$8,$L2118='112'!$I$6)),"x",""))</f>
        <v/>
      </c>
      <c r="U2118" s="39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39" t="str">
        <f>IF(OR(TH!L2118=TH!$W$7,M2118=TH!$W$7),"x","")</f>
        <v/>
      </c>
      <c r="X2118" s="39" t="str">
        <f>IF(AND(B2118&gt;='IN-NX'!$P$3,B2118&lt;='IN-NX'!$Q$3,'IN-NX'!$D$7=D2118,OR(LEFT(L2118,2)="15",AND(LEFT(M2118,2)&lt;&gt;"15",LEFT(M2118,2)&lt;&gt;"33"))),"x","")</f>
        <v/>
      </c>
      <c r="Y2118" s="39" t="str">
        <f>IF(AND(OR(LEFT(TH!L2118,2)="15",LEFT(TH!M2118,2)="15"),'152-CT'!$J$8=TH!F2118),"x","")</f>
        <v/>
      </c>
      <c r="Z2118" s="39" t="str">
        <f>IF(AND(OR(LEFT(TH!L2118,2)="15",LEFT(TH!M2118,2)="15"),TK!$E$7=TH!F2118),"x","")</f>
        <v/>
      </c>
      <c r="AA2118" s="39" t="str">
        <f>IF(AND(B2118&lt;=NKC!$N$8,B2118&gt;=NKC!$M$8),"x","")</f>
        <v/>
      </c>
      <c r="AB2118" s="821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105"/>
        <v/>
      </c>
      <c r="C2119" s="191"/>
      <c r="D2119" s="191"/>
      <c r="E2119" s="191"/>
      <c r="F2119" s="192"/>
      <c r="G2119" s="468"/>
      <c r="H2119" s="193"/>
      <c r="I2119" s="256"/>
      <c r="J2119" s="256"/>
      <c r="K2119" s="568"/>
      <c r="L2119" s="194"/>
      <c r="M2119" s="194"/>
      <c r="N2119" s="39" t="str">
        <f>IF(AND('331-CT'!$E$7=TH!H2119,OR(L2119="331",M2119="331")),"331",IF(AND(OR(L2119="131",M2119="131"),H2119='131-CT'!$E$7),"131",""))</f>
        <v/>
      </c>
      <c r="O2119" s="902" t="str">
        <f>IF(AND('341-CT'!$E$9=H2119,OR(LEFT(L2119,3)=$O$7,LEFT(M2119,3)=$O$7)),"x","")</f>
        <v/>
      </c>
      <c r="P2119" s="39" t="str">
        <f>IF(AND($B2119&gt;='111'!$N$11,$B2119&lt;='111'!$O$11,OR($L2119=$P$7,$M2119=$P$7)),"x","")</f>
        <v/>
      </c>
      <c r="Q2119" s="39" t="str">
        <f>IF(AND($L2119=$P$7,$B2119&lt;'111'!$N$11),"x","")</f>
        <v/>
      </c>
      <c r="R2119" s="39" t="str">
        <f>IF(AND($M2119=$P$7,$B2119&lt;'111'!$N$11),"x","")</f>
        <v/>
      </c>
      <c r="S2119" s="39" t="str">
        <f>IF(ISERROR(FIND('112'!$M$9,G2119,1)),"",IF((AND(FIND('112'!$M$9,G2119,1)&gt;=1,$B2119&gt;='112'!$N$8,$B2119&lt;='112'!$O$8,OR($L2119='112'!$I$6,$M2119='112'!$I$6))),"x",""))</f>
        <v/>
      </c>
      <c r="T2119" s="39" t="str">
        <f>IF(ISERROR(FIND('112'!$M$9,G2119,1)),"",IF((AND(LEFT(G2119,2)=LEFT('112'!$M$9,2),B2119&lt;'112'!$N$8,$L2119='112'!$I$6)),"x",""))</f>
        <v/>
      </c>
      <c r="U2119" s="39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39" t="str">
        <f>IF(OR(TH!L2119=TH!$W$7,M2119=TH!$W$7),"x","")</f>
        <v/>
      </c>
      <c r="X2119" s="39" t="str">
        <f>IF(AND(B2119&gt;='IN-NX'!$P$3,B2119&lt;='IN-NX'!$Q$3,'IN-NX'!$D$7=D2119,OR(LEFT(L2119,2)="15",AND(LEFT(M2119,2)&lt;&gt;"15",LEFT(M2119,2)&lt;&gt;"33"))),"x","")</f>
        <v/>
      </c>
      <c r="Y2119" s="39" t="str">
        <f>IF(AND(OR(LEFT(TH!L2119,2)="15",LEFT(TH!M2119,2)="15"),'152-CT'!$J$8=TH!F2119),"x","")</f>
        <v/>
      </c>
      <c r="Z2119" s="39" t="str">
        <f>IF(AND(OR(LEFT(TH!L2119,2)="15",LEFT(TH!M2119,2)="15"),TK!$E$7=TH!F2119),"x","")</f>
        <v/>
      </c>
      <c r="AA2119" s="39" t="str">
        <f>IF(AND(B2119&lt;=NKC!$N$8,B2119&gt;=NKC!$M$8),"x","")</f>
        <v/>
      </c>
      <c r="AB2119" s="821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105"/>
        <v/>
      </c>
      <c r="C2120" s="191"/>
      <c r="D2120" s="191"/>
      <c r="E2120" s="191"/>
      <c r="F2120" s="192"/>
      <c r="G2120" s="468"/>
      <c r="H2120" s="193"/>
      <c r="I2120" s="256"/>
      <c r="J2120" s="256"/>
      <c r="K2120" s="568"/>
      <c r="L2120" s="194"/>
      <c r="M2120" s="194"/>
      <c r="N2120" s="39" t="str">
        <f>IF(AND('331-CT'!$E$7=TH!H2120,OR(L2120="331",M2120="331")),"331",IF(AND(OR(L2120="131",M2120="131"),H2120='131-CT'!$E$7),"131",""))</f>
        <v/>
      </c>
      <c r="O2120" s="902" t="str">
        <f>IF(AND('341-CT'!$E$9=H2120,OR(LEFT(L2120,3)=$O$7,LEFT(M2120,3)=$O$7)),"x","")</f>
        <v/>
      </c>
      <c r="P2120" s="39" t="str">
        <f>IF(AND($B2120&gt;='111'!$N$11,$B2120&lt;='111'!$O$11,OR($L2120=$P$7,$M2120=$P$7)),"x","")</f>
        <v/>
      </c>
      <c r="Q2120" s="39" t="str">
        <f>IF(AND($L2120=$P$7,$B2120&lt;'111'!$N$11),"x","")</f>
        <v/>
      </c>
      <c r="R2120" s="39" t="str">
        <f>IF(AND($M2120=$P$7,$B2120&lt;'111'!$N$11),"x","")</f>
        <v/>
      </c>
      <c r="S2120" s="39" t="str">
        <f>IF(ISERROR(FIND('112'!$M$9,G2120,1)),"",IF((AND(FIND('112'!$M$9,G2120,1)&gt;=1,$B2120&gt;='112'!$N$8,$B2120&lt;='112'!$O$8,OR($L2120='112'!$I$6,$M2120='112'!$I$6))),"x",""))</f>
        <v/>
      </c>
      <c r="T2120" s="39" t="str">
        <f>IF(ISERROR(FIND('112'!$M$9,G2120,1)),"",IF((AND(LEFT(G2120,2)=LEFT('112'!$M$9,2),B2120&lt;'112'!$N$8,$L2120='112'!$I$6)),"x",""))</f>
        <v/>
      </c>
      <c r="U2120" s="39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39" t="str">
        <f>IF(OR(TH!L2120=TH!$W$7,M2120=TH!$W$7),"x","")</f>
        <v/>
      </c>
      <c r="X2120" s="39" t="str">
        <f>IF(AND(B2120&gt;='IN-NX'!$P$3,B2120&lt;='IN-NX'!$Q$3,'IN-NX'!$D$7=D2120,OR(LEFT(L2120,2)="15",AND(LEFT(M2120,2)&lt;&gt;"15",LEFT(M2120,2)&lt;&gt;"33"))),"x","")</f>
        <v/>
      </c>
      <c r="Y2120" s="39" t="str">
        <f>IF(AND(OR(LEFT(TH!L2120,2)="15",LEFT(TH!M2120,2)="15"),'152-CT'!$J$8=TH!F2120),"x","")</f>
        <v/>
      </c>
      <c r="Z2120" s="39" t="str">
        <f>IF(AND(OR(LEFT(TH!L2120,2)="15",LEFT(TH!M2120,2)="15"),TK!$E$7=TH!F2120),"x","")</f>
        <v/>
      </c>
      <c r="AA2120" s="39" t="str">
        <f>IF(AND(B2120&lt;=NKC!$N$8,B2120&gt;=NKC!$M$8),"x","")</f>
        <v/>
      </c>
      <c r="AB2120" s="821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105"/>
        <v/>
      </c>
      <c r="C2121" s="191"/>
      <c r="D2121" s="191"/>
      <c r="E2121" s="191"/>
      <c r="F2121" s="192"/>
      <c r="G2121" s="468"/>
      <c r="H2121" s="193"/>
      <c r="I2121" s="256"/>
      <c r="J2121" s="256"/>
      <c r="K2121" s="568"/>
      <c r="L2121" s="194"/>
      <c r="M2121" s="194"/>
      <c r="N2121" s="39" t="str">
        <f>IF(AND('331-CT'!$E$7=TH!H2121,OR(L2121="331",M2121="331")),"331",IF(AND(OR(L2121="131",M2121="131"),H2121='131-CT'!$E$7),"131",""))</f>
        <v/>
      </c>
      <c r="O2121" s="902" t="str">
        <f>IF(AND('341-CT'!$E$9=H2121,OR(LEFT(L2121,3)=$O$7,LEFT(M2121,3)=$O$7)),"x","")</f>
        <v/>
      </c>
      <c r="P2121" s="39" t="str">
        <f>IF(AND($B2121&gt;='111'!$N$11,$B2121&lt;='111'!$O$11,OR($L2121=$P$7,$M2121=$P$7)),"x","")</f>
        <v/>
      </c>
      <c r="Q2121" s="39" t="str">
        <f>IF(AND($L2121=$P$7,$B2121&lt;'111'!$N$11),"x","")</f>
        <v/>
      </c>
      <c r="R2121" s="39" t="str">
        <f>IF(AND($M2121=$P$7,$B2121&lt;'111'!$N$11),"x","")</f>
        <v/>
      </c>
      <c r="S2121" s="39" t="str">
        <f>IF(ISERROR(FIND('112'!$M$9,G2121,1)),"",IF((AND(FIND('112'!$M$9,G2121,1)&gt;=1,$B2121&gt;='112'!$N$8,$B2121&lt;='112'!$O$8,OR($L2121='112'!$I$6,$M2121='112'!$I$6))),"x",""))</f>
        <v/>
      </c>
      <c r="T2121" s="39" t="str">
        <f>IF(ISERROR(FIND('112'!$M$9,G2121,1)),"",IF((AND(LEFT(G2121,2)=LEFT('112'!$M$9,2),B2121&lt;'112'!$N$8,$L2121='112'!$I$6)),"x",""))</f>
        <v/>
      </c>
      <c r="U2121" s="39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39" t="str">
        <f>IF(OR(TH!L2121=TH!$W$7,M2121=TH!$W$7),"x","")</f>
        <v/>
      </c>
      <c r="X2121" s="39" t="str">
        <f>IF(AND(B2121&gt;='IN-NX'!$P$3,B2121&lt;='IN-NX'!$Q$3,'IN-NX'!$D$7=D2121,OR(LEFT(L2121,2)="15",AND(LEFT(M2121,2)&lt;&gt;"15",LEFT(M2121,2)&lt;&gt;"33"))),"x","")</f>
        <v/>
      </c>
      <c r="Y2121" s="39" t="str">
        <f>IF(AND(OR(LEFT(TH!L2121,2)="15",LEFT(TH!M2121,2)="15"),'152-CT'!$J$8=TH!F2121),"x","")</f>
        <v/>
      </c>
      <c r="Z2121" s="39" t="str">
        <f>IF(AND(OR(LEFT(TH!L2121,2)="15",LEFT(TH!M2121,2)="15"),TK!$E$7=TH!F2121),"x","")</f>
        <v/>
      </c>
      <c r="AA2121" s="39" t="str">
        <f>IF(AND(B2121&lt;=NKC!$N$8,B2121&gt;=NKC!$M$8),"x","")</f>
        <v/>
      </c>
      <c r="AB2121" s="821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105"/>
        <v/>
      </c>
      <c r="C2122" s="191"/>
      <c r="D2122" s="191"/>
      <c r="E2122" s="191"/>
      <c r="F2122" s="192"/>
      <c r="G2122" s="468"/>
      <c r="H2122" s="193"/>
      <c r="I2122" s="256"/>
      <c r="J2122" s="256"/>
      <c r="K2122" s="568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902" t="str">
        <f>IF(AND('341-CT'!$E$9=H2122,OR(LEFT(L2122,3)=$O$7,LEFT(M2122,3)=$O$7)),"x","")</f>
        <v/>
      </c>
      <c r="P2122" s="39" t="str">
        <f>IF(AND($B2122&gt;='111'!$N$11,$B2122&lt;='111'!$O$11,OR($L2122=$P$7,$M2122=$P$7)),"x","")</f>
        <v/>
      </c>
      <c r="Q2122" s="39" t="str">
        <f>IF(AND($L2122=$P$7,$B2122&lt;'111'!$N$11),"x","")</f>
        <v/>
      </c>
      <c r="R2122" s="39" t="str">
        <f>IF(AND($M2122=$P$7,$B2122&lt;'111'!$N$11),"x","")</f>
        <v/>
      </c>
      <c r="S2122" s="39" t="str">
        <f>IF(ISERROR(FIND('112'!$M$9,G2122,1)),"",IF((AND(FIND('112'!$M$9,G2122,1)&gt;=1,$B2122&gt;='112'!$N$8,$B2122&lt;='112'!$O$8,OR($L2122='112'!$I$6,$M2122='112'!$I$6))),"x",""))</f>
        <v/>
      </c>
      <c r="T2122" s="39" t="str">
        <f>IF(ISERROR(FIND('112'!$M$9,G2122,1)),"",IF((AND(LEFT(G2122,2)=LEFT('112'!$M$9,2),B2122&lt;'112'!$N$8,$L2122='112'!$I$6)),"x",""))</f>
        <v/>
      </c>
      <c r="U2122" s="39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39" t="str">
        <f>IF(OR(TH!L2122=TH!$W$7,M2122=TH!$W$7),"x","")</f>
        <v/>
      </c>
      <c r="X2122" s="39" t="str">
        <f>IF(AND(B2122&gt;='IN-NX'!$P$3,B2122&lt;='IN-NX'!$Q$3,'IN-NX'!$D$7=D2122,OR(LEFT(L2122,2)="15",AND(LEFT(M2122,2)&lt;&gt;"15",LEFT(M2122,2)&lt;&gt;"33"))),"x","")</f>
        <v/>
      </c>
      <c r="Y2122" s="39" t="str">
        <f>IF(AND(OR(LEFT(TH!L2122,2)="15",LEFT(TH!M2122,2)="15"),'152-CT'!$J$8=TH!F2122),"x","")</f>
        <v/>
      </c>
      <c r="Z2122" s="39" t="str">
        <f>IF(AND(OR(LEFT(TH!L2122,2)="15",LEFT(TH!M2122,2)="15"),TK!$E$7=TH!F2122),"x","")</f>
        <v/>
      </c>
      <c r="AA2122" s="39" t="str">
        <f>IF(AND(B2122&lt;=NKC!$N$8,B2122&gt;=NKC!$M$8),"x","")</f>
        <v/>
      </c>
      <c r="AB2122" s="821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105"/>
        <v/>
      </c>
      <c r="C2123" s="191"/>
      <c r="D2123" s="191"/>
      <c r="E2123" s="191"/>
      <c r="F2123" s="192"/>
      <c r="G2123" s="468"/>
      <c r="H2123" s="193"/>
      <c r="I2123" s="256"/>
      <c r="J2123" s="256"/>
      <c r="K2123" s="568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902" t="str">
        <f>IF(AND('341-CT'!$E$9=H2123,OR(LEFT(L2123,3)=$O$7,LEFT(M2123,3)=$O$7)),"x","")</f>
        <v/>
      </c>
      <c r="P2123" s="39" t="str">
        <f>IF(AND($B2123&gt;='111'!$N$11,$B2123&lt;='111'!$O$11,OR($L2123=$P$7,$M2123=$P$7)),"x","")</f>
        <v/>
      </c>
      <c r="Q2123" s="39" t="str">
        <f>IF(AND($L2123=$P$7,$B2123&lt;'111'!$N$11),"x","")</f>
        <v/>
      </c>
      <c r="R2123" s="39" t="str">
        <f>IF(AND($M2123=$P$7,$B2123&lt;'111'!$N$11),"x","")</f>
        <v/>
      </c>
      <c r="S2123" s="39" t="str">
        <f>IF(ISERROR(FIND('112'!$M$9,G2123,1)),"",IF((AND(FIND('112'!$M$9,G2123,1)&gt;=1,$B2123&gt;='112'!$N$8,$B2123&lt;='112'!$O$8,OR($L2123='112'!$I$6,$M2123='112'!$I$6))),"x",""))</f>
        <v/>
      </c>
      <c r="T2123" s="39" t="str">
        <f>IF(ISERROR(FIND('112'!$M$9,G2123,1)),"",IF((AND(LEFT(G2123,2)=LEFT('112'!$M$9,2),B2123&lt;'112'!$N$8,$L2123='112'!$I$6)),"x",""))</f>
        <v/>
      </c>
      <c r="U2123" s="39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39" t="str">
        <f>IF(OR(TH!L2123=TH!$W$7,M2123=TH!$W$7),"x","")</f>
        <v/>
      </c>
      <c r="X2123" s="39" t="str">
        <f>IF(AND(B2123&gt;='IN-NX'!$P$3,B2123&lt;='IN-NX'!$Q$3,'IN-NX'!$D$7=D2123,OR(LEFT(L2123,2)="15",AND(LEFT(M2123,2)&lt;&gt;"15",LEFT(M2123,2)&lt;&gt;"33"))),"x","")</f>
        <v/>
      </c>
      <c r="Y2123" s="39" t="str">
        <f>IF(AND(OR(LEFT(TH!L2123,2)="15",LEFT(TH!M2123,2)="15"),'152-CT'!$J$8=TH!F2123),"x","")</f>
        <v/>
      </c>
      <c r="Z2123" s="39" t="str">
        <f>IF(AND(OR(LEFT(TH!L2123,2)="15",LEFT(TH!M2123,2)="15"),TK!$E$7=TH!F2123),"x","")</f>
        <v/>
      </c>
      <c r="AA2123" s="39" t="str">
        <f>IF(AND(B2123&lt;=NKC!$N$8,B2123&gt;=NKC!$M$8),"x","")</f>
        <v/>
      </c>
      <c r="AB2123" s="821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105"/>
        <v/>
      </c>
      <c r="C2124" s="191"/>
      <c r="D2124" s="191"/>
      <c r="E2124" s="191"/>
      <c r="F2124" s="192"/>
      <c r="G2124" s="468"/>
      <c r="H2124" s="193"/>
      <c r="I2124" s="256"/>
      <c r="J2124" s="256"/>
      <c r="K2124" s="568"/>
      <c r="L2124" s="194"/>
      <c r="M2124" s="194"/>
      <c r="N2124" s="39" t="str">
        <f>IF(AND('331-CT'!$E$7=TH!H2124,OR(L2124="331",M2124="331")),"331",IF(AND(OR(L2124="131",M2124="131"),H2124='131-CT'!$E$7),"131",""))</f>
        <v/>
      </c>
      <c r="O2124" s="902" t="str">
        <f>IF(AND('341-CT'!$E$9=H2124,OR(LEFT(L2124,3)=$O$7,LEFT(M2124,3)=$O$7)),"x","")</f>
        <v/>
      </c>
      <c r="P2124" s="39" t="str">
        <f>IF(AND($B2124&gt;='111'!$N$11,$B2124&lt;='111'!$O$11,OR($L2124=$P$7,$M2124=$P$7)),"x","")</f>
        <v/>
      </c>
      <c r="Q2124" s="39" t="str">
        <f>IF(AND($L2124=$P$7,$B2124&lt;'111'!$N$11),"x","")</f>
        <v/>
      </c>
      <c r="R2124" s="39" t="str">
        <f>IF(AND($M2124=$P$7,$B2124&lt;'111'!$N$11),"x","")</f>
        <v/>
      </c>
      <c r="S2124" s="39" t="str">
        <f>IF(ISERROR(FIND('112'!$M$9,G2124,1)),"",IF((AND(FIND('112'!$M$9,G2124,1)&gt;=1,$B2124&gt;='112'!$N$8,$B2124&lt;='112'!$O$8,OR($L2124='112'!$I$6,$M2124='112'!$I$6))),"x",""))</f>
        <v/>
      </c>
      <c r="T2124" s="39" t="str">
        <f>IF(ISERROR(FIND('112'!$M$9,G2124,1)),"",IF((AND(LEFT(G2124,2)=LEFT('112'!$M$9,2),B2124&lt;'112'!$N$8,$L2124='112'!$I$6)),"x",""))</f>
        <v/>
      </c>
      <c r="U2124" s="39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39" t="str">
        <f>IF(OR(TH!L2124=TH!$W$7,M2124=TH!$W$7),"x","")</f>
        <v/>
      </c>
      <c r="X2124" s="39" t="str">
        <f>IF(AND(B2124&gt;='IN-NX'!$P$3,B2124&lt;='IN-NX'!$Q$3,'IN-NX'!$D$7=D2124,OR(LEFT(L2124,2)="15",AND(LEFT(M2124,2)&lt;&gt;"15",LEFT(M2124,2)&lt;&gt;"33"))),"x","")</f>
        <v/>
      </c>
      <c r="Y2124" s="39" t="str">
        <f>IF(AND(OR(LEFT(TH!L2124,2)="15",LEFT(TH!M2124,2)="15"),'152-CT'!$J$8=TH!F2124),"x","")</f>
        <v/>
      </c>
      <c r="Z2124" s="39" t="str">
        <f>IF(AND(OR(LEFT(TH!L2124,2)="15",LEFT(TH!M2124,2)="15"),TK!$E$7=TH!F2124),"x","")</f>
        <v/>
      </c>
      <c r="AA2124" s="39" t="str">
        <f>IF(AND(B2124&lt;=NKC!$N$8,B2124&gt;=NKC!$M$8),"x","")</f>
        <v/>
      </c>
      <c r="AB2124" s="821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105"/>
        <v/>
      </c>
      <c r="C2125" s="191"/>
      <c r="D2125" s="191"/>
      <c r="E2125" s="191"/>
      <c r="F2125" s="192"/>
      <c r="G2125" s="468"/>
      <c r="H2125" s="193"/>
      <c r="I2125" s="256"/>
      <c r="J2125" s="256"/>
      <c r="K2125" s="568"/>
      <c r="L2125" s="194"/>
      <c r="M2125" s="194"/>
      <c r="N2125" s="39" t="str">
        <f>IF(AND('331-CT'!$E$7=TH!H2125,OR(L2125="331",M2125="331")),"331",IF(AND(OR(L2125="131",M2125="131"),H2125='131-CT'!$E$7),"131",""))</f>
        <v/>
      </c>
      <c r="O2125" s="902" t="str">
        <f>IF(AND('341-CT'!$E$9=H2125,OR(LEFT(L2125,3)=$O$7,LEFT(M2125,3)=$O$7)),"x","")</f>
        <v/>
      </c>
      <c r="P2125" s="39" t="str">
        <f>IF(AND($B2125&gt;='111'!$N$11,$B2125&lt;='111'!$O$11,OR($L2125=$P$7,$M2125=$P$7)),"x","")</f>
        <v/>
      </c>
      <c r="Q2125" s="39" t="str">
        <f>IF(AND($L2125=$P$7,$B2125&lt;'111'!$N$11),"x","")</f>
        <v/>
      </c>
      <c r="R2125" s="39" t="str">
        <f>IF(AND($M2125=$P$7,$B2125&lt;'111'!$N$11),"x","")</f>
        <v/>
      </c>
      <c r="S2125" s="39" t="str">
        <f>IF(ISERROR(FIND('112'!$M$9,G2125,1)),"",IF((AND(FIND('112'!$M$9,G2125,1)&gt;=1,$B2125&gt;='112'!$N$8,$B2125&lt;='112'!$O$8,OR($L2125='112'!$I$6,$M2125='112'!$I$6))),"x",""))</f>
        <v/>
      </c>
      <c r="T2125" s="39" t="str">
        <f>IF(ISERROR(FIND('112'!$M$9,G2125,1)),"",IF((AND(LEFT(G2125,2)=LEFT('112'!$M$9,2),B2125&lt;'112'!$N$8,$L2125='112'!$I$6)),"x",""))</f>
        <v/>
      </c>
      <c r="U2125" s="39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39" t="str">
        <f>IF(OR(TH!L2125=TH!$W$7,M2125=TH!$W$7),"x","")</f>
        <v/>
      </c>
      <c r="X2125" s="39" t="str">
        <f>IF(AND(B2125&gt;='IN-NX'!$P$3,B2125&lt;='IN-NX'!$Q$3,'IN-NX'!$D$7=D2125,OR(LEFT(L2125,2)="15",AND(LEFT(M2125,2)&lt;&gt;"15",LEFT(M2125,2)&lt;&gt;"33"))),"x","")</f>
        <v/>
      </c>
      <c r="Y2125" s="39" t="str">
        <f>IF(AND(OR(LEFT(TH!L2125,2)="15",LEFT(TH!M2125,2)="15"),'152-CT'!$J$8=TH!F2125),"x","")</f>
        <v/>
      </c>
      <c r="Z2125" s="39" t="str">
        <f>IF(AND(OR(LEFT(TH!L2125,2)="15",LEFT(TH!M2125,2)="15"),TK!$E$7=TH!F2125),"x","")</f>
        <v/>
      </c>
      <c r="AA2125" s="39" t="str">
        <f>IF(AND(B2125&lt;=NKC!$N$8,B2125&gt;=NKC!$M$8),"x","")</f>
        <v/>
      </c>
      <c r="AB2125" s="821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105"/>
        <v/>
      </c>
      <c r="C2126" s="191"/>
      <c r="D2126" s="191"/>
      <c r="E2126" s="191"/>
      <c r="F2126" s="189"/>
      <c r="G2126" s="468"/>
      <c r="H2126" s="193"/>
      <c r="I2126" s="256"/>
      <c r="J2126" s="256"/>
      <c r="K2126" s="568"/>
      <c r="L2126" s="194"/>
      <c r="M2126" s="194"/>
      <c r="N2126" s="39" t="str">
        <f>IF(AND('331-CT'!$E$7=TH!H2126,OR(L2126="331",M2126="331")),"331",IF(AND(OR(L2126="131",M2126="131"),H2126='131-CT'!$E$7),"131",""))</f>
        <v/>
      </c>
      <c r="O2126" s="902" t="str">
        <f>IF(AND('341-CT'!$E$9=H2126,OR(LEFT(L2126,3)=$O$7,LEFT(M2126,3)=$O$7)),"x","")</f>
        <v/>
      </c>
      <c r="P2126" s="39" t="str">
        <f>IF(AND($B2126&gt;='111'!$N$11,$B2126&lt;='111'!$O$11,OR($L2126=$P$7,$M2126=$P$7)),"x","")</f>
        <v/>
      </c>
      <c r="Q2126" s="39" t="str">
        <f>IF(AND($L2126=$P$7,$B2126&lt;'111'!$N$11),"x","")</f>
        <v/>
      </c>
      <c r="R2126" s="39" t="str">
        <f>IF(AND($M2126=$P$7,$B2126&lt;'111'!$N$11),"x","")</f>
        <v/>
      </c>
      <c r="S2126" s="39" t="str">
        <f>IF(ISERROR(FIND('112'!$M$9,G2126,1)),"",IF((AND(FIND('112'!$M$9,G2126,1)&gt;=1,$B2126&gt;='112'!$N$8,$B2126&lt;='112'!$O$8,OR($L2126='112'!$I$6,$M2126='112'!$I$6))),"x",""))</f>
        <v/>
      </c>
      <c r="T2126" s="39" t="str">
        <f>IF(ISERROR(FIND('112'!$M$9,G2126,1)),"",IF((AND(LEFT(G2126,2)=LEFT('112'!$M$9,2),B2126&lt;'112'!$N$8,$L2126='112'!$I$6)),"x",""))</f>
        <v/>
      </c>
      <c r="U2126" s="39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39" t="str">
        <f>IF(OR(TH!L2126=TH!$W$7,M2126=TH!$W$7),"x","")</f>
        <v/>
      </c>
      <c r="X2126" s="39" t="str">
        <f>IF(AND(B2126&gt;='IN-NX'!$P$3,B2126&lt;='IN-NX'!$Q$3,'IN-NX'!$D$7=D2126,OR(LEFT(L2126,2)="15",AND(LEFT(M2126,2)&lt;&gt;"15",LEFT(M2126,2)&lt;&gt;"33"))),"x","")</f>
        <v/>
      </c>
      <c r="Y2126" s="39" t="str">
        <f>IF(AND(OR(LEFT(TH!L2126,2)="15",LEFT(TH!M2126,2)="15"),'152-CT'!$J$8=TH!F2126),"x","")</f>
        <v/>
      </c>
      <c r="Z2126" s="39" t="str">
        <f>IF(AND(OR(LEFT(TH!L2126,2)="15",LEFT(TH!M2126,2)="15"),TK!$E$7=TH!F2126),"x","")</f>
        <v/>
      </c>
      <c r="AA2126" s="39" t="str">
        <f>IF(AND(B2126&lt;=NKC!$N$8,B2126&gt;=NKC!$M$8),"x","")</f>
        <v/>
      </c>
      <c r="AB2126" s="821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105"/>
        <v/>
      </c>
      <c r="C2127" s="191"/>
      <c r="D2127" s="191"/>
      <c r="E2127" s="191"/>
      <c r="F2127" s="192"/>
      <c r="G2127" s="468"/>
      <c r="H2127" s="193"/>
      <c r="I2127" s="256"/>
      <c r="J2127" s="256"/>
      <c r="K2127" s="568"/>
      <c r="L2127" s="194"/>
      <c r="M2127" s="194"/>
      <c r="N2127" s="39" t="str">
        <f>IF(AND('331-CT'!$E$7=TH!H2127,OR(L2127="331",M2127="331")),"331",IF(AND(OR(L2127="131",M2127="131"),H2127='131-CT'!$E$7),"131",""))</f>
        <v/>
      </c>
      <c r="O2127" s="902" t="str">
        <f>IF(AND('341-CT'!$E$9=H2127,OR(LEFT(L2127,3)=$O$7,LEFT(M2127,3)=$O$7)),"x","")</f>
        <v/>
      </c>
      <c r="P2127" s="39" t="str">
        <f>IF(AND($B2127&gt;='111'!$N$11,$B2127&lt;='111'!$O$11,OR($L2127=$P$7,$M2127=$P$7)),"x","")</f>
        <v/>
      </c>
      <c r="Q2127" s="39" t="str">
        <f>IF(AND($L2127=$P$7,$B2127&lt;'111'!$N$11),"x","")</f>
        <v/>
      </c>
      <c r="R2127" s="39" t="str">
        <f>IF(AND($M2127=$P$7,$B2127&lt;'111'!$N$11),"x","")</f>
        <v/>
      </c>
      <c r="S2127" s="39" t="str">
        <f>IF(ISERROR(FIND('112'!$M$9,G2127,1)),"",IF((AND(FIND('112'!$M$9,G2127,1)&gt;=1,$B2127&gt;='112'!$N$8,$B2127&lt;='112'!$O$8,OR($L2127='112'!$I$6,$M2127='112'!$I$6))),"x",""))</f>
        <v/>
      </c>
      <c r="T2127" s="39" t="str">
        <f>IF(ISERROR(FIND('112'!$M$9,G2127,1)),"",IF((AND(LEFT(G2127,2)=LEFT('112'!$M$9,2),B2127&lt;'112'!$N$8,$L2127='112'!$I$6)),"x",""))</f>
        <v/>
      </c>
      <c r="U2127" s="39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39" t="str">
        <f>IF(OR(TH!L2127=TH!$W$7,M2127=TH!$W$7),"x","")</f>
        <v/>
      </c>
      <c r="X2127" s="39" t="str">
        <f>IF(AND(B2127&gt;='IN-NX'!$P$3,B2127&lt;='IN-NX'!$Q$3,'IN-NX'!$D$7=D2127,OR(LEFT(L2127,2)="15",AND(LEFT(M2127,2)&lt;&gt;"15",LEFT(M2127,2)&lt;&gt;"33"))),"x","")</f>
        <v/>
      </c>
      <c r="Y2127" s="39" t="str">
        <f>IF(AND(OR(LEFT(TH!L2127,2)="15",LEFT(TH!M2127,2)="15"),'152-CT'!$J$8=TH!F2127),"x","")</f>
        <v/>
      </c>
      <c r="Z2127" s="39" t="str">
        <f>IF(AND(OR(LEFT(TH!L2127,2)="15",LEFT(TH!M2127,2)="15"),TK!$E$7=TH!F2127),"x","")</f>
        <v/>
      </c>
      <c r="AA2127" s="39" t="str">
        <f>IF(AND(B2127&lt;=NKC!$N$8,B2127&gt;=NKC!$M$8),"x","")</f>
        <v/>
      </c>
      <c r="AB2127" s="821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105"/>
        <v/>
      </c>
      <c r="C2128" s="191"/>
      <c r="D2128" s="191"/>
      <c r="E2128" s="191"/>
      <c r="F2128" s="192"/>
      <c r="G2128" s="468"/>
      <c r="H2128" s="193"/>
      <c r="I2128" s="256"/>
      <c r="J2128" s="256"/>
      <c r="K2128" s="568"/>
      <c r="L2128" s="194"/>
      <c r="M2128" s="194"/>
      <c r="N2128" s="39" t="str">
        <f>IF(AND('331-CT'!$E$7=TH!H2128,OR(L2128="331",M2128="331")),"331",IF(AND(OR(L2128="131",M2128="131"),H2128='131-CT'!$E$7),"131",""))</f>
        <v/>
      </c>
      <c r="O2128" s="902" t="str">
        <f>IF(AND('341-CT'!$E$9=H2128,OR(LEFT(L2128,3)=$O$7,LEFT(M2128,3)=$O$7)),"x","")</f>
        <v/>
      </c>
      <c r="P2128" s="39" t="str">
        <f>IF(AND($B2128&gt;='111'!$N$11,$B2128&lt;='111'!$O$11,OR($L2128=$P$7,$M2128=$P$7)),"x","")</f>
        <v/>
      </c>
      <c r="Q2128" s="39" t="str">
        <f>IF(AND($L2128=$P$7,$B2128&lt;'111'!$N$11),"x","")</f>
        <v/>
      </c>
      <c r="R2128" s="39" t="str">
        <f>IF(AND($M2128=$P$7,$B2128&lt;'111'!$N$11),"x","")</f>
        <v/>
      </c>
      <c r="S2128" s="39" t="str">
        <f>IF(ISERROR(FIND('112'!$M$9,G2128,1)),"",IF((AND(FIND('112'!$M$9,G2128,1)&gt;=1,$B2128&gt;='112'!$N$8,$B2128&lt;='112'!$O$8,OR($L2128='112'!$I$6,$M2128='112'!$I$6))),"x",""))</f>
        <v/>
      </c>
      <c r="T2128" s="39" t="str">
        <f>IF(ISERROR(FIND('112'!$M$9,G2128,1)),"",IF((AND(LEFT(G2128,2)=LEFT('112'!$M$9,2),B2128&lt;'112'!$N$8,$L2128='112'!$I$6)),"x",""))</f>
        <v/>
      </c>
      <c r="U2128" s="39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39" t="str">
        <f>IF(OR(TH!L2128=TH!$W$7,M2128=TH!$W$7),"x","")</f>
        <v/>
      </c>
      <c r="X2128" s="39" t="str">
        <f>IF(AND(B2128&gt;='IN-NX'!$P$3,B2128&lt;='IN-NX'!$Q$3,'IN-NX'!$D$7=D2128,OR(LEFT(L2128,2)="15",AND(LEFT(M2128,2)&lt;&gt;"15",LEFT(M2128,2)&lt;&gt;"33"))),"x","")</f>
        <v/>
      </c>
      <c r="Y2128" s="39" t="str">
        <f>IF(AND(OR(LEFT(TH!L2128,2)="15",LEFT(TH!M2128,2)="15"),'152-CT'!$J$8=TH!F2128),"x","")</f>
        <v/>
      </c>
      <c r="Z2128" s="39" t="str">
        <f>IF(AND(OR(LEFT(TH!L2128,2)="15",LEFT(TH!M2128,2)="15"),TK!$E$7=TH!F2128),"x","")</f>
        <v/>
      </c>
      <c r="AA2128" s="39" t="str">
        <f>IF(AND(B2128&lt;=NKC!$N$8,B2128&gt;=NKC!$M$8),"x","")</f>
        <v/>
      </c>
      <c r="AB2128" s="821"/>
    </row>
    <row r="2129" spans="1:28" s="211" customFormat="1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105"/>
        <v/>
      </c>
      <c r="C2129" s="191"/>
      <c r="D2129" s="191"/>
      <c r="E2129" s="191"/>
      <c r="F2129" s="192"/>
      <c r="G2129" s="468"/>
      <c r="H2129" s="193"/>
      <c r="I2129" s="256"/>
      <c r="J2129" s="256"/>
      <c r="K2129" s="568"/>
      <c r="L2129" s="194"/>
      <c r="M2129" s="194"/>
      <c r="N2129" s="39" t="str">
        <f>IF(AND('331-CT'!$E$7=TH!H2129,OR(L2129="331",M2129="331")),"331",IF(AND(OR(L2129="131",M2129="131"),H2129='131-CT'!$E$7),"131",""))</f>
        <v/>
      </c>
      <c r="O2129" s="902" t="str">
        <f>IF(AND('341-CT'!$E$9=H2129,OR(LEFT(L2129,3)=$O$7,LEFT(M2129,3)=$O$7)),"x","")</f>
        <v/>
      </c>
      <c r="P2129" s="39" t="str">
        <f>IF(AND($B2129&gt;='111'!$N$11,$B2129&lt;='111'!$O$11,OR($L2129=$P$7,$M2129=$P$7)),"x","")</f>
        <v/>
      </c>
      <c r="Q2129" s="39" t="str">
        <f>IF(AND($L2129=$P$7,$B2129&lt;'111'!$N$11),"x","")</f>
        <v/>
      </c>
      <c r="R2129" s="39" t="str">
        <f>IF(AND($M2129=$P$7,$B2129&lt;'111'!$N$11),"x","")</f>
        <v/>
      </c>
      <c r="S2129" s="39" t="str">
        <f>IF(ISERROR(FIND('112'!$M$9,G2129,1)),"",IF((AND(FIND('112'!$M$9,G2129,1)&gt;=1,$B2129&gt;='112'!$N$8,$B2129&lt;='112'!$O$8,OR($L2129='112'!$I$6,$M2129='112'!$I$6))),"x",""))</f>
        <v/>
      </c>
      <c r="T2129" s="39" t="str">
        <f>IF(ISERROR(FIND('112'!$M$9,G2129,1)),"",IF((AND(LEFT(G2129,2)=LEFT('112'!$M$9,2),B2129&lt;'112'!$N$8,$L2129='112'!$I$6)),"x",""))</f>
        <v/>
      </c>
      <c r="U2129" s="39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39" t="str">
        <f>IF(OR(TH!L2129=TH!$W$7,M2129=TH!$W$7),"x","")</f>
        <v/>
      </c>
      <c r="X2129" s="39" t="str">
        <f>IF(AND(B2129&gt;='IN-NX'!$P$3,B2129&lt;='IN-NX'!$Q$3,'IN-NX'!$D$7=D2129,OR(LEFT(L2129,2)="15",AND(LEFT(M2129,2)&lt;&gt;"15",LEFT(M2129,2)&lt;&gt;"33"))),"x","")</f>
        <v/>
      </c>
      <c r="Y2129" s="39" t="str">
        <f>IF(AND(OR(LEFT(TH!L2129,2)="15",LEFT(TH!M2129,2)="15"),'152-CT'!$J$8=TH!F2129),"x","")</f>
        <v/>
      </c>
      <c r="Z2129" s="39" t="str">
        <f>IF(AND(OR(LEFT(TH!L2129,2)="15",LEFT(TH!M2129,2)="15"),TK!$E$7=TH!F2129),"x","")</f>
        <v/>
      </c>
      <c r="AA2129" s="39" t="str">
        <f>IF(AND(B2129&lt;=NKC!$N$8,B2129&gt;=NKC!$M$8),"x","")</f>
        <v/>
      </c>
      <c r="AB2129" s="821"/>
    </row>
    <row r="2130" spans="1:28" s="211" customFormat="1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105"/>
        <v/>
      </c>
      <c r="C2130" s="191"/>
      <c r="D2130" s="191"/>
      <c r="E2130" s="191"/>
      <c r="F2130" s="192"/>
      <c r="G2130" s="468"/>
      <c r="H2130" s="193"/>
      <c r="I2130" s="256"/>
      <c r="J2130" s="256"/>
      <c r="K2130" s="568"/>
      <c r="L2130" s="194"/>
      <c r="M2130" s="194"/>
      <c r="N2130" s="39" t="str">
        <f>IF(AND('331-CT'!$E$7=TH!H2130,OR(L2130="331",M2130="331")),"331",IF(AND(OR(L2130="131",M2130="131"),H2130='131-CT'!$E$7),"131",""))</f>
        <v/>
      </c>
      <c r="O2130" s="902" t="str">
        <f>IF(AND('341-CT'!$E$9=H2130,OR(LEFT(L2130,3)=$O$7,LEFT(M2130,3)=$O$7)),"x","")</f>
        <v/>
      </c>
      <c r="P2130" s="39" t="str">
        <f>IF(AND($B2130&gt;='111'!$N$11,$B2130&lt;='111'!$O$11,OR($L2130=$P$7,$M2130=$P$7)),"x","")</f>
        <v/>
      </c>
      <c r="Q2130" s="39" t="str">
        <f>IF(AND($L2130=$P$7,$B2130&lt;'111'!$N$11),"x","")</f>
        <v/>
      </c>
      <c r="R2130" s="39" t="str">
        <f>IF(AND($M2130=$P$7,$B2130&lt;'111'!$N$11),"x","")</f>
        <v/>
      </c>
      <c r="S2130" s="39" t="str">
        <f>IF(ISERROR(FIND('112'!$M$9,G2130,1)),"",IF((AND(FIND('112'!$M$9,G2130,1)&gt;=1,$B2130&gt;='112'!$N$8,$B2130&lt;='112'!$O$8,OR($L2130='112'!$I$6,$M2130='112'!$I$6))),"x",""))</f>
        <v/>
      </c>
      <c r="T2130" s="39" t="str">
        <f>IF(ISERROR(FIND('112'!$M$9,G2130,1)),"",IF((AND(LEFT(G2130,2)=LEFT('112'!$M$9,2),B2130&lt;'112'!$N$8,$L2130='112'!$I$6)),"x",""))</f>
        <v/>
      </c>
      <c r="U2130" s="39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39" t="str">
        <f>IF(OR(TH!L2130=TH!$W$7,M2130=TH!$W$7),"x","")</f>
        <v/>
      </c>
      <c r="X2130" s="39" t="str">
        <f>IF(AND(B2130&gt;='IN-NX'!$P$3,B2130&lt;='IN-NX'!$Q$3,'IN-NX'!$D$7=D2130,OR(LEFT(L2130,2)="15",AND(LEFT(M2130,2)&lt;&gt;"15",LEFT(M2130,2)&lt;&gt;"33"))),"x","")</f>
        <v/>
      </c>
      <c r="Y2130" s="39" t="str">
        <f>IF(AND(OR(LEFT(TH!L2130,2)="15",LEFT(TH!M2130,2)="15"),'152-CT'!$J$8=TH!F2130),"x","")</f>
        <v/>
      </c>
      <c r="Z2130" s="39" t="str">
        <f>IF(AND(OR(LEFT(TH!L2130,2)="15",LEFT(TH!M2130,2)="15"),TK!$E$7=TH!F2130),"x","")</f>
        <v/>
      </c>
      <c r="AA2130" s="39" t="str">
        <f>IF(AND(B2130&lt;=NKC!$N$8,B2130&gt;=NKC!$M$8),"x","")</f>
        <v/>
      </c>
      <c r="AB2130" s="821"/>
    </row>
    <row r="2131" spans="1:28" s="211" customFormat="1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105"/>
        <v/>
      </c>
      <c r="C2131" s="191"/>
      <c r="D2131" s="191"/>
      <c r="E2131" s="191"/>
      <c r="F2131" s="192"/>
      <c r="G2131" s="468"/>
      <c r="H2131" s="193"/>
      <c r="I2131" s="256"/>
      <c r="J2131" s="256"/>
      <c r="K2131" s="568"/>
      <c r="L2131" s="194"/>
      <c r="M2131" s="194"/>
      <c r="N2131" s="39" t="str">
        <f>IF(AND('331-CT'!$E$7=TH!H2131,OR(L2131="331",M2131="331")),"331",IF(AND(OR(L2131="131",M2131="131"),H2131='131-CT'!$E$7),"131",""))</f>
        <v/>
      </c>
      <c r="O2131" s="902" t="str">
        <f>IF(AND('341-CT'!$E$9=H2131,OR(LEFT(L2131,3)=$O$7,LEFT(M2131,3)=$O$7)),"x","")</f>
        <v/>
      </c>
      <c r="P2131" s="39" t="str">
        <f>IF(AND($B2131&gt;='111'!$N$11,$B2131&lt;='111'!$O$11,OR($L2131=$P$7,$M2131=$P$7)),"x","")</f>
        <v/>
      </c>
      <c r="Q2131" s="39" t="str">
        <f>IF(AND($L2131=$P$7,$B2131&lt;'111'!$N$11),"x","")</f>
        <v/>
      </c>
      <c r="R2131" s="39" t="str">
        <f>IF(AND($M2131=$P$7,$B2131&lt;'111'!$N$11),"x","")</f>
        <v/>
      </c>
      <c r="S2131" s="39" t="str">
        <f>IF(ISERROR(FIND('112'!$M$9,G2131,1)),"",IF((AND(FIND('112'!$M$9,G2131,1)&gt;=1,$B2131&gt;='112'!$N$8,$B2131&lt;='112'!$O$8,OR($L2131='112'!$I$6,$M2131='112'!$I$6))),"x",""))</f>
        <v/>
      </c>
      <c r="T2131" s="39" t="str">
        <f>IF(ISERROR(FIND('112'!$M$9,G2131,1)),"",IF((AND(LEFT(G2131,2)=LEFT('112'!$M$9,2),B2131&lt;'112'!$N$8,$L2131='112'!$I$6)),"x",""))</f>
        <v/>
      </c>
      <c r="U2131" s="39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39" t="str">
        <f>IF(OR(TH!L2131=TH!$W$7,M2131=TH!$W$7),"x","")</f>
        <v/>
      </c>
      <c r="X2131" s="39" t="str">
        <f>IF(AND(B2131&gt;='IN-NX'!$P$3,B2131&lt;='IN-NX'!$Q$3,'IN-NX'!$D$7=D2131,OR(LEFT(L2131,2)="15",AND(LEFT(M2131,2)&lt;&gt;"15",LEFT(M2131,2)&lt;&gt;"33"))),"x","")</f>
        <v/>
      </c>
      <c r="Y2131" s="39" t="str">
        <f>IF(AND(OR(LEFT(TH!L2131,2)="15",LEFT(TH!M2131,2)="15"),'152-CT'!$J$8=TH!F2131),"x","")</f>
        <v/>
      </c>
      <c r="Z2131" s="39" t="str">
        <f>IF(AND(OR(LEFT(TH!L2131,2)="15",LEFT(TH!M2131,2)="15"),TK!$E$7=TH!F2131),"x","")</f>
        <v/>
      </c>
      <c r="AA2131" s="39" t="str">
        <f>IF(AND(B2131&lt;=NKC!$N$8,B2131&gt;=NKC!$M$8),"x","")</f>
        <v/>
      </c>
      <c r="AB2131" s="821"/>
    </row>
    <row r="2132" spans="1:28" s="211" customFormat="1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105"/>
        <v/>
      </c>
      <c r="C2132" s="191"/>
      <c r="D2132" s="191"/>
      <c r="E2132" s="191"/>
      <c r="F2132" s="192"/>
      <c r="G2132" s="468"/>
      <c r="H2132" s="193"/>
      <c r="I2132" s="256"/>
      <c r="J2132" s="256"/>
      <c r="K2132" s="568"/>
      <c r="L2132" s="194"/>
      <c r="M2132" s="194"/>
      <c r="N2132" s="39" t="str">
        <f>IF(AND('331-CT'!$E$7=TH!H2132,OR(L2132="331",M2132="331")),"331",IF(AND(OR(L2132="131",M2132="131"),H2132='131-CT'!$E$7),"131",""))</f>
        <v/>
      </c>
      <c r="O2132" s="902" t="str">
        <f>IF(AND('341-CT'!$E$9=H2132,OR(LEFT(L2132,3)=$O$7,LEFT(M2132,3)=$O$7)),"x","")</f>
        <v/>
      </c>
      <c r="P2132" s="39" t="str">
        <f>IF(AND($B2132&gt;='111'!$N$11,$B2132&lt;='111'!$O$11,OR($L2132=$P$7,$M2132=$P$7)),"x","")</f>
        <v/>
      </c>
      <c r="Q2132" s="39" t="str">
        <f>IF(AND($L2132=$P$7,$B2132&lt;'111'!$N$11),"x","")</f>
        <v/>
      </c>
      <c r="R2132" s="39" t="str">
        <f>IF(AND($M2132=$P$7,$B2132&lt;'111'!$N$11),"x","")</f>
        <v/>
      </c>
      <c r="S2132" s="39" t="str">
        <f>IF(ISERROR(FIND('112'!$M$9,G2132,1)),"",IF((AND(FIND('112'!$M$9,G2132,1)&gt;=1,$B2132&gt;='112'!$N$8,$B2132&lt;='112'!$O$8,OR($L2132='112'!$I$6,$M2132='112'!$I$6))),"x",""))</f>
        <v/>
      </c>
      <c r="T2132" s="39" t="str">
        <f>IF(ISERROR(FIND('112'!$M$9,G2132,1)),"",IF((AND(LEFT(G2132,2)=LEFT('112'!$M$9,2),B2132&lt;'112'!$N$8,$L2132='112'!$I$6)),"x",""))</f>
        <v/>
      </c>
      <c r="U2132" s="39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39" t="str">
        <f>IF(OR(TH!L2132=TH!$W$7,M2132=TH!$W$7),"x","")</f>
        <v/>
      </c>
      <c r="X2132" s="39" t="str">
        <f>IF(AND(B2132&gt;='IN-NX'!$P$3,B2132&lt;='IN-NX'!$Q$3,'IN-NX'!$D$7=D2132,OR(LEFT(L2132,2)="15",AND(LEFT(M2132,2)&lt;&gt;"15",LEFT(M2132,2)&lt;&gt;"33"))),"x","")</f>
        <v/>
      </c>
      <c r="Y2132" s="39" t="str">
        <f>IF(AND(OR(LEFT(TH!L2132,2)="15",LEFT(TH!M2132,2)="15"),'152-CT'!$J$8=TH!F2132),"x","")</f>
        <v/>
      </c>
      <c r="Z2132" s="39" t="str">
        <f>IF(AND(OR(LEFT(TH!L2132,2)="15",LEFT(TH!M2132,2)="15"),TK!$E$7=TH!F2132),"x","")</f>
        <v/>
      </c>
      <c r="AA2132" s="39" t="str">
        <f>IF(AND(B2132&lt;=NKC!$N$8,B2132&gt;=NKC!$M$8),"x","")</f>
        <v/>
      </c>
      <c r="AB2132" s="821"/>
    </row>
    <row r="2133" spans="1:28" s="211" customFormat="1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105"/>
        <v/>
      </c>
      <c r="C2133" s="191"/>
      <c r="D2133" s="191"/>
      <c r="E2133" s="191"/>
      <c r="F2133" s="192"/>
      <c r="G2133" s="468"/>
      <c r="H2133" s="193"/>
      <c r="I2133" s="256"/>
      <c r="J2133" s="256"/>
      <c r="K2133" s="568"/>
      <c r="L2133" s="194"/>
      <c r="M2133" s="194"/>
      <c r="N2133" s="39" t="str">
        <f>IF(AND('331-CT'!$E$7=TH!H2133,OR(L2133="331",M2133="331")),"331",IF(AND(OR(L2133="131",M2133="131"),H2133='131-CT'!$E$7),"131",""))</f>
        <v/>
      </c>
      <c r="O2133" s="902" t="str">
        <f>IF(AND('341-CT'!$E$9=H2133,OR(LEFT(L2133,3)=$O$7,LEFT(M2133,3)=$O$7)),"x","")</f>
        <v/>
      </c>
      <c r="P2133" s="39" t="str">
        <f>IF(AND($B2133&gt;='111'!$N$11,$B2133&lt;='111'!$O$11,OR($L2133=$P$7,$M2133=$P$7)),"x","")</f>
        <v/>
      </c>
      <c r="Q2133" s="39" t="str">
        <f>IF(AND($L2133=$P$7,$B2133&lt;'111'!$N$11),"x","")</f>
        <v/>
      </c>
      <c r="R2133" s="39" t="str">
        <f>IF(AND($M2133=$P$7,$B2133&lt;'111'!$N$11),"x","")</f>
        <v/>
      </c>
      <c r="S2133" s="39" t="str">
        <f>IF(ISERROR(FIND('112'!$M$9,G2133,1)),"",IF((AND(FIND('112'!$M$9,G2133,1)&gt;=1,$B2133&gt;='112'!$N$8,$B2133&lt;='112'!$O$8,OR($L2133='112'!$I$6,$M2133='112'!$I$6))),"x",""))</f>
        <v/>
      </c>
      <c r="T2133" s="39" t="str">
        <f>IF(ISERROR(FIND('112'!$M$9,G2133,1)),"",IF((AND(LEFT(G2133,2)=LEFT('112'!$M$9,2),B2133&lt;'112'!$N$8,$L2133='112'!$I$6)),"x",""))</f>
        <v/>
      </c>
      <c r="U2133" s="39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39" t="str">
        <f>IF(OR(TH!L2133=TH!$W$7,M2133=TH!$W$7),"x","")</f>
        <v/>
      </c>
      <c r="X2133" s="39" t="str">
        <f>IF(AND(B2133&gt;='IN-NX'!$P$3,B2133&lt;='IN-NX'!$Q$3,'IN-NX'!$D$7=D2133,OR(LEFT(L2133,2)="15",AND(LEFT(M2133,2)&lt;&gt;"15",LEFT(M2133,2)&lt;&gt;"33"))),"x","")</f>
        <v/>
      </c>
      <c r="Y2133" s="39" t="str">
        <f>IF(AND(OR(LEFT(TH!L2133,2)="15",LEFT(TH!M2133,2)="15"),'152-CT'!$J$8=TH!F2133),"x","")</f>
        <v/>
      </c>
      <c r="Z2133" s="39" t="str">
        <f>IF(AND(OR(LEFT(TH!L2133,2)="15",LEFT(TH!M2133,2)="15"),TK!$E$7=TH!F2133),"x","")</f>
        <v/>
      </c>
      <c r="AA2133" s="39" t="str">
        <f>IF(AND(B2133&lt;=NKC!$N$8,B2133&gt;=NKC!$M$8),"x","")</f>
        <v/>
      </c>
      <c r="AB2133" s="821"/>
    </row>
    <row r="2134" spans="1:28" s="211" customFormat="1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105"/>
        <v/>
      </c>
      <c r="C2134" s="191"/>
      <c r="D2134" s="191"/>
      <c r="E2134" s="191"/>
      <c r="F2134" s="192"/>
      <c r="G2134" s="468"/>
      <c r="H2134" s="193"/>
      <c r="I2134" s="256"/>
      <c r="J2134" s="256"/>
      <c r="K2134" s="568"/>
      <c r="L2134" s="194"/>
      <c r="M2134" s="194"/>
      <c r="N2134" s="39" t="str">
        <f>IF(AND('331-CT'!$E$7=TH!H2134,OR(L2134="331",M2134="331")),"331",IF(AND(OR(L2134="131",M2134="131"),H2134='131-CT'!$E$7),"131",""))</f>
        <v/>
      </c>
      <c r="O2134" s="902" t="str">
        <f>IF(AND('341-CT'!$E$9=H2134,OR(LEFT(L2134,3)=$O$7,LEFT(M2134,3)=$O$7)),"x","")</f>
        <v/>
      </c>
      <c r="P2134" s="39" t="str">
        <f>IF(AND($B2134&gt;='111'!$N$11,$B2134&lt;='111'!$O$11,OR($L2134=$P$7,$M2134=$P$7)),"x","")</f>
        <v/>
      </c>
      <c r="Q2134" s="39" t="str">
        <f>IF(AND($L2134=$P$7,$B2134&lt;'111'!$N$11),"x","")</f>
        <v/>
      </c>
      <c r="R2134" s="39" t="str">
        <f>IF(AND($M2134=$P$7,$B2134&lt;'111'!$N$11),"x","")</f>
        <v/>
      </c>
      <c r="S2134" s="39" t="str">
        <f>IF(ISERROR(FIND('112'!$M$9,G2134,1)),"",IF((AND(FIND('112'!$M$9,G2134,1)&gt;=1,$B2134&gt;='112'!$N$8,$B2134&lt;='112'!$O$8,OR($L2134='112'!$I$6,$M2134='112'!$I$6))),"x",""))</f>
        <v/>
      </c>
      <c r="T2134" s="39" t="str">
        <f>IF(ISERROR(FIND('112'!$M$9,G2134,1)),"",IF((AND(LEFT(G2134,2)=LEFT('112'!$M$9,2),B2134&lt;'112'!$N$8,$L2134='112'!$I$6)),"x",""))</f>
        <v/>
      </c>
      <c r="U2134" s="39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39" t="str">
        <f>IF(OR(TH!L2134=TH!$W$7,M2134=TH!$W$7),"x","")</f>
        <v/>
      </c>
      <c r="X2134" s="39" t="str">
        <f>IF(AND(B2134&gt;='IN-NX'!$P$3,B2134&lt;='IN-NX'!$Q$3,'IN-NX'!$D$7=D2134,OR(LEFT(L2134,2)="15",AND(LEFT(M2134,2)&lt;&gt;"15",LEFT(M2134,2)&lt;&gt;"33"))),"x","")</f>
        <v/>
      </c>
      <c r="Y2134" s="39" t="str">
        <f>IF(AND(OR(LEFT(TH!L2134,2)="15",LEFT(TH!M2134,2)="15"),'152-CT'!$J$8=TH!F2134),"x","")</f>
        <v/>
      </c>
      <c r="Z2134" s="39" t="str">
        <f>IF(AND(OR(LEFT(TH!L2134,2)="15",LEFT(TH!M2134,2)="15"),TK!$E$7=TH!F2134),"x","")</f>
        <v/>
      </c>
      <c r="AA2134" s="39" t="str">
        <f>IF(AND(B2134&lt;=NKC!$N$8,B2134&gt;=NKC!$M$8),"x","")</f>
        <v/>
      </c>
      <c r="AB2134" s="821"/>
    </row>
    <row r="2135" spans="1:28" s="211" customFormat="1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05"/>
        <v/>
      </c>
      <c r="C2135" s="191"/>
      <c r="D2135" s="191"/>
      <c r="E2135" s="191"/>
      <c r="F2135" s="192"/>
      <c r="G2135" s="468"/>
      <c r="H2135" s="193"/>
      <c r="I2135" s="256"/>
      <c r="J2135" s="256"/>
      <c r="K2135" s="568"/>
      <c r="L2135" s="194"/>
      <c r="M2135" s="194"/>
      <c r="N2135" s="39" t="str">
        <f>IF(AND('331-CT'!$E$7=TH!H2135,OR(L2135="331",M2135="331")),"331",IF(AND(OR(L2135="131",M2135="131"),H2135='131-CT'!$E$7),"131",""))</f>
        <v/>
      </c>
      <c r="O2135" s="902" t="str">
        <f>IF(AND('341-CT'!$E$9=H2135,OR(LEFT(L2135,3)=$O$7,LEFT(M2135,3)=$O$7)),"x","")</f>
        <v/>
      </c>
      <c r="P2135" s="39" t="str">
        <f>IF(AND($B2135&gt;='111'!$N$11,$B2135&lt;='111'!$O$11,OR($L2135=$P$7,$M2135=$P$7)),"x","")</f>
        <v/>
      </c>
      <c r="Q2135" s="39" t="str">
        <f>IF(AND($L2135=$P$7,$B2135&lt;'111'!$N$11),"x","")</f>
        <v/>
      </c>
      <c r="R2135" s="39" t="str">
        <f>IF(AND($M2135=$P$7,$B2135&lt;'111'!$N$11),"x","")</f>
        <v/>
      </c>
      <c r="S2135" s="39" t="str">
        <f>IF(ISERROR(FIND('112'!$M$9,G2135,1)),"",IF((AND(FIND('112'!$M$9,G2135,1)&gt;=1,$B2135&gt;='112'!$N$8,$B2135&lt;='112'!$O$8,OR($L2135='112'!$I$6,$M2135='112'!$I$6))),"x",""))</f>
        <v/>
      </c>
      <c r="T2135" s="39" t="str">
        <f>IF(ISERROR(FIND('112'!$M$9,G2135,1)),"",IF((AND(LEFT(G2135,2)=LEFT('112'!$M$9,2),B2135&lt;'112'!$N$8,$L2135='112'!$I$6)),"x",""))</f>
        <v/>
      </c>
      <c r="U2135" s="39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39" t="str">
        <f>IF(OR(TH!L2135=TH!$W$7,M2135=TH!$W$7),"x","")</f>
        <v/>
      </c>
      <c r="X2135" s="39" t="str">
        <f>IF(AND(B2135&gt;='IN-NX'!$P$3,B2135&lt;='IN-NX'!$Q$3,'IN-NX'!$D$7=D2135,OR(LEFT(L2135,2)="15",AND(LEFT(M2135,2)&lt;&gt;"15",LEFT(M2135,2)&lt;&gt;"33"))),"x","")</f>
        <v/>
      </c>
      <c r="Y2135" s="39" t="str">
        <f>IF(AND(OR(LEFT(TH!L2135,2)="15",LEFT(TH!M2135,2)="15"),'152-CT'!$J$8=TH!F2135),"x","")</f>
        <v/>
      </c>
      <c r="Z2135" s="39" t="str">
        <f>IF(AND(OR(LEFT(TH!L2135,2)="15",LEFT(TH!M2135,2)="15"),TK!$E$7=TH!F2135),"x","")</f>
        <v/>
      </c>
      <c r="AA2135" s="39" t="str">
        <f>IF(AND(B2135&lt;=NKC!$N$8,B2135&gt;=NKC!$M$8),"x","")</f>
        <v/>
      </c>
      <c r="AB2135" s="821"/>
    </row>
    <row r="2136" spans="1:28" s="211" customFormat="1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05"/>
        <v/>
      </c>
      <c r="C2136" s="191"/>
      <c r="D2136" s="191"/>
      <c r="E2136" s="191"/>
      <c r="F2136" s="192"/>
      <c r="G2136" s="468"/>
      <c r="H2136" s="193"/>
      <c r="I2136" s="256"/>
      <c r="J2136" s="256"/>
      <c r="K2136" s="568"/>
      <c r="L2136" s="194"/>
      <c r="M2136" s="194"/>
      <c r="N2136" s="39" t="str">
        <f>IF(AND('331-CT'!$E$7=TH!H2136,OR(L2136="331",M2136="331")),"331",IF(AND(OR(L2136="131",M2136="131"),H2136='131-CT'!$E$7),"131",""))</f>
        <v/>
      </c>
      <c r="O2136" s="902" t="str">
        <f>IF(AND('341-CT'!$E$9=H2136,OR(LEFT(L2136,3)=$O$7,LEFT(M2136,3)=$O$7)),"x","")</f>
        <v/>
      </c>
      <c r="P2136" s="39" t="str">
        <f>IF(AND($B2136&gt;='111'!$N$11,$B2136&lt;='111'!$O$11,OR($L2136=$P$7,$M2136=$P$7)),"x","")</f>
        <v/>
      </c>
      <c r="Q2136" s="39" t="str">
        <f>IF(AND($L2136=$P$7,$B2136&lt;'111'!$N$11),"x","")</f>
        <v/>
      </c>
      <c r="R2136" s="39" t="str">
        <f>IF(AND($M2136=$P$7,$B2136&lt;'111'!$N$11),"x","")</f>
        <v/>
      </c>
      <c r="S2136" s="39" t="str">
        <f>IF(ISERROR(FIND('112'!$M$9,G2136,1)),"",IF((AND(FIND('112'!$M$9,G2136,1)&gt;=1,$B2136&gt;='112'!$N$8,$B2136&lt;='112'!$O$8,OR($L2136='112'!$I$6,$M2136='112'!$I$6))),"x",""))</f>
        <v/>
      </c>
      <c r="T2136" s="39" t="str">
        <f>IF(ISERROR(FIND('112'!$M$9,G2136,1)),"",IF((AND(LEFT(G2136,2)=LEFT('112'!$M$9,2),B2136&lt;'112'!$N$8,$L2136='112'!$I$6)),"x",""))</f>
        <v/>
      </c>
      <c r="U2136" s="39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39" t="str">
        <f>IF(OR(TH!L2136=TH!$W$7,M2136=TH!$W$7),"x","")</f>
        <v/>
      </c>
      <c r="X2136" s="39" t="str">
        <f>IF(AND(B2136&gt;='IN-NX'!$P$3,B2136&lt;='IN-NX'!$Q$3,'IN-NX'!$D$7=D2136,OR(LEFT(L2136,2)="15",AND(LEFT(M2136,2)&lt;&gt;"15",LEFT(M2136,2)&lt;&gt;"33"))),"x","")</f>
        <v/>
      </c>
      <c r="Y2136" s="39" t="str">
        <f>IF(AND(OR(LEFT(TH!L2136,2)="15",LEFT(TH!M2136,2)="15"),'152-CT'!$J$8=TH!F2136),"x","")</f>
        <v/>
      </c>
      <c r="Z2136" s="39" t="str">
        <f>IF(AND(OR(LEFT(TH!L2136,2)="15",LEFT(TH!M2136,2)="15"),TK!$E$7=TH!F2136),"x","")</f>
        <v/>
      </c>
      <c r="AA2136" s="39" t="str">
        <f>IF(AND(B2136&lt;=NKC!$N$8,B2136&gt;=NKC!$M$8),"x","")</f>
        <v/>
      </c>
      <c r="AB2136" s="821"/>
    </row>
    <row r="2137" spans="1:28" s="211" customFormat="1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105"/>
        <v/>
      </c>
      <c r="C2137" s="191"/>
      <c r="D2137" s="191"/>
      <c r="E2137" s="191"/>
      <c r="F2137" s="192"/>
      <c r="G2137" s="468"/>
      <c r="H2137" s="193"/>
      <c r="I2137" s="256"/>
      <c r="J2137" s="256"/>
      <c r="K2137" s="568"/>
      <c r="L2137" s="194"/>
      <c r="M2137" s="194"/>
      <c r="N2137" s="39" t="str">
        <f>IF(AND('331-CT'!$E$7=TH!H2137,OR(L2137="331",M2137="331")),"331",IF(AND(OR(L2137="131",M2137="131"),H2137='131-CT'!$E$7),"131",""))</f>
        <v/>
      </c>
      <c r="O2137" s="902" t="str">
        <f>IF(AND('341-CT'!$E$9=H2137,OR(LEFT(L2137,3)=$O$7,LEFT(M2137,3)=$O$7)),"x","")</f>
        <v/>
      </c>
      <c r="P2137" s="39" t="str">
        <f>IF(AND($B2137&gt;='111'!$N$11,$B2137&lt;='111'!$O$11,OR($L2137=$P$7,$M2137=$P$7)),"x","")</f>
        <v/>
      </c>
      <c r="Q2137" s="39" t="str">
        <f>IF(AND($L2137=$P$7,$B2137&lt;'111'!$N$11),"x","")</f>
        <v/>
      </c>
      <c r="R2137" s="39" t="str">
        <f>IF(AND($M2137=$P$7,$B2137&lt;'111'!$N$11),"x","")</f>
        <v/>
      </c>
      <c r="S2137" s="39" t="str">
        <f>IF(ISERROR(FIND('112'!$M$9,G2137,1)),"",IF((AND(FIND('112'!$M$9,G2137,1)&gt;=1,$B2137&gt;='112'!$N$8,$B2137&lt;='112'!$O$8,OR($L2137='112'!$I$6,$M2137='112'!$I$6))),"x",""))</f>
        <v/>
      </c>
      <c r="T2137" s="39" t="str">
        <f>IF(ISERROR(FIND('112'!$M$9,G2137,1)),"",IF((AND(LEFT(G2137,2)=LEFT('112'!$M$9,2),B2137&lt;'112'!$N$8,$L2137='112'!$I$6)),"x",""))</f>
        <v/>
      </c>
      <c r="U2137" s="39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39" t="str">
        <f>IF(OR(TH!L2137=TH!$W$7,M2137=TH!$W$7),"x","")</f>
        <v/>
      </c>
      <c r="X2137" s="39" t="str">
        <f>IF(AND(B2137&gt;='IN-NX'!$P$3,B2137&lt;='IN-NX'!$Q$3,'IN-NX'!$D$7=D2137,OR(LEFT(L2137,2)="15",AND(LEFT(M2137,2)&lt;&gt;"15",LEFT(M2137,2)&lt;&gt;"33"))),"x","")</f>
        <v/>
      </c>
      <c r="Y2137" s="39" t="str">
        <f>IF(AND(OR(LEFT(TH!L2137,2)="15",LEFT(TH!M2137,2)="15"),'152-CT'!$J$8=TH!F2137),"x","")</f>
        <v/>
      </c>
      <c r="Z2137" s="39" t="str">
        <f>IF(AND(OR(LEFT(TH!L2137,2)="15",LEFT(TH!M2137,2)="15"),TK!$E$7=TH!F2137),"x","")</f>
        <v/>
      </c>
      <c r="AA2137" s="39" t="str">
        <f>IF(AND(B2137&lt;=NKC!$N$8,B2137&gt;=NKC!$M$8),"x","")</f>
        <v/>
      </c>
      <c r="AB2137" s="821"/>
    </row>
    <row r="2138" spans="1:28" s="211" customFormat="1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05"/>
        <v/>
      </c>
      <c r="C2138" s="191"/>
      <c r="D2138" s="191"/>
      <c r="E2138" s="191"/>
      <c r="F2138" s="192"/>
      <c r="G2138" s="468"/>
      <c r="H2138" s="193"/>
      <c r="I2138" s="256"/>
      <c r="J2138" s="256"/>
      <c r="K2138" s="568"/>
      <c r="L2138" s="194"/>
      <c r="M2138" s="194"/>
      <c r="N2138" s="39" t="str">
        <f>IF(AND('331-CT'!$E$7=TH!H2138,OR(L2138="331",M2138="331")),"331",IF(AND(OR(L2138="131",M2138="131"),H2138='131-CT'!$E$7),"131",""))</f>
        <v/>
      </c>
      <c r="O2138" s="902" t="str">
        <f>IF(AND('341-CT'!$E$9=H2138,OR(LEFT(L2138,3)=$O$7,LEFT(M2138,3)=$O$7)),"x","")</f>
        <v/>
      </c>
      <c r="P2138" s="39" t="str">
        <f>IF(AND($B2138&gt;='111'!$N$11,$B2138&lt;='111'!$O$11,OR($L2138=$P$7,$M2138=$P$7)),"x","")</f>
        <v/>
      </c>
      <c r="Q2138" s="39" t="str">
        <f>IF(AND($L2138=$P$7,$B2138&lt;'111'!$N$11),"x","")</f>
        <v/>
      </c>
      <c r="R2138" s="39" t="str">
        <f>IF(AND($M2138=$P$7,$B2138&lt;'111'!$N$11),"x","")</f>
        <v/>
      </c>
      <c r="S2138" s="39" t="str">
        <f>IF(ISERROR(FIND('112'!$M$9,G2138,1)),"",IF((AND(FIND('112'!$M$9,G2138,1)&gt;=1,$B2138&gt;='112'!$N$8,$B2138&lt;='112'!$O$8,OR($L2138='112'!$I$6,$M2138='112'!$I$6))),"x",""))</f>
        <v/>
      </c>
      <c r="T2138" s="39" t="str">
        <f>IF(ISERROR(FIND('112'!$M$9,G2138,1)),"",IF((AND(LEFT(G2138,2)=LEFT('112'!$M$9,2),B2138&lt;'112'!$N$8,$L2138='112'!$I$6)),"x",""))</f>
        <v/>
      </c>
      <c r="U2138" s="39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39" t="str">
        <f>IF(OR(TH!L2138=TH!$W$7,M2138=TH!$W$7),"x","")</f>
        <v/>
      </c>
      <c r="X2138" s="39" t="str">
        <f>IF(AND(B2138&gt;='IN-NX'!$P$3,B2138&lt;='IN-NX'!$Q$3,'IN-NX'!$D$7=D2138,OR(LEFT(L2138,2)="15",AND(LEFT(M2138,2)&lt;&gt;"15",LEFT(M2138,2)&lt;&gt;"33"))),"x","")</f>
        <v/>
      </c>
      <c r="Y2138" s="39" t="str">
        <f>IF(AND(OR(LEFT(TH!L2138,2)="15",LEFT(TH!M2138,2)="15"),'152-CT'!$J$8=TH!F2138),"x","")</f>
        <v/>
      </c>
      <c r="Z2138" s="39" t="str">
        <f>IF(AND(OR(LEFT(TH!L2138,2)="15",LEFT(TH!M2138,2)="15"),TK!$E$7=TH!F2138),"x","")</f>
        <v/>
      </c>
      <c r="AA2138" s="39" t="str">
        <f>IF(AND(B2138&lt;=NKC!$N$8,B2138&gt;=NKC!$M$8),"x","")</f>
        <v/>
      </c>
      <c r="AB2138" s="821"/>
    </row>
    <row r="2139" spans="1:28" s="211" customFormat="1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05"/>
        <v/>
      </c>
      <c r="C2139" s="191"/>
      <c r="D2139" s="191"/>
      <c r="E2139" s="191"/>
      <c r="F2139" s="192"/>
      <c r="G2139" s="468"/>
      <c r="H2139" s="193"/>
      <c r="I2139" s="256"/>
      <c r="J2139" s="256"/>
      <c r="K2139" s="568"/>
      <c r="L2139" s="194"/>
      <c r="M2139" s="194"/>
      <c r="N2139" s="39" t="str">
        <f>IF(AND('331-CT'!$E$7=TH!H2139,OR(L2139="331",M2139="331")),"331",IF(AND(OR(L2139="131",M2139="131"),H2139='131-CT'!$E$7),"131",""))</f>
        <v/>
      </c>
      <c r="O2139" s="902" t="str">
        <f>IF(AND('341-CT'!$E$9=H2139,OR(LEFT(L2139,3)=$O$7,LEFT(M2139,3)=$O$7)),"x","")</f>
        <v/>
      </c>
      <c r="P2139" s="39" t="str">
        <f>IF(AND($B2139&gt;='111'!$N$11,$B2139&lt;='111'!$O$11,OR($L2139=$P$7,$M2139=$P$7)),"x","")</f>
        <v/>
      </c>
      <c r="Q2139" s="39" t="str">
        <f>IF(AND($L2139=$P$7,$B2139&lt;'111'!$N$11),"x","")</f>
        <v/>
      </c>
      <c r="R2139" s="39" t="str">
        <f>IF(AND($M2139=$P$7,$B2139&lt;'111'!$N$11),"x","")</f>
        <v/>
      </c>
      <c r="S2139" s="39" t="str">
        <f>IF(ISERROR(FIND('112'!$M$9,G2139,1)),"",IF((AND(FIND('112'!$M$9,G2139,1)&gt;=1,$B2139&gt;='112'!$N$8,$B2139&lt;='112'!$O$8,OR($L2139='112'!$I$6,$M2139='112'!$I$6))),"x",""))</f>
        <v/>
      </c>
      <c r="T2139" s="39" t="str">
        <f>IF(ISERROR(FIND('112'!$M$9,G2139,1)),"",IF((AND(LEFT(G2139,2)=LEFT('112'!$M$9,2),B2139&lt;'112'!$N$8,$L2139='112'!$I$6)),"x",""))</f>
        <v/>
      </c>
      <c r="U2139" s="39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39" t="str">
        <f>IF(OR(TH!L2139=TH!$W$7,M2139=TH!$W$7),"x","")</f>
        <v/>
      </c>
      <c r="X2139" s="39" t="str">
        <f>IF(AND(B2139&gt;='IN-NX'!$P$3,B2139&lt;='IN-NX'!$Q$3,'IN-NX'!$D$7=D2139,OR(LEFT(L2139,2)="15",AND(LEFT(M2139,2)&lt;&gt;"15",LEFT(M2139,2)&lt;&gt;"33"))),"x","")</f>
        <v/>
      </c>
      <c r="Y2139" s="39" t="str">
        <f>IF(AND(OR(LEFT(TH!L2139,2)="15",LEFT(TH!M2139,2)="15"),'152-CT'!$J$8=TH!F2139),"x","")</f>
        <v/>
      </c>
      <c r="Z2139" s="39" t="str">
        <f>IF(AND(OR(LEFT(TH!L2139,2)="15",LEFT(TH!M2139,2)="15"),TK!$E$7=TH!F2139),"x","")</f>
        <v/>
      </c>
      <c r="AA2139" s="39" t="str">
        <f>IF(AND(B2139&lt;=NKC!$N$8,B2139&gt;=NKC!$M$8),"x","")</f>
        <v/>
      </c>
      <c r="AB2139" s="821"/>
    </row>
    <row r="2140" spans="1:28" s="211" customFormat="1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105"/>
        <v/>
      </c>
      <c r="C2140" s="191"/>
      <c r="D2140" s="191"/>
      <c r="E2140" s="191"/>
      <c r="F2140" s="192"/>
      <c r="G2140" s="468"/>
      <c r="H2140" s="193"/>
      <c r="I2140" s="256"/>
      <c r="J2140" s="256"/>
      <c r="K2140" s="568"/>
      <c r="L2140" s="194"/>
      <c r="M2140" s="194"/>
      <c r="N2140" s="39" t="str">
        <f>IF(AND('331-CT'!$E$7=TH!H2140,OR(L2140="331",M2140="331")),"331",IF(AND(OR(L2140="131",M2140="131"),H2140='131-CT'!$E$7),"131",""))</f>
        <v/>
      </c>
      <c r="O2140" s="902" t="str">
        <f>IF(AND('341-CT'!$E$9=H2140,OR(LEFT(L2140,3)=$O$7,LEFT(M2140,3)=$O$7)),"x","")</f>
        <v/>
      </c>
      <c r="P2140" s="39" t="str">
        <f>IF(AND($B2140&gt;='111'!$N$11,$B2140&lt;='111'!$O$11,OR($L2140=$P$7,$M2140=$P$7)),"x","")</f>
        <v/>
      </c>
      <c r="Q2140" s="39" t="str">
        <f>IF(AND($L2140=$P$7,$B2140&lt;'111'!$N$11),"x","")</f>
        <v/>
      </c>
      <c r="R2140" s="39" t="str">
        <f>IF(AND($M2140=$P$7,$B2140&lt;'111'!$N$11),"x","")</f>
        <v/>
      </c>
      <c r="S2140" s="39" t="str">
        <f>IF(ISERROR(FIND('112'!$M$9,G2140,1)),"",IF((AND(FIND('112'!$M$9,G2140,1)&gt;=1,$B2140&gt;='112'!$N$8,$B2140&lt;='112'!$O$8,OR($L2140='112'!$I$6,$M2140='112'!$I$6))),"x",""))</f>
        <v/>
      </c>
      <c r="T2140" s="39" t="str">
        <f>IF(ISERROR(FIND('112'!$M$9,G2140,1)),"",IF((AND(LEFT(G2140,2)=LEFT('112'!$M$9,2),B2140&lt;'112'!$N$8,$L2140='112'!$I$6)),"x",""))</f>
        <v/>
      </c>
      <c r="U2140" s="39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39" t="str">
        <f>IF(OR(TH!L2140=TH!$W$7,M2140=TH!$W$7),"x","")</f>
        <v/>
      </c>
      <c r="X2140" s="39" t="str">
        <f>IF(AND(B2140&gt;='IN-NX'!$P$3,B2140&lt;='IN-NX'!$Q$3,'IN-NX'!$D$7=D2140,OR(LEFT(L2140,2)="15",AND(LEFT(M2140,2)&lt;&gt;"15",LEFT(M2140,2)&lt;&gt;"33"))),"x","")</f>
        <v/>
      </c>
      <c r="Y2140" s="39" t="str">
        <f>IF(AND(OR(LEFT(TH!L2140,2)="15",LEFT(TH!M2140,2)="15"),'152-CT'!$J$8=TH!F2140),"x","")</f>
        <v/>
      </c>
      <c r="Z2140" s="39" t="str">
        <f>IF(AND(OR(LEFT(TH!L2140,2)="15",LEFT(TH!M2140,2)="15"),TK!$E$7=TH!F2140),"x","")</f>
        <v/>
      </c>
      <c r="AA2140" s="39" t="str">
        <f>IF(AND(B2140&lt;=NKC!$N$8,B2140&gt;=NKC!$M$8),"x","")</f>
        <v/>
      </c>
      <c r="AB2140" s="821"/>
    </row>
    <row r="2141" spans="1:28" s="211" customFormat="1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105"/>
        <v/>
      </c>
      <c r="C2141" s="191"/>
      <c r="D2141" s="191"/>
      <c r="E2141" s="191"/>
      <c r="F2141" s="192"/>
      <c r="G2141" s="468"/>
      <c r="H2141" s="193"/>
      <c r="I2141" s="256"/>
      <c r="J2141" s="256"/>
      <c r="K2141" s="568"/>
      <c r="L2141" s="194"/>
      <c r="M2141" s="194"/>
      <c r="N2141" s="39" t="str">
        <f>IF(AND('331-CT'!$E$7=TH!H2141,OR(L2141="331",M2141="331")),"331",IF(AND(OR(L2141="131",M2141="131"),H2141='131-CT'!$E$7),"131",""))</f>
        <v/>
      </c>
      <c r="O2141" s="902" t="str">
        <f>IF(AND('341-CT'!$E$9=H2141,OR(LEFT(L2141,3)=$O$7,LEFT(M2141,3)=$O$7)),"x","")</f>
        <v/>
      </c>
      <c r="P2141" s="39" t="str">
        <f>IF(AND($B2141&gt;='111'!$N$11,$B2141&lt;='111'!$O$11,OR($L2141=$P$7,$M2141=$P$7)),"x","")</f>
        <v/>
      </c>
      <c r="Q2141" s="39" t="str">
        <f>IF(AND($L2141=$P$7,$B2141&lt;'111'!$N$11),"x","")</f>
        <v/>
      </c>
      <c r="R2141" s="39" t="str">
        <f>IF(AND($M2141=$P$7,$B2141&lt;'111'!$N$11),"x","")</f>
        <v/>
      </c>
      <c r="S2141" s="39" t="str">
        <f>IF(ISERROR(FIND('112'!$M$9,G2141,1)),"",IF((AND(FIND('112'!$M$9,G2141,1)&gt;=1,$B2141&gt;='112'!$N$8,$B2141&lt;='112'!$O$8,OR($L2141='112'!$I$6,$M2141='112'!$I$6))),"x",""))</f>
        <v/>
      </c>
      <c r="T2141" s="39" t="str">
        <f>IF(ISERROR(FIND('112'!$M$9,G2141,1)),"",IF((AND(LEFT(G2141,2)=LEFT('112'!$M$9,2),B2141&lt;'112'!$N$8,$L2141='112'!$I$6)),"x",""))</f>
        <v/>
      </c>
      <c r="U2141" s="39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39" t="str">
        <f>IF(OR(TH!L2141=TH!$W$7,M2141=TH!$W$7),"x","")</f>
        <v/>
      </c>
      <c r="X2141" s="39" t="str">
        <f>IF(AND(B2141&gt;='IN-NX'!$P$3,B2141&lt;='IN-NX'!$Q$3,'IN-NX'!$D$7=D2141,OR(LEFT(L2141,2)="15",AND(LEFT(M2141,2)&lt;&gt;"15",LEFT(M2141,2)&lt;&gt;"33"))),"x","")</f>
        <v/>
      </c>
      <c r="Y2141" s="39" t="str">
        <f>IF(AND(OR(LEFT(TH!L2141,2)="15",LEFT(TH!M2141,2)="15"),'152-CT'!$J$8=TH!F2141),"x","")</f>
        <v/>
      </c>
      <c r="Z2141" s="39" t="str">
        <f>IF(AND(OR(LEFT(TH!L2141,2)="15",LEFT(TH!M2141,2)="15"),TK!$E$7=TH!F2141),"x","")</f>
        <v/>
      </c>
      <c r="AA2141" s="39" t="str">
        <f>IF(AND(B2141&lt;=NKC!$N$8,B2141&gt;=NKC!$M$8),"x","")</f>
        <v/>
      </c>
      <c r="AB2141" s="821"/>
    </row>
    <row r="2142" spans="1:28" s="211" customFormat="1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105"/>
        <v/>
      </c>
      <c r="C2142" s="191"/>
      <c r="D2142" s="191"/>
      <c r="E2142" s="731"/>
      <c r="F2142" s="40"/>
      <c r="G2142" s="40"/>
      <c r="H2142" s="7"/>
      <c r="I2142" s="256"/>
      <c r="J2142" s="256"/>
      <c r="K2142" s="56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902" t="str">
        <f>IF(AND('341-CT'!$E$9=H2142,OR(LEFT(L2142,3)=$O$7,LEFT(M2142,3)=$O$7)),"x","")</f>
        <v/>
      </c>
      <c r="P2142" s="39" t="str">
        <f>IF(AND($B2142&gt;='111'!$N$11,$B2142&lt;='111'!$O$11,OR($L2142=$P$7,$M2142=$P$7)),"x","")</f>
        <v/>
      </c>
      <c r="Q2142" s="39" t="str">
        <f>IF(AND($L2142=$P$7,$B2142&lt;'111'!$N$11),"x","")</f>
        <v/>
      </c>
      <c r="R2142" s="39" t="str">
        <f>IF(AND($M2142=$P$7,$B2142&lt;'111'!$N$11),"x","")</f>
        <v/>
      </c>
      <c r="S2142" s="39" t="str">
        <f>IF(ISERROR(FIND('112'!$M$9,G2142,1)),"",IF((AND(FIND('112'!$M$9,G2142,1)&gt;=1,$B2142&gt;='112'!$N$8,$B2142&lt;='112'!$O$8,OR($L2142='112'!$I$6,$M2142='112'!$I$6))),"x",""))</f>
        <v/>
      </c>
      <c r="T2142" s="39" t="str">
        <f>IF(ISERROR(FIND('112'!$M$9,G2142,1)),"",IF((AND(LEFT(G2142,2)=LEFT('112'!$M$9,2),B2142&lt;'112'!$N$8,$L2142='112'!$I$6)),"x",""))</f>
        <v/>
      </c>
      <c r="U2142" s="39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39" t="str">
        <f>IF(OR(TH!L2142=TH!$W$7,M2142=TH!$W$7),"x","")</f>
        <v/>
      </c>
      <c r="X2142" s="39" t="str">
        <f>IF(AND(B2142&gt;='IN-NX'!$P$3,B2142&lt;='IN-NX'!$Q$3,'IN-NX'!$D$7=D2142,OR(LEFT(L2142,2)="15",AND(LEFT(M2142,2)&lt;&gt;"15",LEFT(M2142,2)&lt;&gt;"33"))),"x","")</f>
        <v/>
      </c>
      <c r="Y2142" s="39" t="str">
        <f>IF(AND(OR(LEFT(TH!L2142,2)="15",LEFT(TH!M2142,2)="15"),'152-CT'!$J$8=TH!F2142),"x","")</f>
        <v/>
      </c>
      <c r="Z2142" s="39" t="str">
        <f>IF(AND(OR(LEFT(TH!L2142,2)="15",LEFT(TH!M2142,2)="15"),TK!$E$7=TH!F2142),"x","")</f>
        <v/>
      </c>
      <c r="AA2142" s="39" t="str">
        <f>IF(AND(B2142&lt;=NKC!$N$8,B2142&gt;=NKC!$M$8),"x","")</f>
        <v/>
      </c>
      <c r="AB2142" s="821"/>
    </row>
    <row r="2143" spans="1:28" s="211" customFormat="1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si="105"/>
        <v/>
      </c>
      <c r="C2143" s="191"/>
      <c r="D2143" s="191"/>
      <c r="E2143" s="731"/>
      <c r="F2143" s="40"/>
      <c r="G2143" s="40"/>
      <c r="H2143" s="7"/>
      <c r="I2143" s="256"/>
      <c r="J2143" s="256"/>
      <c r="K2143" s="56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902" t="str">
        <f>IF(AND('341-CT'!$E$9=H2143,OR(LEFT(L2143,3)=$O$7,LEFT(M2143,3)=$O$7)),"x","")</f>
        <v/>
      </c>
      <c r="P2143" s="39" t="str">
        <f>IF(AND($B2143&gt;='111'!$N$11,$B2143&lt;='111'!$O$11,OR($L2143=$P$7,$M2143=$P$7)),"x","")</f>
        <v/>
      </c>
      <c r="Q2143" s="39" t="str">
        <f>IF(AND($L2143=$P$7,$B2143&lt;'111'!$N$11),"x","")</f>
        <v/>
      </c>
      <c r="R2143" s="39" t="str">
        <f>IF(AND($M2143=$P$7,$B2143&lt;'111'!$N$11),"x","")</f>
        <v/>
      </c>
      <c r="S2143" s="39" t="str">
        <f>IF(ISERROR(FIND('112'!$M$9,G2143,1)),"",IF((AND(FIND('112'!$M$9,G2143,1)&gt;=1,$B2143&gt;='112'!$N$8,$B2143&lt;='112'!$O$8,OR($L2143='112'!$I$6,$M2143='112'!$I$6))),"x",""))</f>
        <v/>
      </c>
      <c r="T2143" s="39" t="str">
        <f>IF(ISERROR(FIND('112'!$M$9,G2143,1)),"",IF((AND(LEFT(G2143,2)=LEFT('112'!$M$9,2),B2143&lt;'112'!$N$8,$L2143='112'!$I$6)),"x",""))</f>
        <v/>
      </c>
      <c r="U2143" s="39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39" t="str">
        <f>IF(OR(TH!L2143=TH!$W$7,M2143=TH!$W$7),"x","")</f>
        <v/>
      </c>
      <c r="X2143" s="39" t="str">
        <f>IF(AND(B2143&gt;='IN-NX'!$P$3,B2143&lt;='IN-NX'!$Q$3,'IN-NX'!$D$7=D2143,OR(LEFT(L2143,2)="15",AND(LEFT(M2143,2)&lt;&gt;"15",LEFT(M2143,2)&lt;&gt;"33"))),"x","")</f>
        <v/>
      </c>
      <c r="Y2143" s="39" t="str">
        <f>IF(AND(OR(LEFT(TH!L2143,2)="15",LEFT(TH!M2143,2)="15"),'152-CT'!$J$8=TH!F2143),"x","")</f>
        <v/>
      </c>
      <c r="Z2143" s="39" t="str">
        <f>IF(AND(OR(LEFT(TH!L2143,2)="15",LEFT(TH!M2143,2)="15"),TK!$E$7=TH!F2143),"x","")</f>
        <v/>
      </c>
      <c r="AA2143" s="39" t="str">
        <f>IF(AND(B2143&lt;=NKC!$N$8,B2143&gt;=NKC!$M$8),"x","")</f>
        <v/>
      </c>
      <c r="AB2143" s="821"/>
    </row>
    <row r="2144" spans="1:28" s="211" customFormat="1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105"/>
        <v/>
      </c>
      <c r="C2144" s="191"/>
      <c r="D2144" s="191"/>
      <c r="E2144" s="731"/>
      <c r="F2144" s="189"/>
      <c r="G2144" s="40"/>
      <c r="H2144" s="7"/>
      <c r="I2144" s="256"/>
      <c r="J2144" s="256"/>
      <c r="K2144" s="56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902" t="str">
        <f>IF(AND('341-CT'!$E$9=H2144,OR(LEFT(L2144,3)=$O$7,LEFT(M2144,3)=$O$7)),"x","")</f>
        <v/>
      </c>
      <c r="P2144" s="39" t="str">
        <f>IF(AND($B2144&gt;='111'!$N$11,$B2144&lt;='111'!$O$11,OR($L2144=$P$7,$M2144=$P$7)),"x","")</f>
        <v/>
      </c>
      <c r="Q2144" s="39" t="str">
        <f>IF(AND($L2144=$P$7,$B2144&lt;'111'!$N$11),"x","")</f>
        <v/>
      </c>
      <c r="R2144" s="39" t="str">
        <f>IF(AND($M2144=$P$7,$B2144&lt;'111'!$N$11),"x","")</f>
        <v/>
      </c>
      <c r="S2144" s="39" t="str">
        <f>IF(ISERROR(FIND('112'!$M$9,G2144,1)),"",IF((AND(FIND('112'!$M$9,G2144,1)&gt;=1,$B2144&gt;='112'!$N$8,$B2144&lt;='112'!$O$8,OR($L2144='112'!$I$6,$M2144='112'!$I$6))),"x",""))</f>
        <v/>
      </c>
      <c r="T2144" s="39" t="str">
        <f>IF(ISERROR(FIND('112'!$M$9,G2144,1)),"",IF((AND(LEFT(G2144,2)=LEFT('112'!$M$9,2),B2144&lt;'112'!$N$8,$L2144='112'!$I$6)),"x",""))</f>
        <v/>
      </c>
      <c r="U2144" s="39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39" t="str">
        <f>IF(OR(TH!L2144=TH!$W$7,M2144=TH!$W$7),"x","")</f>
        <v/>
      </c>
      <c r="X2144" s="39" t="str">
        <f>IF(AND(B2144&gt;='IN-NX'!$P$3,B2144&lt;='IN-NX'!$Q$3,'IN-NX'!$D$7=D2144,OR(LEFT(L2144,2)="15",AND(LEFT(M2144,2)&lt;&gt;"15",LEFT(M2144,2)&lt;&gt;"33"))),"x","")</f>
        <v/>
      </c>
      <c r="Y2144" s="39" t="str">
        <f>IF(AND(OR(LEFT(TH!L2144,2)="15",LEFT(TH!M2144,2)="15"),'152-CT'!$J$8=TH!F2144),"x","")</f>
        <v/>
      </c>
      <c r="Z2144" s="39" t="str">
        <f>IF(AND(OR(LEFT(TH!L2144,2)="15",LEFT(TH!M2144,2)="15"),TK!$E$7=TH!F2144),"x","")</f>
        <v/>
      </c>
      <c r="AA2144" s="39" t="str">
        <f>IF(AND(B2144&lt;=NKC!$N$8,B2144&gt;=NKC!$M$8),"x","")</f>
        <v/>
      </c>
      <c r="AB2144" s="821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105"/>
        <v/>
      </c>
      <c r="C2145" s="191"/>
      <c r="D2145" s="191"/>
      <c r="E2145" s="731"/>
      <c r="F2145" s="40"/>
      <c r="G2145" s="40"/>
      <c r="H2145" s="7"/>
      <c r="I2145" s="256"/>
      <c r="J2145" s="256"/>
      <c r="K2145" s="56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902" t="str">
        <f>IF(AND('341-CT'!$E$9=H2145,OR(LEFT(L2145,3)=$O$7,LEFT(M2145,3)=$O$7)),"x","")</f>
        <v/>
      </c>
      <c r="P2145" s="39" t="str">
        <f>IF(AND($B2145&gt;='111'!$N$11,$B2145&lt;='111'!$O$11,OR($L2145=$P$7,$M2145=$P$7)),"x","")</f>
        <v/>
      </c>
      <c r="Q2145" s="39" t="str">
        <f>IF(AND($L2145=$P$7,$B2145&lt;'111'!$N$11),"x","")</f>
        <v/>
      </c>
      <c r="R2145" s="39" t="str">
        <f>IF(AND($M2145=$P$7,$B2145&lt;'111'!$N$11),"x","")</f>
        <v/>
      </c>
      <c r="S2145" s="39" t="str">
        <f>IF(ISERROR(FIND('112'!$M$9,G2145,1)),"",IF((AND(FIND('112'!$M$9,G2145,1)&gt;=1,$B2145&gt;='112'!$N$8,$B2145&lt;='112'!$O$8,OR($L2145='112'!$I$6,$M2145='112'!$I$6))),"x",""))</f>
        <v/>
      </c>
      <c r="T2145" s="39" t="str">
        <f>IF(ISERROR(FIND('112'!$M$9,G2145,1)),"",IF((AND(LEFT(G2145,2)=LEFT('112'!$M$9,2),B2145&lt;'112'!$N$8,$L2145='112'!$I$6)),"x",""))</f>
        <v/>
      </c>
      <c r="U2145" s="39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39" t="str">
        <f>IF(OR(TH!L2145=TH!$W$7,M2145=TH!$W$7),"x","")</f>
        <v/>
      </c>
      <c r="X2145" s="39" t="str">
        <f>IF(AND(B2145&gt;='IN-NX'!$P$3,B2145&lt;='IN-NX'!$Q$3,'IN-NX'!$D$7=D2145,OR(LEFT(L2145,2)="15",AND(LEFT(M2145,2)&lt;&gt;"15",LEFT(M2145,2)&lt;&gt;"33"))),"x","")</f>
        <v/>
      </c>
      <c r="Y2145" s="39" t="str">
        <f>IF(AND(OR(LEFT(TH!L2145,2)="15",LEFT(TH!M2145,2)="15"),'152-CT'!$J$8=TH!F2145),"x","")</f>
        <v/>
      </c>
      <c r="Z2145" s="39" t="str">
        <f>IF(AND(OR(LEFT(TH!L2145,2)="15",LEFT(TH!M2145,2)="15"),TK!$E$7=TH!F2145),"x","")</f>
        <v/>
      </c>
      <c r="AA2145" s="39" t="str">
        <f>IF(AND(B2145&lt;=NKC!$N$8,B2145&gt;=NKC!$M$8),"x","")</f>
        <v/>
      </c>
      <c r="AB2145" s="821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105"/>
        <v/>
      </c>
      <c r="C2146" s="191"/>
      <c r="D2146" s="191"/>
      <c r="E2146" s="731"/>
      <c r="F2146" s="189"/>
      <c r="G2146" s="40"/>
      <c r="H2146" s="7"/>
      <c r="I2146" s="256"/>
      <c r="J2146" s="256"/>
      <c r="K2146" s="56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902" t="str">
        <f>IF(AND('341-CT'!$E$9=H2146,OR(LEFT(L2146,3)=$O$7,LEFT(M2146,3)=$O$7)),"x","")</f>
        <v/>
      </c>
      <c r="P2146" s="39" t="str">
        <f>IF(AND($B2146&gt;='111'!$N$11,$B2146&lt;='111'!$O$11,OR($L2146=$P$7,$M2146=$P$7)),"x","")</f>
        <v/>
      </c>
      <c r="Q2146" s="39" t="str">
        <f>IF(AND($L2146=$P$7,$B2146&lt;'111'!$N$11),"x","")</f>
        <v/>
      </c>
      <c r="R2146" s="39" t="str">
        <f>IF(AND($M2146=$P$7,$B2146&lt;'111'!$N$11),"x","")</f>
        <v/>
      </c>
      <c r="S2146" s="39" t="str">
        <f>IF(ISERROR(FIND('112'!$M$9,G2146,1)),"",IF((AND(FIND('112'!$M$9,G2146,1)&gt;=1,$B2146&gt;='112'!$N$8,$B2146&lt;='112'!$O$8,OR($L2146='112'!$I$6,$M2146='112'!$I$6))),"x",""))</f>
        <v/>
      </c>
      <c r="T2146" s="39" t="str">
        <f>IF(ISERROR(FIND('112'!$M$9,G2146,1)),"",IF((AND(LEFT(G2146,2)=LEFT('112'!$M$9,2),B2146&lt;'112'!$N$8,$L2146='112'!$I$6)),"x",""))</f>
        <v/>
      </c>
      <c r="U2146" s="39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39" t="str">
        <f>IF(OR(TH!L2146=TH!$W$7,M2146=TH!$W$7),"x","")</f>
        <v/>
      </c>
      <c r="X2146" s="39" t="str">
        <f>IF(AND(B2146&gt;='IN-NX'!$P$3,B2146&lt;='IN-NX'!$Q$3,'IN-NX'!$D$7=D2146,OR(LEFT(L2146,2)="15",AND(LEFT(M2146,2)&lt;&gt;"15",LEFT(M2146,2)&lt;&gt;"33"))),"x","")</f>
        <v/>
      </c>
      <c r="Y2146" s="39" t="str">
        <f>IF(AND(OR(LEFT(TH!L2146,2)="15",LEFT(TH!M2146,2)="15"),'152-CT'!$J$8=TH!F2146),"x","")</f>
        <v/>
      </c>
      <c r="Z2146" s="39" t="str">
        <f>IF(AND(OR(LEFT(TH!L2146,2)="15",LEFT(TH!M2146,2)="15"),TK!$E$7=TH!F2146),"x","")</f>
        <v/>
      </c>
      <c r="AA2146" s="39" t="str">
        <f>IF(AND(B2146&lt;=NKC!$N$8,B2146&gt;=NKC!$M$8),"x","")</f>
        <v/>
      </c>
      <c r="AB2146" s="821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105"/>
        <v/>
      </c>
      <c r="C2147" s="191"/>
      <c r="D2147" s="191"/>
      <c r="E2147" s="731"/>
      <c r="F2147" s="189"/>
      <c r="G2147" s="40"/>
      <c r="H2147" s="7"/>
      <c r="I2147" s="256"/>
      <c r="J2147" s="256"/>
      <c r="K2147" s="56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902" t="str">
        <f>IF(AND('341-CT'!$E$9=H2147,OR(LEFT(L2147,3)=$O$7,LEFT(M2147,3)=$O$7)),"x","")</f>
        <v/>
      </c>
      <c r="P2147" s="39" t="str">
        <f>IF(AND($B2147&gt;='111'!$N$11,$B2147&lt;='111'!$O$11,OR($L2147=$P$7,$M2147=$P$7)),"x","")</f>
        <v/>
      </c>
      <c r="Q2147" s="39" t="str">
        <f>IF(AND($L2147=$P$7,$B2147&lt;'111'!$N$11),"x","")</f>
        <v/>
      </c>
      <c r="R2147" s="39" t="str">
        <f>IF(AND($M2147=$P$7,$B2147&lt;'111'!$N$11),"x","")</f>
        <v/>
      </c>
      <c r="S2147" s="39" t="str">
        <f>IF(ISERROR(FIND('112'!$M$9,G2147,1)),"",IF((AND(FIND('112'!$M$9,G2147,1)&gt;=1,$B2147&gt;='112'!$N$8,$B2147&lt;='112'!$O$8,OR($L2147='112'!$I$6,$M2147='112'!$I$6))),"x",""))</f>
        <v/>
      </c>
      <c r="T2147" s="39" t="str">
        <f>IF(ISERROR(FIND('112'!$M$9,G2147,1)),"",IF((AND(LEFT(G2147,2)=LEFT('112'!$M$9,2),B2147&lt;'112'!$N$8,$L2147='112'!$I$6)),"x",""))</f>
        <v/>
      </c>
      <c r="U2147" s="39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39" t="str">
        <f>IF(OR(TH!L2147=TH!$W$7,M2147=TH!$W$7),"x","")</f>
        <v/>
      </c>
      <c r="X2147" s="39" t="str">
        <f>IF(AND(B2147&gt;='IN-NX'!$P$3,B2147&lt;='IN-NX'!$Q$3,'IN-NX'!$D$7=D2147,OR(LEFT(L2147,2)="15",AND(LEFT(M2147,2)&lt;&gt;"15",LEFT(M2147,2)&lt;&gt;"33"))),"x","")</f>
        <v/>
      </c>
      <c r="Y2147" s="39" t="str">
        <f>IF(AND(OR(LEFT(TH!L2147,2)="15",LEFT(TH!M2147,2)="15"),'152-CT'!$J$8=TH!F2147),"x","")</f>
        <v/>
      </c>
      <c r="Z2147" s="39" t="str">
        <f>IF(AND(OR(LEFT(TH!L2147,2)="15",LEFT(TH!M2147,2)="15"),TK!$E$7=TH!F2147),"x","")</f>
        <v/>
      </c>
      <c r="AA2147" s="39" t="str">
        <f>IF(AND(B2147&lt;=NKC!$N$8,B2147&gt;=NKC!$M$8),"x","")</f>
        <v/>
      </c>
      <c r="AB2147" s="821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105"/>
        <v/>
      </c>
      <c r="C2148" s="191"/>
      <c r="D2148" s="191"/>
      <c r="E2148" s="731"/>
      <c r="F2148" s="189"/>
      <c r="G2148" s="40"/>
      <c r="H2148" s="7"/>
      <c r="I2148" s="256"/>
      <c r="J2148" s="256"/>
      <c r="K2148" s="56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902" t="str">
        <f>IF(AND('341-CT'!$E$9=H2148,OR(LEFT(L2148,3)=$O$7,LEFT(M2148,3)=$O$7)),"x","")</f>
        <v/>
      </c>
      <c r="P2148" s="39" t="str">
        <f>IF(AND($B2148&gt;='111'!$N$11,$B2148&lt;='111'!$O$11,OR($L2148=$P$7,$M2148=$P$7)),"x","")</f>
        <v/>
      </c>
      <c r="Q2148" s="39" t="str">
        <f>IF(AND($L2148=$P$7,$B2148&lt;'111'!$N$11),"x","")</f>
        <v/>
      </c>
      <c r="R2148" s="39" t="str">
        <f>IF(AND($M2148=$P$7,$B2148&lt;'111'!$N$11),"x","")</f>
        <v/>
      </c>
      <c r="S2148" s="39" t="str">
        <f>IF(ISERROR(FIND('112'!$M$9,G2148,1)),"",IF((AND(FIND('112'!$M$9,G2148,1)&gt;=1,$B2148&gt;='112'!$N$8,$B2148&lt;='112'!$O$8,OR($L2148='112'!$I$6,$M2148='112'!$I$6))),"x",""))</f>
        <v/>
      </c>
      <c r="T2148" s="39" t="str">
        <f>IF(ISERROR(FIND('112'!$M$9,G2148,1)),"",IF((AND(LEFT(G2148,2)=LEFT('112'!$M$9,2),B2148&lt;'112'!$N$8,$L2148='112'!$I$6)),"x",""))</f>
        <v/>
      </c>
      <c r="U2148" s="39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39" t="str">
        <f>IF(OR(TH!L2148=TH!$W$7,M2148=TH!$W$7),"x","")</f>
        <v/>
      </c>
      <c r="X2148" s="39" t="str">
        <f>IF(AND(B2148&gt;='IN-NX'!$P$3,B2148&lt;='IN-NX'!$Q$3,'IN-NX'!$D$7=D2148,OR(LEFT(L2148,2)="15",AND(LEFT(M2148,2)&lt;&gt;"15",LEFT(M2148,2)&lt;&gt;"33"))),"x","")</f>
        <v/>
      </c>
      <c r="Y2148" s="39" t="str">
        <f>IF(AND(OR(LEFT(TH!L2148,2)="15",LEFT(TH!M2148,2)="15"),'152-CT'!$J$8=TH!F2148),"x","")</f>
        <v/>
      </c>
      <c r="Z2148" s="39" t="str">
        <f>IF(AND(OR(LEFT(TH!L2148,2)="15",LEFT(TH!M2148,2)="15"),TK!$E$7=TH!F2148),"x","")</f>
        <v/>
      </c>
      <c r="AA2148" s="39" t="str">
        <f>IF(AND(B2148&lt;=NKC!$N$8,B2148&gt;=NKC!$M$8),"x","")</f>
        <v/>
      </c>
      <c r="AB2148" s="821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105"/>
        <v/>
      </c>
      <c r="C2149" s="191"/>
      <c r="D2149" s="191"/>
      <c r="E2149" s="731"/>
      <c r="F2149" s="189"/>
      <c r="G2149" s="40"/>
      <c r="H2149" s="7"/>
      <c r="I2149" s="256"/>
      <c r="J2149" s="256"/>
      <c r="K2149" s="56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902" t="str">
        <f>IF(AND('341-CT'!$E$9=H2149,OR(LEFT(L2149,3)=$O$7,LEFT(M2149,3)=$O$7)),"x","")</f>
        <v/>
      </c>
      <c r="P2149" s="39" t="str">
        <f>IF(AND($B2149&gt;='111'!$N$11,$B2149&lt;='111'!$O$11,OR($L2149=$P$7,$M2149=$P$7)),"x","")</f>
        <v/>
      </c>
      <c r="Q2149" s="39" t="str">
        <f>IF(AND($L2149=$P$7,$B2149&lt;'111'!$N$11),"x","")</f>
        <v/>
      </c>
      <c r="R2149" s="39" t="str">
        <f>IF(AND($M2149=$P$7,$B2149&lt;'111'!$N$11),"x","")</f>
        <v/>
      </c>
      <c r="S2149" s="39" t="str">
        <f>IF(ISERROR(FIND('112'!$M$9,G2149,1)),"",IF((AND(FIND('112'!$M$9,G2149,1)&gt;=1,$B2149&gt;='112'!$N$8,$B2149&lt;='112'!$O$8,OR($L2149='112'!$I$6,$M2149='112'!$I$6))),"x",""))</f>
        <v/>
      </c>
      <c r="T2149" s="39" t="str">
        <f>IF(ISERROR(FIND('112'!$M$9,G2149,1)),"",IF((AND(LEFT(G2149,2)=LEFT('112'!$M$9,2),B2149&lt;'112'!$N$8,$L2149='112'!$I$6)),"x",""))</f>
        <v/>
      </c>
      <c r="U2149" s="39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39" t="str">
        <f>IF(OR(TH!L2149=TH!$W$7,M2149=TH!$W$7),"x","")</f>
        <v/>
      </c>
      <c r="X2149" s="39" t="str">
        <f>IF(AND(B2149&gt;='IN-NX'!$P$3,B2149&lt;='IN-NX'!$Q$3,'IN-NX'!$D$7=D2149,OR(LEFT(L2149,2)="15",AND(LEFT(M2149,2)&lt;&gt;"15",LEFT(M2149,2)&lt;&gt;"33"))),"x","")</f>
        <v/>
      </c>
      <c r="Y2149" s="39" t="str">
        <f>IF(AND(OR(LEFT(TH!L2149,2)="15",LEFT(TH!M2149,2)="15"),'152-CT'!$J$8=TH!F2149),"x","")</f>
        <v/>
      </c>
      <c r="Z2149" s="39" t="str">
        <f>IF(AND(OR(LEFT(TH!L2149,2)="15",LEFT(TH!M2149,2)="15"),TK!$E$7=TH!F2149),"x","")</f>
        <v/>
      </c>
      <c r="AA2149" s="39" t="str">
        <f>IF(AND(B2149&lt;=NKC!$N$8,B2149&gt;=NKC!$M$8),"x","")</f>
        <v/>
      </c>
      <c r="AB2149" s="821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105"/>
        <v/>
      </c>
      <c r="C2150" s="191"/>
      <c r="D2150" s="191"/>
      <c r="E2150" s="731"/>
      <c r="F2150" s="189"/>
      <c r="G2150" s="40"/>
      <c r="H2150" s="7"/>
      <c r="I2150" s="256"/>
      <c r="J2150" s="256"/>
      <c r="K2150" s="56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902" t="str">
        <f>IF(AND('341-CT'!$E$9=H2150,OR(LEFT(L2150,3)=$O$7,LEFT(M2150,3)=$O$7)),"x","")</f>
        <v/>
      </c>
      <c r="P2150" s="39" t="str">
        <f>IF(AND($B2150&gt;='111'!$N$11,$B2150&lt;='111'!$O$11,OR($L2150=$P$7,$M2150=$P$7)),"x","")</f>
        <v/>
      </c>
      <c r="Q2150" s="39" t="str">
        <f>IF(AND($L2150=$P$7,$B2150&lt;'111'!$N$11),"x","")</f>
        <v/>
      </c>
      <c r="R2150" s="39" t="str">
        <f>IF(AND($M2150=$P$7,$B2150&lt;'111'!$N$11),"x","")</f>
        <v/>
      </c>
      <c r="S2150" s="39" t="str">
        <f>IF(ISERROR(FIND('112'!$M$9,G2150,1)),"",IF((AND(FIND('112'!$M$9,G2150,1)&gt;=1,$B2150&gt;='112'!$N$8,$B2150&lt;='112'!$O$8,OR($L2150='112'!$I$6,$M2150='112'!$I$6))),"x",""))</f>
        <v/>
      </c>
      <c r="T2150" s="39" t="str">
        <f>IF(ISERROR(FIND('112'!$M$9,G2150,1)),"",IF((AND(LEFT(G2150,2)=LEFT('112'!$M$9,2),B2150&lt;'112'!$N$8,$L2150='112'!$I$6)),"x",""))</f>
        <v/>
      </c>
      <c r="U2150" s="39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39" t="str">
        <f>IF(OR(TH!L2150=TH!$W$7,M2150=TH!$W$7),"x","")</f>
        <v/>
      </c>
      <c r="X2150" s="39" t="str">
        <f>IF(AND(B2150&gt;='IN-NX'!$P$3,B2150&lt;='IN-NX'!$Q$3,'IN-NX'!$D$7=D2150,OR(LEFT(L2150,2)="15",AND(LEFT(M2150,2)&lt;&gt;"15",LEFT(M2150,2)&lt;&gt;"33"))),"x","")</f>
        <v/>
      </c>
      <c r="Y2150" s="39" t="str">
        <f>IF(AND(OR(LEFT(TH!L2150,2)="15",LEFT(TH!M2150,2)="15"),'152-CT'!$J$8=TH!F2150),"x","")</f>
        <v/>
      </c>
      <c r="Z2150" s="39" t="str">
        <f>IF(AND(OR(LEFT(TH!L2150,2)="15",LEFT(TH!M2150,2)="15"),TK!$E$7=TH!F2150),"x","")</f>
        <v/>
      </c>
      <c r="AA2150" s="39" t="str">
        <f>IF(AND(B2150&lt;=NKC!$N$8,B2150&gt;=NKC!$M$8),"x","")</f>
        <v/>
      </c>
      <c r="AB2150" s="821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105"/>
        <v/>
      </c>
      <c r="C2151" s="191"/>
      <c r="D2151" s="37"/>
      <c r="E2151" s="731"/>
      <c r="F2151" s="40"/>
      <c r="G2151" s="40"/>
      <c r="H2151" s="7"/>
      <c r="I2151" s="256"/>
      <c r="J2151" s="256"/>
      <c r="K2151" s="568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902" t="str">
        <f>IF(AND('341-CT'!$E$9=H2151,OR(LEFT(L2151,3)=$O$7,LEFT(M2151,3)=$O$7)),"x","")</f>
        <v/>
      </c>
      <c r="P2151" s="39" t="str">
        <f>IF(AND($B2151&gt;='111'!$N$11,$B2151&lt;='111'!$O$11,OR($L2151=$P$7,$M2151=$P$7)),"x","")</f>
        <v/>
      </c>
      <c r="Q2151" s="39" t="str">
        <f>IF(AND($L2151=$P$7,$B2151&lt;'111'!$N$11),"x","")</f>
        <v/>
      </c>
      <c r="R2151" s="39" t="str">
        <f>IF(AND($M2151=$P$7,$B2151&lt;'111'!$N$11),"x","")</f>
        <v/>
      </c>
      <c r="S2151" s="39" t="str">
        <f>IF(ISERROR(FIND('112'!$M$9,G2151,1)),"",IF((AND(FIND('112'!$M$9,G2151,1)&gt;=1,$B2151&gt;='112'!$N$8,$B2151&lt;='112'!$O$8,OR($L2151='112'!$I$6,$M2151='112'!$I$6))),"x",""))</f>
        <v/>
      </c>
      <c r="T2151" s="39" t="str">
        <f>IF(ISERROR(FIND('112'!$M$9,G2151,1)),"",IF((AND(LEFT(G2151,2)=LEFT('112'!$M$9,2),B2151&lt;'112'!$N$8,$L2151='112'!$I$6)),"x",""))</f>
        <v/>
      </c>
      <c r="U2151" s="39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39" t="str">
        <f>IF(OR(TH!L2151=TH!$W$7,M2151=TH!$W$7),"x","")</f>
        <v/>
      </c>
      <c r="X2151" s="39" t="str">
        <f>IF(AND(B2151&gt;='IN-NX'!$P$3,B2151&lt;='IN-NX'!$Q$3,'IN-NX'!$D$7=D2151,OR(LEFT(L2151,2)="15",AND(LEFT(M2151,2)&lt;&gt;"15",LEFT(M2151,2)&lt;&gt;"33"))),"x","")</f>
        <v/>
      </c>
      <c r="Y2151" s="39" t="str">
        <f>IF(AND(OR(LEFT(TH!L2151,2)="15",LEFT(TH!M2151,2)="15"),'152-CT'!$J$8=TH!F2151),"x","")</f>
        <v/>
      </c>
      <c r="Z2151" s="39" t="str">
        <f>IF(AND(OR(LEFT(TH!L2151,2)="15",LEFT(TH!M2151,2)="15"),TK!$E$7=TH!F2151),"x","")</f>
        <v/>
      </c>
      <c r="AA2151" s="39" t="str">
        <f>IF(AND(B2151&lt;=NKC!$N$8,B2151&gt;=NKC!$M$8),"x","")</f>
        <v/>
      </c>
      <c r="AB2151" s="821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105"/>
        <v/>
      </c>
      <c r="C2152" s="191"/>
      <c r="D2152" s="37"/>
      <c r="E2152" s="731"/>
      <c r="F2152" s="40"/>
      <c r="G2152" s="40"/>
      <c r="H2152" s="7"/>
      <c r="I2152" s="256"/>
      <c r="J2152" s="256"/>
      <c r="K2152" s="568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902" t="str">
        <f>IF(AND('341-CT'!$E$9=H2152,OR(LEFT(L2152,3)=$O$7,LEFT(M2152,3)=$O$7)),"x","")</f>
        <v/>
      </c>
      <c r="P2152" s="39" t="str">
        <f>IF(AND($B2152&gt;='111'!$N$11,$B2152&lt;='111'!$O$11,OR($L2152=$P$7,$M2152=$P$7)),"x","")</f>
        <v/>
      </c>
      <c r="Q2152" s="39" t="str">
        <f>IF(AND($L2152=$P$7,$B2152&lt;'111'!$N$11),"x","")</f>
        <v/>
      </c>
      <c r="R2152" s="39" t="str">
        <f>IF(AND($M2152=$P$7,$B2152&lt;'111'!$N$11),"x","")</f>
        <v/>
      </c>
      <c r="S2152" s="39" t="str">
        <f>IF(ISERROR(FIND('112'!$M$9,G2152,1)),"",IF((AND(FIND('112'!$M$9,G2152,1)&gt;=1,$B2152&gt;='112'!$N$8,$B2152&lt;='112'!$O$8,OR($L2152='112'!$I$6,$M2152='112'!$I$6))),"x",""))</f>
        <v/>
      </c>
      <c r="T2152" s="39" t="str">
        <f>IF(ISERROR(FIND('112'!$M$9,G2152,1)),"",IF((AND(LEFT(G2152,2)=LEFT('112'!$M$9,2),B2152&lt;'112'!$N$8,$L2152='112'!$I$6)),"x",""))</f>
        <v/>
      </c>
      <c r="U2152" s="39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39" t="str">
        <f>IF(OR(TH!L2152=TH!$W$7,M2152=TH!$W$7),"x","")</f>
        <v/>
      </c>
      <c r="X2152" s="39" t="str">
        <f>IF(AND(B2152&gt;='IN-NX'!$P$3,B2152&lt;='IN-NX'!$Q$3,'IN-NX'!$D$7=D2152,OR(LEFT(L2152,2)="15",AND(LEFT(M2152,2)&lt;&gt;"15",LEFT(M2152,2)&lt;&gt;"33"))),"x","")</f>
        <v/>
      </c>
      <c r="Y2152" s="39" t="str">
        <f>IF(AND(OR(LEFT(TH!L2152,2)="15",LEFT(TH!M2152,2)="15"),'152-CT'!$J$8=TH!F2152),"x","")</f>
        <v/>
      </c>
      <c r="Z2152" s="39" t="str">
        <f>IF(AND(OR(LEFT(TH!L2152,2)="15",LEFT(TH!M2152,2)="15"),TK!$E$7=TH!F2152),"x","")</f>
        <v/>
      </c>
      <c r="AA2152" s="39" t="str">
        <f>IF(AND(B2152&lt;=NKC!$N$8,B2152&gt;=NKC!$M$8),"x","")</f>
        <v/>
      </c>
      <c r="AB2152" s="821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105"/>
        <v/>
      </c>
      <c r="C2153" s="191"/>
      <c r="D2153" s="37"/>
      <c r="E2153" s="731"/>
      <c r="F2153" s="40"/>
      <c r="G2153" s="40"/>
      <c r="H2153" s="7"/>
      <c r="I2153" s="256"/>
      <c r="J2153" s="256"/>
      <c r="K2153" s="568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902" t="str">
        <f>IF(AND('341-CT'!$E$9=H2153,OR(LEFT(L2153,3)=$O$7,LEFT(M2153,3)=$O$7)),"x","")</f>
        <v/>
      </c>
      <c r="P2153" s="39" t="str">
        <f>IF(AND($B2153&gt;='111'!$N$11,$B2153&lt;='111'!$O$11,OR($L2153=$P$7,$M2153=$P$7)),"x","")</f>
        <v/>
      </c>
      <c r="Q2153" s="39" t="str">
        <f>IF(AND($L2153=$P$7,$B2153&lt;'111'!$N$11),"x","")</f>
        <v/>
      </c>
      <c r="R2153" s="39" t="str">
        <f>IF(AND($M2153=$P$7,$B2153&lt;'111'!$N$11),"x","")</f>
        <v/>
      </c>
      <c r="S2153" s="39" t="str">
        <f>IF(ISERROR(FIND('112'!$M$9,G2153,1)),"",IF((AND(FIND('112'!$M$9,G2153,1)&gt;=1,$B2153&gt;='112'!$N$8,$B2153&lt;='112'!$O$8,OR($L2153='112'!$I$6,$M2153='112'!$I$6))),"x",""))</f>
        <v/>
      </c>
      <c r="T2153" s="39" t="str">
        <f>IF(ISERROR(FIND('112'!$M$9,G2153,1)),"",IF((AND(LEFT(G2153,2)=LEFT('112'!$M$9,2),B2153&lt;'112'!$N$8,$L2153='112'!$I$6)),"x",""))</f>
        <v/>
      </c>
      <c r="U2153" s="39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39" t="str">
        <f>IF(OR(TH!L2153=TH!$W$7,M2153=TH!$W$7),"x","")</f>
        <v/>
      </c>
      <c r="X2153" s="39" t="str">
        <f>IF(AND(B2153&gt;='IN-NX'!$P$3,B2153&lt;='IN-NX'!$Q$3,'IN-NX'!$D$7=D2153,OR(LEFT(L2153,2)="15",AND(LEFT(M2153,2)&lt;&gt;"15",LEFT(M2153,2)&lt;&gt;"33"))),"x","")</f>
        <v/>
      </c>
      <c r="Y2153" s="39" t="str">
        <f>IF(AND(OR(LEFT(TH!L2153,2)="15",LEFT(TH!M2153,2)="15"),'152-CT'!$J$8=TH!F2153),"x","")</f>
        <v/>
      </c>
      <c r="Z2153" s="39" t="str">
        <f>IF(AND(OR(LEFT(TH!L2153,2)="15",LEFT(TH!M2153,2)="15"),TK!$E$7=TH!F2153),"x","")</f>
        <v/>
      </c>
      <c r="AA2153" s="39" t="str">
        <f>IF(AND(B2153&lt;=NKC!$N$8,B2153&gt;=NKC!$M$8),"x","")</f>
        <v/>
      </c>
      <c r="AB2153" s="821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105"/>
        <v/>
      </c>
      <c r="C2154" s="191"/>
      <c r="D2154" s="37"/>
      <c r="E2154" s="731"/>
      <c r="F2154" s="40"/>
      <c r="G2154" s="40"/>
      <c r="H2154" s="7"/>
      <c r="I2154" s="256"/>
      <c r="J2154" s="256"/>
      <c r="K2154" s="568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902" t="str">
        <f>IF(AND('341-CT'!$E$9=H2154,OR(LEFT(L2154,3)=$O$7,LEFT(M2154,3)=$O$7)),"x","")</f>
        <v/>
      </c>
      <c r="P2154" s="39" t="str">
        <f>IF(AND($B2154&gt;='111'!$N$11,$B2154&lt;='111'!$O$11,OR($L2154=$P$7,$M2154=$P$7)),"x","")</f>
        <v/>
      </c>
      <c r="Q2154" s="39" t="str">
        <f>IF(AND($L2154=$P$7,$B2154&lt;'111'!$N$11),"x","")</f>
        <v/>
      </c>
      <c r="R2154" s="39" t="str">
        <f>IF(AND($M2154=$P$7,$B2154&lt;'111'!$N$11),"x","")</f>
        <v/>
      </c>
      <c r="S2154" s="39" t="str">
        <f>IF(ISERROR(FIND('112'!$M$9,G2154,1)),"",IF((AND(FIND('112'!$M$9,G2154,1)&gt;=1,$B2154&gt;='112'!$N$8,$B2154&lt;='112'!$O$8,OR($L2154='112'!$I$6,$M2154='112'!$I$6))),"x",""))</f>
        <v/>
      </c>
      <c r="T2154" s="39" t="str">
        <f>IF(ISERROR(FIND('112'!$M$9,G2154,1)),"",IF((AND(LEFT(G2154,2)=LEFT('112'!$M$9,2),B2154&lt;'112'!$N$8,$L2154='112'!$I$6)),"x",""))</f>
        <v/>
      </c>
      <c r="U2154" s="39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39" t="str">
        <f>IF(OR(TH!L2154=TH!$W$7,M2154=TH!$W$7),"x","")</f>
        <v/>
      </c>
      <c r="X2154" s="39" t="str">
        <f>IF(AND(B2154&gt;='IN-NX'!$P$3,B2154&lt;='IN-NX'!$Q$3,'IN-NX'!$D$7=D2154,OR(LEFT(L2154,2)="15",AND(LEFT(M2154,2)&lt;&gt;"15",LEFT(M2154,2)&lt;&gt;"33"))),"x","")</f>
        <v/>
      </c>
      <c r="Y2154" s="39" t="str">
        <f>IF(AND(OR(LEFT(TH!L2154,2)="15",LEFT(TH!M2154,2)="15"),'152-CT'!$J$8=TH!F2154),"x","")</f>
        <v/>
      </c>
      <c r="Z2154" s="39" t="str">
        <f>IF(AND(OR(LEFT(TH!L2154,2)="15",LEFT(TH!M2154,2)="15"),TK!$E$7=TH!F2154),"x","")</f>
        <v/>
      </c>
      <c r="AA2154" s="39" t="str">
        <f>IF(AND(B2154&lt;=NKC!$N$8,B2154&gt;=NKC!$M$8),"x","")</f>
        <v/>
      </c>
      <c r="AB2154" s="821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105"/>
        <v/>
      </c>
      <c r="C2155" s="191"/>
      <c r="D2155" s="37"/>
      <c r="E2155" s="731"/>
      <c r="F2155" s="192"/>
      <c r="G2155" s="40"/>
      <c r="H2155" s="7"/>
      <c r="I2155" s="256"/>
      <c r="J2155" s="256"/>
      <c r="K2155" s="568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902" t="str">
        <f>IF(AND('341-CT'!$E$9=H2155,OR(LEFT(L2155,3)=$O$7,LEFT(M2155,3)=$O$7)),"x","")</f>
        <v/>
      </c>
      <c r="P2155" s="39" t="str">
        <f>IF(AND($B2155&gt;='111'!$N$11,$B2155&lt;='111'!$O$11,OR($L2155=$P$7,$M2155=$P$7)),"x","")</f>
        <v/>
      </c>
      <c r="Q2155" s="39" t="str">
        <f>IF(AND($L2155=$P$7,$B2155&lt;'111'!$N$11),"x","")</f>
        <v/>
      </c>
      <c r="R2155" s="39" t="str">
        <f>IF(AND($M2155=$P$7,$B2155&lt;'111'!$N$11),"x","")</f>
        <v/>
      </c>
      <c r="S2155" s="39" t="str">
        <f>IF(ISERROR(FIND('112'!$M$9,G2155,1)),"",IF((AND(FIND('112'!$M$9,G2155,1)&gt;=1,$B2155&gt;='112'!$N$8,$B2155&lt;='112'!$O$8,OR($L2155='112'!$I$6,$M2155='112'!$I$6))),"x",""))</f>
        <v/>
      </c>
      <c r="T2155" s="39" t="str">
        <f>IF(ISERROR(FIND('112'!$M$9,G2155,1)),"",IF((AND(LEFT(G2155,2)=LEFT('112'!$M$9,2),B2155&lt;'112'!$N$8,$L2155='112'!$I$6)),"x",""))</f>
        <v/>
      </c>
      <c r="U2155" s="39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39" t="str">
        <f>IF(OR(TH!L2155=TH!$W$7,M2155=TH!$W$7),"x","")</f>
        <v/>
      </c>
      <c r="X2155" s="39" t="str">
        <f>IF(AND(B2155&gt;='IN-NX'!$P$3,B2155&lt;='IN-NX'!$Q$3,'IN-NX'!$D$7=D2155,OR(LEFT(L2155,2)="15",AND(LEFT(M2155,2)&lt;&gt;"15",LEFT(M2155,2)&lt;&gt;"33"))),"x","")</f>
        <v/>
      </c>
      <c r="Y2155" s="39" t="str">
        <f>IF(AND(OR(LEFT(TH!L2155,2)="15",LEFT(TH!M2155,2)="15"),'152-CT'!$J$8=TH!F2155),"x","")</f>
        <v/>
      </c>
      <c r="Z2155" s="39" t="str">
        <f>IF(AND(OR(LEFT(TH!L2155,2)="15",LEFT(TH!M2155,2)="15"),TK!$E$7=TH!F2155),"x","")</f>
        <v/>
      </c>
      <c r="AA2155" s="39" t="str">
        <f>IF(AND(B2155&lt;=NKC!$N$8,B2155&gt;=NKC!$M$8),"x","")</f>
        <v/>
      </c>
      <c r="AB2155" s="821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105"/>
        <v/>
      </c>
      <c r="C2156" s="191"/>
      <c r="D2156" s="37"/>
      <c r="E2156" s="731"/>
      <c r="F2156" s="40"/>
      <c r="G2156" s="40"/>
      <c r="H2156" s="7"/>
      <c r="I2156" s="256"/>
      <c r="J2156" s="256"/>
      <c r="K2156" s="568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902" t="str">
        <f>IF(AND('341-CT'!$E$9=H2156,OR(LEFT(L2156,3)=$O$7,LEFT(M2156,3)=$O$7)),"x","")</f>
        <v/>
      </c>
      <c r="P2156" s="39" t="str">
        <f>IF(AND($B2156&gt;='111'!$N$11,$B2156&lt;='111'!$O$11,OR($L2156=$P$7,$M2156=$P$7)),"x","")</f>
        <v/>
      </c>
      <c r="Q2156" s="39" t="str">
        <f>IF(AND($L2156=$P$7,$B2156&lt;'111'!$N$11),"x","")</f>
        <v/>
      </c>
      <c r="R2156" s="39" t="str">
        <f>IF(AND($M2156=$P$7,$B2156&lt;'111'!$N$11),"x","")</f>
        <v/>
      </c>
      <c r="S2156" s="39" t="str">
        <f>IF(ISERROR(FIND('112'!$M$9,G2156,1)),"",IF((AND(FIND('112'!$M$9,G2156,1)&gt;=1,$B2156&gt;='112'!$N$8,$B2156&lt;='112'!$O$8,OR($L2156='112'!$I$6,$M2156='112'!$I$6))),"x",""))</f>
        <v/>
      </c>
      <c r="T2156" s="39" t="str">
        <f>IF(ISERROR(FIND('112'!$M$9,G2156,1)),"",IF((AND(LEFT(G2156,2)=LEFT('112'!$M$9,2),B2156&lt;'112'!$N$8,$L2156='112'!$I$6)),"x",""))</f>
        <v/>
      </c>
      <c r="U2156" s="39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39" t="str">
        <f>IF(OR(TH!L2156=TH!$W$7,M2156=TH!$W$7),"x","")</f>
        <v/>
      </c>
      <c r="X2156" s="39" t="str">
        <f>IF(AND(B2156&gt;='IN-NX'!$P$3,B2156&lt;='IN-NX'!$Q$3,'IN-NX'!$D$7=D2156,OR(LEFT(L2156,2)="15",AND(LEFT(M2156,2)&lt;&gt;"15",LEFT(M2156,2)&lt;&gt;"33"))),"x","")</f>
        <v/>
      </c>
      <c r="Y2156" s="39" t="str">
        <f>IF(AND(OR(LEFT(TH!L2156,2)="15",LEFT(TH!M2156,2)="15"),'152-CT'!$J$8=TH!F2156),"x","")</f>
        <v/>
      </c>
      <c r="Z2156" s="39" t="str">
        <f>IF(AND(OR(LEFT(TH!L2156,2)="15",LEFT(TH!M2156,2)="15"),TK!$E$7=TH!F2156),"x","")</f>
        <v/>
      </c>
      <c r="AA2156" s="39" t="str">
        <f>IF(AND(B2156&lt;=NKC!$N$8,B2156&gt;=NKC!$M$8),"x","")</f>
        <v/>
      </c>
      <c r="AB2156" s="821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105"/>
        <v/>
      </c>
      <c r="C2157" s="191"/>
      <c r="D2157" s="37"/>
      <c r="E2157" s="731"/>
      <c r="F2157" s="40"/>
      <c r="G2157" s="40"/>
      <c r="H2157" s="7"/>
      <c r="I2157" s="256"/>
      <c r="J2157" s="256"/>
      <c r="K2157" s="568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902" t="str">
        <f>IF(AND('341-CT'!$E$9=H2157,OR(LEFT(L2157,3)=$O$7,LEFT(M2157,3)=$O$7)),"x","")</f>
        <v/>
      </c>
      <c r="P2157" s="39" t="str">
        <f>IF(AND($B2157&gt;='111'!$N$11,$B2157&lt;='111'!$O$11,OR($L2157=$P$7,$M2157=$P$7)),"x","")</f>
        <v/>
      </c>
      <c r="Q2157" s="39" t="str">
        <f>IF(AND($L2157=$P$7,$B2157&lt;'111'!$N$11),"x","")</f>
        <v/>
      </c>
      <c r="R2157" s="39" t="str">
        <f>IF(AND($M2157=$P$7,$B2157&lt;'111'!$N$11),"x","")</f>
        <v/>
      </c>
      <c r="S2157" s="39" t="str">
        <f>IF(ISERROR(FIND('112'!$M$9,G2157,1)),"",IF((AND(FIND('112'!$M$9,G2157,1)&gt;=1,$B2157&gt;='112'!$N$8,$B2157&lt;='112'!$O$8,OR($L2157='112'!$I$6,$M2157='112'!$I$6))),"x",""))</f>
        <v/>
      </c>
      <c r="T2157" s="39" t="str">
        <f>IF(ISERROR(FIND('112'!$M$9,G2157,1)),"",IF((AND(LEFT(G2157,2)=LEFT('112'!$M$9,2),B2157&lt;'112'!$N$8,$L2157='112'!$I$6)),"x",""))</f>
        <v/>
      </c>
      <c r="U2157" s="39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39" t="str">
        <f>IF(OR(TH!L2157=TH!$W$7,M2157=TH!$W$7),"x","")</f>
        <v/>
      </c>
      <c r="X2157" s="39" t="str">
        <f>IF(AND(B2157&gt;='IN-NX'!$P$3,B2157&lt;='IN-NX'!$Q$3,'IN-NX'!$D$7=D2157,OR(LEFT(L2157,2)="15",AND(LEFT(M2157,2)&lt;&gt;"15",LEFT(M2157,2)&lt;&gt;"33"))),"x","")</f>
        <v/>
      </c>
      <c r="Y2157" s="39" t="str">
        <f>IF(AND(OR(LEFT(TH!L2157,2)="15",LEFT(TH!M2157,2)="15"),'152-CT'!$J$8=TH!F2157),"x","")</f>
        <v/>
      </c>
      <c r="Z2157" s="39" t="str">
        <f>IF(AND(OR(LEFT(TH!L2157,2)="15",LEFT(TH!M2157,2)="15"),TK!$E$7=TH!F2157),"x","")</f>
        <v/>
      </c>
      <c r="AA2157" s="39" t="str">
        <f>IF(AND(B2157&lt;=NKC!$N$8,B2157&gt;=NKC!$M$8),"x","")</f>
        <v/>
      </c>
      <c r="AB2157" s="821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105"/>
        <v/>
      </c>
      <c r="C2158" s="191"/>
      <c r="D2158" s="37"/>
      <c r="E2158" s="731"/>
      <c r="F2158" s="40"/>
      <c r="G2158" s="40"/>
      <c r="H2158" s="7"/>
      <c r="I2158" s="256"/>
      <c r="J2158" s="256"/>
      <c r="K2158" s="568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902" t="str">
        <f>IF(AND('341-CT'!$E$9=H2158,OR(LEFT(L2158,3)=$O$7,LEFT(M2158,3)=$O$7)),"x","")</f>
        <v/>
      </c>
      <c r="P2158" s="39" t="str">
        <f>IF(AND($B2158&gt;='111'!$N$11,$B2158&lt;='111'!$O$11,OR($L2158=$P$7,$M2158=$P$7)),"x","")</f>
        <v/>
      </c>
      <c r="Q2158" s="39" t="str">
        <f>IF(AND($L2158=$P$7,$B2158&lt;'111'!$N$11),"x","")</f>
        <v/>
      </c>
      <c r="R2158" s="39" t="str">
        <f>IF(AND($M2158=$P$7,$B2158&lt;'111'!$N$11),"x","")</f>
        <v/>
      </c>
      <c r="S2158" s="39" t="str">
        <f>IF(ISERROR(FIND('112'!$M$9,G2158,1)),"",IF((AND(FIND('112'!$M$9,G2158,1)&gt;=1,$B2158&gt;='112'!$N$8,$B2158&lt;='112'!$O$8,OR($L2158='112'!$I$6,$M2158='112'!$I$6))),"x",""))</f>
        <v/>
      </c>
      <c r="T2158" s="39" t="str">
        <f>IF(ISERROR(FIND('112'!$M$9,G2158,1)),"",IF((AND(LEFT(G2158,2)=LEFT('112'!$M$9,2),B2158&lt;'112'!$N$8,$L2158='112'!$I$6)),"x",""))</f>
        <v/>
      </c>
      <c r="U2158" s="39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39" t="str">
        <f>IF(OR(TH!L2158=TH!$W$7,M2158=TH!$W$7),"x","")</f>
        <v/>
      </c>
      <c r="X2158" s="39" t="str">
        <f>IF(AND(B2158&gt;='IN-NX'!$P$3,B2158&lt;='IN-NX'!$Q$3,'IN-NX'!$D$7=D2158,OR(LEFT(L2158,2)="15",AND(LEFT(M2158,2)&lt;&gt;"15",LEFT(M2158,2)&lt;&gt;"33"))),"x","")</f>
        <v/>
      </c>
      <c r="Y2158" s="39" t="str">
        <f>IF(AND(OR(LEFT(TH!L2158,2)="15",LEFT(TH!M2158,2)="15"),'152-CT'!$J$8=TH!F2158),"x","")</f>
        <v/>
      </c>
      <c r="Z2158" s="39" t="str">
        <f>IF(AND(OR(LEFT(TH!L2158,2)="15",LEFT(TH!M2158,2)="15"),TK!$E$7=TH!F2158),"x","")</f>
        <v/>
      </c>
      <c r="AA2158" s="39" t="str">
        <f>IF(AND(B2158&lt;=NKC!$N$8,B2158&gt;=NKC!$M$8),"x","")</f>
        <v/>
      </c>
      <c r="AB2158" s="821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105"/>
        <v/>
      </c>
      <c r="C2159" s="191"/>
      <c r="D2159" s="37"/>
      <c r="E2159" s="731"/>
      <c r="F2159" s="40"/>
      <c r="G2159" s="40"/>
      <c r="H2159" s="7"/>
      <c r="I2159" s="256"/>
      <c r="J2159" s="256"/>
      <c r="K2159" s="568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902" t="str">
        <f>IF(AND('341-CT'!$E$9=H2159,OR(LEFT(L2159,3)=$O$7,LEFT(M2159,3)=$O$7)),"x","")</f>
        <v/>
      </c>
      <c r="P2159" s="39" t="str">
        <f>IF(AND($B2159&gt;='111'!$N$11,$B2159&lt;='111'!$O$11,OR($L2159=$P$7,$M2159=$P$7)),"x","")</f>
        <v/>
      </c>
      <c r="Q2159" s="39" t="str">
        <f>IF(AND($L2159=$P$7,$B2159&lt;'111'!$N$11),"x","")</f>
        <v/>
      </c>
      <c r="R2159" s="39" t="str">
        <f>IF(AND($M2159=$P$7,$B2159&lt;'111'!$N$11),"x","")</f>
        <v/>
      </c>
      <c r="S2159" s="39" t="str">
        <f>IF(ISERROR(FIND('112'!$M$9,G2159,1)),"",IF((AND(FIND('112'!$M$9,G2159,1)&gt;=1,$B2159&gt;='112'!$N$8,$B2159&lt;='112'!$O$8,OR($L2159='112'!$I$6,$M2159='112'!$I$6))),"x",""))</f>
        <v/>
      </c>
      <c r="T2159" s="39" t="str">
        <f>IF(ISERROR(FIND('112'!$M$9,G2159,1)),"",IF((AND(LEFT(G2159,2)=LEFT('112'!$M$9,2),B2159&lt;'112'!$N$8,$L2159='112'!$I$6)),"x",""))</f>
        <v/>
      </c>
      <c r="U2159" s="39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39" t="str">
        <f>IF(OR(TH!L2159=TH!$W$7,M2159=TH!$W$7),"x","")</f>
        <v/>
      </c>
      <c r="X2159" s="39" t="str">
        <f>IF(AND(B2159&gt;='IN-NX'!$P$3,B2159&lt;='IN-NX'!$Q$3,'IN-NX'!$D$7=D2159,OR(LEFT(L2159,2)="15",AND(LEFT(M2159,2)&lt;&gt;"15",LEFT(M2159,2)&lt;&gt;"33"))),"x","")</f>
        <v/>
      </c>
      <c r="Y2159" s="39" t="str">
        <f>IF(AND(OR(LEFT(TH!L2159,2)="15",LEFT(TH!M2159,2)="15"),'152-CT'!$J$8=TH!F2159),"x","")</f>
        <v/>
      </c>
      <c r="Z2159" s="39" t="str">
        <f>IF(AND(OR(LEFT(TH!L2159,2)="15",LEFT(TH!M2159,2)="15"),TK!$E$7=TH!F2159),"x","")</f>
        <v/>
      </c>
      <c r="AA2159" s="39" t="str">
        <f>IF(AND(B2159&lt;=NKC!$N$8,B2159&gt;=NKC!$M$8),"x","")</f>
        <v/>
      </c>
      <c r="AB2159" s="821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105"/>
        <v/>
      </c>
      <c r="C2160" s="191"/>
      <c r="D2160" s="37"/>
      <c r="E2160" s="731"/>
      <c r="F2160" s="192"/>
      <c r="G2160" s="40"/>
      <c r="H2160" s="7"/>
      <c r="I2160" s="256"/>
      <c r="J2160" s="256"/>
      <c r="K2160" s="568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902" t="str">
        <f>IF(AND('341-CT'!$E$9=H2160,OR(LEFT(L2160,3)=$O$7,LEFT(M2160,3)=$O$7)),"x","")</f>
        <v/>
      </c>
      <c r="P2160" s="39" t="str">
        <f>IF(AND($B2160&gt;='111'!$N$11,$B2160&lt;='111'!$O$11,OR($L2160=$P$7,$M2160=$P$7)),"x","")</f>
        <v/>
      </c>
      <c r="Q2160" s="39" t="str">
        <f>IF(AND($L2160=$P$7,$B2160&lt;'111'!$N$11),"x","")</f>
        <v/>
      </c>
      <c r="R2160" s="39" t="str">
        <f>IF(AND($M2160=$P$7,$B2160&lt;'111'!$N$11),"x","")</f>
        <v/>
      </c>
      <c r="S2160" s="39" t="str">
        <f>IF(ISERROR(FIND('112'!$M$9,G2160,1)),"",IF((AND(FIND('112'!$M$9,G2160,1)&gt;=1,$B2160&gt;='112'!$N$8,$B2160&lt;='112'!$O$8,OR($L2160='112'!$I$6,$M2160='112'!$I$6))),"x",""))</f>
        <v/>
      </c>
      <c r="T2160" s="39" t="str">
        <f>IF(ISERROR(FIND('112'!$M$9,G2160,1)),"",IF((AND(LEFT(G2160,2)=LEFT('112'!$M$9,2),B2160&lt;'112'!$N$8,$L2160='112'!$I$6)),"x",""))</f>
        <v/>
      </c>
      <c r="U2160" s="39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39" t="str">
        <f>IF(OR(TH!L2160=TH!$W$7,M2160=TH!$W$7),"x","")</f>
        <v/>
      </c>
      <c r="X2160" s="39" t="str">
        <f>IF(AND(B2160&gt;='IN-NX'!$P$3,B2160&lt;='IN-NX'!$Q$3,'IN-NX'!$D$7=D2160,OR(LEFT(L2160,2)="15",AND(LEFT(M2160,2)&lt;&gt;"15",LEFT(M2160,2)&lt;&gt;"33"))),"x","")</f>
        <v/>
      </c>
      <c r="Y2160" s="39" t="str">
        <f>IF(AND(OR(LEFT(TH!L2160,2)="15",LEFT(TH!M2160,2)="15"),'152-CT'!$J$8=TH!F2160),"x","")</f>
        <v/>
      </c>
      <c r="Z2160" s="39" t="str">
        <f>IF(AND(OR(LEFT(TH!L2160,2)="15",LEFT(TH!M2160,2)="15"),TK!$E$7=TH!F2160),"x","")</f>
        <v/>
      </c>
      <c r="AA2160" s="39" t="str">
        <f>IF(AND(B2160&lt;=NKC!$N$8,B2160&gt;=NKC!$M$8),"x","")</f>
        <v/>
      </c>
      <c r="AB2160" s="821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105"/>
        <v/>
      </c>
      <c r="C2161" s="191"/>
      <c r="D2161" s="37"/>
      <c r="E2161" s="731"/>
      <c r="F2161" s="443"/>
      <c r="G2161" s="40"/>
      <c r="H2161" s="7"/>
      <c r="I2161" s="256"/>
      <c r="J2161" s="256"/>
      <c r="K2161" s="568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902" t="str">
        <f>IF(AND('341-CT'!$E$9=H2161,OR(LEFT(L2161,3)=$O$7,LEFT(M2161,3)=$O$7)),"x","")</f>
        <v/>
      </c>
      <c r="P2161" s="39" t="str">
        <f>IF(AND($B2161&gt;='111'!$N$11,$B2161&lt;='111'!$O$11,OR($L2161=$P$7,$M2161=$P$7)),"x","")</f>
        <v/>
      </c>
      <c r="Q2161" s="39" t="str">
        <f>IF(AND($L2161=$P$7,$B2161&lt;'111'!$N$11),"x","")</f>
        <v/>
      </c>
      <c r="R2161" s="39" t="str">
        <f>IF(AND($M2161=$P$7,$B2161&lt;'111'!$N$11),"x","")</f>
        <v/>
      </c>
      <c r="S2161" s="39" t="str">
        <f>IF(ISERROR(FIND('112'!$M$9,G2161,1)),"",IF((AND(FIND('112'!$M$9,G2161,1)&gt;=1,$B2161&gt;='112'!$N$8,$B2161&lt;='112'!$O$8,OR($L2161='112'!$I$6,$M2161='112'!$I$6))),"x",""))</f>
        <v/>
      </c>
      <c r="T2161" s="39" t="str">
        <f>IF(ISERROR(FIND('112'!$M$9,G2161,1)),"",IF((AND(LEFT(G2161,2)=LEFT('112'!$M$9,2),B2161&lt;'112'!$N$8,$L2161='112'!$I$6)),"x",""))</f>
        <v/>
      </c>
      <c r="U2161" s="39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39" t="str">
        <f>IF(OR(TH!L2161=TH!$W$7,M2161=TH!$W$7),"x","")</f>
        <v/>
      </c>
      <c r="X2161" s="39" t="str">
        <f>IF(AND(B2161&gt;='IN-NX'!$P$3,B2161&lt;='IN-NX'!$Q$3,'IN-NX'!$D$7=D2161,OR(LEFT(L2161,2)="15",AND(LEFT(M2161,2)&lt;&gt;"15",LEFT(M2161,2)&lt;&gt;"33"))),"x","")</f>
        <v/>
      </c>
      <c r="Y2161" s="39" t="str">
        <f>IF(AND(OR(LEFT(TH!L2161,2)="15",LEFT(TH!M2161,2)="15"),'152-CT'!$J$8=TH!F2161),"x","")</f>
        <v/>
      </c>
      <c r="Z2161" s="39" t="str">
        <f>IF(AND(OR(LEFT(TH!L2161,2)="15",LEFT(TH!M2161,2)="15"),TK!$E$7=TH!F2161),"x","")</f>
        <v/>
      </c>
      <c r="AA2161" s="39" t="str">
        <f>IF(AND(B2161&lt;=NKC!$N$8,B2161&gt;=NKC!$M$8),"x","")</f>
        <v/>
      </c>
      <c r="AB2161" s="821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105"/>
        <v/>
      </c>
      <c r="C2162" s="191"/>
      <c r="D2162" s="37"/>
      <c r="E2162" s="731"/>
      <c r="F2162" s="40"/>
      <c r="G2162" s="40"/>
      <c r="H2162" s="7"/>
      <c r="I2162" s="256"/>
      <c r="J2162" s="256"/>
      <c r="K2162" s="568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902" t="str">
        <f>IF(AND('341-CT'!$E$9=H2162,OR(LEFT(L2162,3)=$O$7,LEFT(M2162,3)=$O$7)),"x","")</f>
        <v/>
      </c>
      <c r="P2162" s="39" t="str">
        <f>IF(AND($B2162&gt;='111'!$N$11,$B2162&lt;='111'!$O$11,OR($L2162=$P$7,$M2162=$P$7)),"x","")</f>
        <v/>
      </c>
      <c r="Q2162" s="39" t="str">
        <f>IF(AND($L2162=$P$7,$B2162&lt;'111'!$N$11),"x","")</f>
        <v/>
      </c>
      <c r="R2162" s="39" t="str">
        <f>IF(AND($M2162=$P$7,$B2162&lt;'111'!$N$11),"x","")</f>
        <v/>
      </c>
      <c r="S2162" s="39" t="str">
        <f>IF(ISERROR(FIND('112'!$M$9,G2162,1)),"",IF((AND(FIND('112'!$M$9,G2162,1)&gt;=1,$B2162&gt;='112'!$N$8,$B2162&lt;='112'!$O$8,OR($L2162='112'!$I$6,$M2162='112'!$I$6))),"x",""))</f>
        <v/>
      </c>
      <c r="T2162" s="39" t="str">
        <f>IF(ISERROR(FIND('112'!$M$9,G2162,1)),"",IF((AND(LEFT(G2162,2)=LEFT('112'!$M$9,2),B2162&lt;'112'!$N$8,$L2162='112'!$I$6)),"x",""))</f>
        <v/>
      </c>
      <c r="U2162" s="39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39" t="str">
        <f>IF(OR(TH!L2162=TH!$W$7,M2162=TH!$W$7),"x","")</f>
        <v/>
      </c>
      <c r="X2162" s="39" t="str">
        <f>IF(AND(B2162&gt;='IN-NX'!$P$3,B2162&lt;='IN-NX'!$Q$3,'IN-NX'!$D$7=D2162,OR(LEFT(L2162,2)="15",AND(LEFT(M2162,2)&lt;&gt;"15",LEFT(M2162,2)&lt;&gt;"33"))),"x","")</f>
        <v/>
      </c>
      <c r="Y2162" s="39" t="str">
        <f>IF(AND(OR(LEFT(TH!L2162,2)="15",LEFT(TH!M2162,2)="15"),'152-CT'!$J$8=TH!F2162),"x","")</f>
        <v/>
      </c>
      <c r="Z2162" s="39" t="str">
        <f>IF(AND(OR(LEFT(TH!L2162,2)="15",LEFT(TH!M2162,2)="15"),TK!$E$7=TH!F2162),"x","")</f>
        <v/>
      </c>
      <c r="AA2162" s="39" t="str">
        <f>IF(AND(B2162&lt;=NKC!$N$8,B2162&gt;=NKC!$M$8),"x","")</f>
        <v/>
      </c>
      <c r="AB2162" s="821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105"/>
        <v/>
      </c>
      <c r="C2163" s="191"/>
      <c r="D2163" s="37"/>
      <c r="E2163" s="731"/>
      <c r="F2163" s="189"/>
      <c r="G2163" s="40"/>
      <c r="H2163" s="7"/>
      <c r="I2163" s="256"/>
      <c r="J2163" s="256"/>
      <c r="K2163" s="568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902" t="str">
        <f>IF(AND('341-CT'!$E$9=H2163,OR(LEFT(L2163,3)=$O$7,LEFT(M2163,3)=$O$7)),"x","")</f>
        <v/>
      </c>
      <c r="P2163" s="39" t="str">
        <f>IF(AND($B2163&gt;='111'!$N$11,$B2163&lt;='111'!$O$11,OR($L2163=$P$7,$M2163=$P$7)),"x","")</f>
        <v/>
      </c>
      <c r="Q2163" s="39" t="str">
        <f>IF(AND($L2163=$P$7,$B2163&lt;'111'!$N$11),"x","")</f>
        <v/>
      </c>
      <c r="R2163" s="39" t="str">
        <f>IF(AND($M2163=$P$7,$B2163&lt;'111'!$N$11),"x","")</f>
        <v/>
      </c>
      <c r="S2163" s="39" t="str">
        <f>IF(ISERROR(FIND('112'!$M$9,G2163,1)),"",IF((AND(FIND('112'!$M$9,G2163,1)&gt;=1,$B2163&gt;='112'!$N$8,$B2163&lt;='112'!$O$8,OR($L2163='112'!$I$6,$M2163='112'!$I$6))),"x",""))</f>
        <v/>
      </c>
      <c r="T2163" s="39" t="str">
        <f>IF(ISERROR(FIND('112'!$M$9,G2163,1)),"",IF((AND(LEFT(G2163,2)=LEFT('112'!$M$9,2),B2163&lt;'112'!$N$8,$L2163='112'!$I$6)),"x",""))</f>
        <v/>
      </c>
      <c r="U2163" s="39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39" t="str">
        <f>IF(OR(TH!L2163=TH!$W$7,M2163=TH!$W$7),"x","")</f>
        <v/>
      </c>
      <c r="X2163" s="39" t="str">
        <f>IF(AND(B2163&gt;='IN-NX'!$P$3,B2163&lt;='IN-NX'!$Q$3,'IN-NX'!$D$7=D2163,OR(LEFT(L2163,2)="15",AND(LEFT(M2163,2)&lt;&gt;"15",LEFT(M2163,2)&lt;&gt;"33"))),"x","")</f>
        <v/>
      </c>
      <c r="Y2163" s="39" t="str">
        <f>IF(AND(OR(LEFT(TH!L2163,2)="15",LEFT(TH!M2163,2)="15"),'152-CT'!$J$8=TH!F2163),"x","")</f>
        <v/>
      </c>
      <c r="Z2163" s="39" t="str">
        <f>IF(AND(OR(LEFT(TH!L2163,2)="15",LEFT(TH!M2163,2)="15"),TK!$E$7=TH!F2163),"x","")</f>
        <v/>
      </c>
      <c r="AA2163" s="39" t="str">
        <f>IF(AND(B2163&lt;=NKC!$N$8,B2163&gt;=NKC!$M$8),"x","")</f>
        <v/>
      </c>
      <c r="AB2163" s="821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si="105"/>
        <v/>
      </c>
      <c r="C2164" s="191"/>
      <c r="D2164" s="37"/>
      <c r="E2164" s="731"/>
      <c r="F2164" s="40"/>
      <c r="G2164" s="40"/>
      <c r="H2164" s="7"/>
      <c r="I2164" s="256"/>
      <c r="J2164" s="256"/>
      <c r="K2164" s="568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902" t="str">
        <f>IF(AND('341-CT'!$E$9=H2164,OR(LEFT(L2164,3)=$O$7,LEFT(M2164,3)=$O$7)),"x","")</f>
        <v/>
      </c>
      <c r="P2164" s="39" t="str">
        <f>IF(AND($B2164&gt;='111'!$N$11,$B2164&lt;='111'!$O$11,OR($L2164=$P$7,$M2164=$P$7)),"x","")</f>
        <v/>
      </c>
      <c r="Q2164" s="39" t="str">
        <f>IF(AND($L2164=$P$7,$B2164&lt;'111'!$N$11),"x","")</f>
        <v/>
      </c>
      <c r="R2164" s="39" t="str">
        <f>IF(AND($M2164=$P$7,$B2164&lt;'111'!$N$11),"x","")</f>
        <v/>
      </c>
      <c r="S2164" s="39" t="str">
        <f>IF(ISERROR(FIND('112'!$M$9,G2164,1)),"",IF((AND(FIND('112'!$M$9,G2164,1)&gt;=1,$B2164&gt;='112'!$N$8,$B2164&lt;='112'!$O$8,OR($L2164='112'!$I$6,$M2164='112'!$I$6))),"x",""))</f>
        <v/>
      </c>
      <c r="T2164" s="39" t="str">
        <f>IF(ISERROR(FIND('112'!$M$9,G2164,1)),"",IF((AND(LEFT(G2164,2)=LEFT('112'!$M$9,2),B2164&lt;'112'!$N$8,$L2164='112'!$I$6)),"x",""))</f>
        <v/>
      </c>
      <c r="U2164" s="39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39" t="str">
        <f>IF(OR(TH!L2164=TH!$W$7,M2164=TH!$W$7),"x","")</f>
        <v/>
      </c>
      <c r="X2164" s="39" t="str">
        <f>IF(AND(B2164&gt;='IN-NX'!$P$3,B2164&lt;='IN-NX'!$Q$3,'IN-NX'!$D$7=D2164,OR(LEFT(L2164,2)="15",AND(LEFT(M2164,2)&lt;&gt;"15",LEFT(M2164,2)&lt;&gt;"33"))),"x","")</f>
        <v/>
      </c>
      <c r="Y2164" s="39" t="str">
        <f>IF(AND(OR(LEFT(TH!L2164,2)="15",LEFT(TH!M2164,2)="15"),'152-CT'!$J$8=TH!F2164),"x","")</f>
        <v/>
      </c>
      <c r="Z2164" s="39" t="str">
        <f>IF(AND(OR(LEFT(TH!L2164,2)="15",LEFT(TH!M2164,2)="15"),TK!$E$7=TH!F2164),"x","")</f>
        <v/>
      </c>
      <c r="AA2164" s="39" t="str">
        <f>IF(AND(B2164&lt;=NKC!$N$8,B2164&gt;=NKC!$M$8),"x","")</f>
        <v/>
      </c>
      <c r="AB2164" s="821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105"/>
        <v/>
      </c>
      <c r="C2165" s="191"/>
      <c r="D2165" s="37"/>
      <c r="E2165" s="731"/>
      <c r="F2165" s="192"/>
      <c r="G2165" s="40"/>
      <c r="H2165" s="7"/>
      <c r="I2165" s="256"/>
      <c r="J2165" s="256"/>
      <c r="K2165" s="568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902" t="str">
        <f>IF(AND('341-CT'!$E$9=H2165,OR(LEFT(L2165,3)=$O$7,LEFT(M2165,3)=$O$7)),"x","")</f>
        <v/>
      </c>
      <c r="P2165" s="39" t="str">
        <f>IF(AND($B2165&gt;='111'!$N$11,$B2165&lt;='111'!$O$11,OR($L2165=$P$7,$M2165=$P$7)),"x","")</f>
        <v/>
      </c>
      <c r="Q2165" s="39" t="str">
        <f>IF(AND($L2165=$P$7,$B2165&lt;'111'!$N$11),"x","")</f>
        <v/>
      </c>
      <c r="R2165" s="39" t="str">
        <f>IF(AND($M2165=$P$7,$B2165&lt;'111'!$N$11),"x","")</f>
        <v/>
      </c>
      <c r="S2165" s="39" t="str">
        <f>IF(ISERROR(FIND('112'!$M$9,G2165,1)),"",IF((AND(FIND('112'!$M$9,G2165,1)&gt;=1,$B2165&gt;='112'!$N$8,$B2165&lt;='112'!$O$8,OR($L2165='112'!$I$6,$M2165='112'!$I$6))),"x",""))</f>
        <v/>
      </c>
      <c r="T2165" s="39" t="str">
        <f>IF(ISERROR(FIND('112'!$M$9,G2165,1)),"",IF((AND(LEFT(G2165,2)=LEFT('112'!$M$9,2),B2165&lt;'112'!$N$8,$L2165='112'!$I$6)),"x",""))</f>
        <v/>
      </c>
      <c r="U2165" s="39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39" t="str">
        <f>IF(OR(TH!L2165=TH!$W$7,M2165=TH!$W$7),"x","")</f>
        <v/>
      </c>
      <c r="X2165" s="39" t="str">
        <f>IF(AND(B2165&gt;='IN-NX'!$P$3,B2165&lt;='IN-NX'!$Q$3,'IN-NX'!$D$7=D2165,OR(LEFT(L2165,2)="15",AND(LEFT(M2165,2)&lt;&gt;"15",LEFT(M2165,2)&lt;&gt;"33"))),"x","")</f>
        <v/>
      </c>
      <c r="Y2165" s="39" t="str">
        <f>IF(AND(OR(LEFT(TH!L2165,2)="15",LEFT(TH!M2165,2)="15"),'152-CT'!$J$8=TH!F2165),"x","")</f>
        <v/>
      </c>
      <c r="Z2165" s="39" t="str">
        <f>IF(AND(OR(LEFT(TH!L2165,2)="15",LEFT(TH!M2165,2)="15"),TK!$E$7=TH!F2165),"x","")</f>
        <v/>
      </c>
      <c r="AA2165" s="39" t="str">
        <f>IF(AND(B2165&lt;=NKC!$N$8,B2165&gt;=NKC!$M$8),"x","")</f>
        <v/>
      </c>
      <c r="AB2165" s="821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105"/>
        <v/>
      </c>
      <c r="C2166" s="191"/>
      <c r="D2166" s="37"/>
      <c r="E2166" s="731"/>
      <c r="F2166" s="40"/>
      <c r="G2166" s="40"/>
      <c r="H2166" s="7"/>
      <c r="I2166" s="256"/>
      <c r="J2166" s="256"/>
      <c r="K2166" s="568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902" t="str">
        <f>IF(AND('341-CT'!$E$9=H2166,OR(LEFT(L2166,3)=$O$7,LEFT(M2166,3)=$O$7)),"x","")</f>
        <v/>
      </c>
      <c r="P2166" s="39" t="str">
        <f>IF(AND($B2166&gt;='111'!$N$11,$B2166&lt;='111'!$O$11,OR($L2166=$P$7,$M2166=$P$7)),"x","")</f>
        <v/>
      </c>
      <c r="Q2166" s="39" t="str">
        <f>IF(AND($L2166=$P$7,$B2166&lt;'111'!$N$11),"x","")</f>
        <v/>
      </c>
      <c r="R2166" s="39" t="str">
        <f>IF(AND($M2166=$P$7,$B2166&lt;'111'!$N$11),"x","")</f>
        <v/>
      </c>
      <c r="S2166" s="39" t="str">
        <f>IF(ISERROR(FIND('112'!$M$9,G2166,1)),"",IF((AND(FIND('112'!$M$9,G2166,1)&gt;=1,$B2166&gt;='112'!$N$8,$B2166&lt;='112'!$O$8,OR($L2166='112'!$I$6,$M2166='112'!$I$6))),"x",""))</f>
        <v/>
      </c>
      <c r="T2166" s="39" t="str">
        <f>IF(ISERROR(FIND('112'!$M$9,G2166,1)),"",IF((AND(LEFT(G2166,2)=LEFT('112'!$M$9,2),B2166&lt;'112'!$N$8,$L2166='112'!$I$6)),"x",""))</f>
        <v/>
      </c>
      <c r="U2166" s="39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39" t="str">
        <f>IF(OR(TH!L2166=TH!$W$7,M2166=TH!$W$7),"x","")</f>
        <v/>
      </c>
      <c r="X2166" s="39" t="str">
        <f>IF(AND(B2166&gt;='IN-NX'!$P$3,B2166&lt;='IN-NX'!$Q$3,'IN-NX'!$D$7=D2166,OR(LEFT(L2166,2)="15",AND(LEFT(M2166,2)&lt;&gt;"15",LEFT(M2166,2)&lt;&gt;"33"))),"x","")</f>
        <v/>
      </c>
      <c r="Y2166" s="39" t="str">
        <f>IF(AND(OR(LEFT(TH!L2166,2)="15",LEFT(TH!M2166,2)="15"),'152-CT'!$J$8=TH!F2166),"x","")</f>
        <v/>
      </c>
      <c r="Z2166" s="39" t="str">
        <f>IF(AND(OR(LEFT(TH!L2166,2)="15",LEFT(TH!M2166,2)="15"),TK!$E$7=TH!F2166),"x","")</f>
        <v/>
      </c>
      <c r="AA2166" s="39" t="str">
        <f>IF(AND(B2166&lt;=NKC!$N$8,B2166&gt;=NKC!$M$8),"x","")</f>
        <v/>
      </c>
      <c r="AB2166" s="821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105"/>
        <v/>
      </c>
      <c r="C2167" s="191"/>
      <c r="D2167" s="37"/>
      <c r="E2167" s="731"/>
      <c r="F2167" s="192"/>
      <c r="G2167" s="40"/>
      <c r="H2167" s="7"/>
      <c r="I2167" s="256"/>
      <c r="J2167" s="256"/>
      <c r="K2167" s="568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902" t="str">
        <f>IF(AND('341-CT'!$E$9=H2167,OR(LEFT(L2167,3)=$O$7,LEFT(M2167,3)=$O$7)),"x","")</f>
        <v/>
      </c>
      <c r="P2167" s="39" t="str">
        <f>IF(AND($B2167&gt;='111'!$N$11,$B2167&lt;='111'!$O$11,OR($L2167=$P$7,$M2167=$P$7)),"x","")</f>
        <v/>
      </c>
      <c r="Q2167" s="39" t="str">
        <f>IF(AND($L2167=$P$7,$B2167&lt;'111'!$N$11),"x","")</f>
        <v/>
      </c>
      <c r="R2167" s="39" t="str">
        <f>IF(AND($M2167=$P$7,$B2167&lt;'111'!$N$11),"x","")</f>
        <v/>
      </c>
      <c r="S2167" s="39" t="str">
        <f>IF(ISERROR(FIND('112'!$M$9,G2167,1)),"",IF((AND(FIND('112'!$M$9,G2167,1)&gt;=1,$B2167&gt;='112'!$N$8,$B2167&lt;='112'!$O$8,OR($L2167='112'!$I$6,$M2167='112'!$I$6))),"x",""))</f>
        <v/>
      </c>
      <c r="T2167" s="39" t="str">
        <f>IF(ISERROR(FIND('112'!$M$9,G2167,1)),"",IF((AND(LEFT(G2167,2)=LEFT('112'!$M$9,2),B2167&lt;'112'!$N$8,$L2167='112'!$I$6)),"x",""))</f>
        <v/>
      </c>
      <c r="U2167" s="39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39" t="str">
        <f>IF(OR(TH!L2167=TH!$W$7,M2167=TH!$W$7),"x","")</f>
        <v/>
      </c>
      <c r="X2167" s="39" t="str">
        <f>IF(AND(B2167&gt;='IN-NX'!$P$3,B2167&lt;='IN-NX'!$Q$3,'IN-NX'!$D$7=D2167,OR(LEFT(L2167,2)="15",AND(LEFT(M2167,2)&lt;&gt;"15",LEFT(M2167,2)&lt;&gt;"33"))),"x","")</f>
        <v/>
      </c>
      <c r="Y2167" s="39" t="str">
        <f>IF(AND(OR(LEFT(TH!L2167,2)="15",LEFT(TH!M2167,2)="15"),'152-CT'!$J$8=TH!F2167),"x","")</f>
        <v/>
      </c>
      <c r="Z2167" s="39" t="str">
        <f>IF(AND(OR(LEFT(TH!L2167,2)="15",LEFT(TH!M2167,2)="15"),TK!$E$7=TH!F2167),"x","")</f>
        <v/>
      </c>
      <c r="AA2167" s="39" t="str">
        <f>IF(AND(B2167&lt;=NKC!$N$8,B2167&gt;=NKC!$M$8),"x","")</f>
        <v/>
      </c>
      <c r="AB2167" s="821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105"/>
        <v/>
      </c>
      <c r="C2168" s="191"/>
      <c r="D2168" s="37"/>
      <c r="E2168" s="731"/>
      <c r="F2168" s="40"/>
      <c r="G2168" s="40"/>
      <c r="H2168" s="7"/>
      <c r="I2168" s="256"/>
      <c r="J2168" s="256"/>
      <c r="K2168" s="568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902" t="str">
        <f>IF(AND('341-CT'!$E$9=H2168,OR(LEFT(L2168,3)=$O$7,LEFT(M2168,3)=$O$7)),"x","")</f>
        <v/>
      </c>
      <c r="P2168" s="39" t="str">
        <f>IF(AND($B2168&gt;='111'!$N$11,$B2168&lt;='111'!$O$11,OR($L2168=$P$7,$M2168=$P$7)),"x","")</f>
        <v/>
      </c>
      <c r="Q2168" s="39" t="str">
        <f>IF(AND($L2168=$P$7,$B2168&lt;'111'!$N$11),"x","")</f>
        <v/>
      </c>
      <c r="R2168" s="39" t="str">
        <f>IF(AND($M2168=$P$7,$B2168&lt;'111'!$N$11),"x","")</f>
        <v/>
      </c>
      <c r="S2168" s="39" t="str">
        <f>IF(ISERROR(FIND('112'!$M$9,G2168,1)),"",IF((AND(FIND('112'!$M$9,G2168,1)&gt;=1,$B2168&gt;='112'!$N$8,$B2168&lt;='112'!$O$8,OR($L2168='112'!$I$6,$M2168='112'!$I$6))),"x",""))</f>
        <v/>
      </c>
      <c r="T2168" s="39" t="str">
        <f>IF(ISERROR(FIND('112'!$M$9,G2168,1)),"",IF((AND(LEFT(G2168,2)=LEFT('112'!$M$9,2),B2168&lt;'112'!$N$8,$L2168='112'!$I$6)),"x",""))</f>
        <v/>
      </c>
      <c r="U2168" s="39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39" t="str">
        <f>IF(OR(TH!L2168=TH!$W$7,M2168=TH!$W$7),"x","")</f>
        <v/>
      </c>
      <c r="X2168" s="39" t="str">
        <f>IF(AND(B2168&gt;='IN-NX'!$P$3,B2168&lt;='IN-NX'!$Q$3,'IN-NX'!$D$7=D2168,OR(LEFT(L2168,2)="15",AND(LEFT(M2168,2)&lt;&gt;"15",LEFT(M2168,2)&lt;&gt;"33"))),"x","")</f>
        <v/>
      </c>
      <c r="Y2168" s="39" t="str">
        <f>IF(AND(OR(LEFT(TH!L2168,2)="15",LEFT(TH!M2168,2)="15"),'152-CT'!$J$8=TH!F2168),"x","")</f>
        <v/>
      </c>
      <c r="Z2168" s="39" t="str">
        <f>IF(AND(OR(LEFT(TH!L2168,2)="15",LEFT(TH!M2168,2)="15"),TK!$E$7=TH!F2168),"x","")</f>
        <v/>
      </c>
      <c r="AA2168" s="39" t="str">
        <f>IF(AND(B2168&lt;=NKC!$N$8,B2168&gt;=NKC!$M$8),"x","")</f>
        <v/>
      </c>
      <c r="AB2168" s="821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ref="B2169:B2232" si="106">IF(C2169&lt;&gt;"",MONTH(C2169),"")</f>
        <v/>
      </c>
      <c r="C2169" s="191"/>
      <c r="D2169" s="37"/>
      <c r="E2169" s="731"/>
      <c r="F2169" s="40"/>
      <c r="G2169" s="40"/>
      <c r="H2169" s="7"/>
      <c r="I2169" s="256"/>
      <c r="J2169" s="256"/>
      <c r="K2169" s="568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902" t="str">
        <f>IF(AND('341-CT'!$E$9=H2169,OR(LEFT(L2169,3)=$O$7,LEFT(M2169,3)=$O$7)),"x","")</f>
        <v/>
      </c>
      <c r="P2169" s="39" t="str">
        <f>IF(AND($B2169&gt;='111'!$N$11,$B2169&lt;='111'!$O$11,OR($L2169=$P$7,$M2169=$P$7)),"x","")</f>
        <v/>
      </c>
      <c r="Q2169" s="39" t="str">
        <f>IF(AND($L2169=$P$7,$B2169&lt;'111'!$N$11),"x","")</f>
        <v/>
      </c>
      <c r="R2169" s="39" t="str">
        <f>IF(AND($M2169=$P$7,$B2169&lt;'111'!$N$11),"x","")</f>
        <v/>
      </c>
      <c r="S2169" s="39" t="str">
        <f>IF(ISERROR(FIND('112'!$M$9,G2169,1)),"",IF((AND(FIND('112'!$M$9,G2169,1)&gt;=1,$B2169&gt;='112'!$N$8,$B2169&lt;='112'!$O$8,OR($L2169='112'!$I$6,$M2169='112'!$I$6))),"x",""))</f>
        <v/>
      </c>
      <c r="T2169" s="39" t="str">
        <f>IF(ISERROR(FIND('112'!$M$9,G2169,1)),"",IF((AND(LEFT(G2169,2)=LEFT('112'!$M$9,2),B2169&lt;'112'!$N$8,$L2169='112'!$I$6)),"x",""))</f>
        <v/>
      </c>
      <c r="U2169" s="39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39" t="str">
        <f>IF(OR(TH!L2169=TH!$W$7,M2169=TH!$W$7),"x","")</f>
        <v/>
      </c>
      <c r="X2169" s="39" t="str">
        <f>IF(AND(B2169&gt;='IN-NX'!$P$3,B2169&lt;='IN-NX'!$Q$3,'IN-NX'!$D$7=D2169,OR(LEFT(L2169,2)="15",AND(LEFT(M2169,2)&lt;&gt;"15",LEFT(M2169,2)&lt;&gt;"33"))),"x","")</f>
        <v/>
      </c>
      <c r="Y2169" s="39" t="str">
        <f>IF(AND(OR(LEFT(TH!L2169,2)="15",LEFT(TH!M2169,2)="15"),'152-CT'!$J$8=TH!F2169),"x","")</f>
        <v/>
      </c>
      <c r="Z2169" s="39" t="str">
        <f>IF(AND(OR(LEFT(TH!L2169,2)="15",LEFT(TH!M2169,2)="15"),TK!$E$7=TH!F2169),"x","")</f>
        <v/>
      </c>
      <c r="AA2169" s="39" t="str">
        <f>IF(AND(B2169&lt;=NKC!$N$8,B2169&gt;=NKC!$M$8),"x","")</f>
        <v/>
      </c>
      <c r="AB2169" s="821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106"/>
        <v/>
      </c>
      <c r="C2170" s="191"/>
      <c r="D2170" s="37"/>
      <c r="E2170" s="731"/>
      <c r="F2170" s="40"/>
      <c r="G2170" s="40"/>
      <c r="H2170" s="7"/>
      <c r="I2170" s="256"/>
      <c r="J2170" s="256"/>
      <c r="K2170" s="568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902" t="str">
        <f>IF(AND('341-CT'!$E$9=H2170,OR(LEFT(L2170,3)=$O$7,LEFT(M2170,3)=$O$7)),"x","")</f>
        <v/>
      </c>
      <c r="P2170" s="39" t="str">
        <f>IF(AND($B2170&gt;='111'!$N$11,$B2170&lt;='111'!$O$11,OR($L2170=$P$7,$M2170=$P$7)),"x","")</f>
        <v/>
      </c>
      <c r="Q2170" s="39" t="str">
        <f>IF(AND($L2170=$P$7,$B2170&lt;'111'!$N$11),"x","")</f>
        <v/>
      </c>
      <c r="R2170" s="39" t="str">
        <f>IF(AND($M2170=$P$7,$B2170&lt;'111'!$N$11),"x","")</f>
        <v/>
      </c>
      <c r="S2170" s="39" t="str">
        <f>IF(ISERROR(FIND('112'!$M$9,G2170,1)),"",IF((AND(FIND('112'!$M$9,G2170,1)&gt;=1,$B2170&gt;='112'!$N$8,$B2170&lt;='112'!$O$8,OR($L2170='112'!$I$6,$M2170='112'!$I$6))),"x",""))</f>
        <v/>
      </c>
      <c r="T2170" s="39" t="str">
        <f>IF(ISERROR(FIND('112'!$M$9,G2170,1)),"",IF((AND(LEFT(G2170,2)=LEFT('112'!$M$9,2),B2170&lt;'112'!$N$8,$L2170='112'!$I$6)),"x",""))</f>
        <v/>
      </c>
      <c r="U2170" s="39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39" t="str">
        <f>IF(OR(TH!L2170=TH!$W$7,M2170=TH!$W$7),"x","")</f>
        <v/>
      </c>
      <c r="X2170" s="39" t="str">
        <f>IF(AND(B2170&gt;='IN-NX'!$P$3,B2170&lt;='IN-NX'!$Q$3,'IN-NX'!$D$7=D2170,OR(LEFT(L2170,2)="15",AND(LEFT(M2170,2)&lt;&gt;"15",LEFT(M2170,2)&lt;&gt;"33"))),"x","")</f>
        <v/>
      </c>
      <c r="Y2170" s="39" t="str">
        <f>IF(AND(OR(LEFT(TH!L2170,2)="15",LEFT(TH!M2170,2)="15"),'152-CT'!$J$8=TH!F2170),"x","")</f>
        <v/>
      </c>
      <c r="Z2170" s="39" t="str">
        <f>IF(AND(OR(LEFT(TH!L2170,2)="15",LEFT(TH!M2170,2)="15"),TK!$E$7=TH!F2170),"x","")</f>
        <v/>
      </c>
      <c r="AA2170" s="39" t="str">
        <f>IF(AND(B2170&lt;=NKC!$N$8,B2170&gt;=NKC!$M$8),"x","")</f>
        <v/>
      </c>
      <c r="AB2170" s="821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106"/>
        <v/>
      </c>
      <c r="C2171" s="191"/>
      <c r="D2171" s="37"/>
      <c r="E2171" s="731"/>
      <c r="F2171" s="40"/>
      <c r="G2171" s="40"/>
      <c r="H2171" s="7"/>
      <c r="I2171" s="256"/>
      <c r="J2171" s="256"/>
      <c r="K2171" s="568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902" t="str">
        <f>IF(AND('341-CT'!$E$9=H2171,OR(LEFT(L2171,3)=$O$7,LEFT(M2171,3)=$O$7)),"x","")</f>
        <v/>
      </c>
      <c r="P2171" s="39" t="str">
        <f>IF(AND($B2171&gt;='111'!$N$11,$B2171&lt;='111'!$O$11,OR($L2171=$P$7,$M2171=$P$7)),"x","")</f>
        <v/>
      </c>
      <c r="Q2171" s="39" t="str">
        <f>IF(AND($L2171=$P$7,$B2171&lt;'111'!$N$11),"x","")</f>
        <v/>
      </c>
      <c r="R2171" s="39" t="str">
        <f>IF(AND($M2171=$P$7,$B2171&lt;'111'!$N$11),"x","")</f>
        <v/>
      </c>
      <c r="S2171" s="39" t="str">
        <f>IF(ISERROR(FIND('112'!$M$9,G2171,1)),"",IF((AND(FIND('112'!$M$9,G2171,1)&gt;=1,$B2171&gt;='112'!$N$8,$B2171&lt;='112'!$O$8,OR($L2171='112'!$I$6,$M2171='112'!$I$6))),"x",""))</f>
        <v/>
      </c>
      <c r="T2171" s="39" t="str">
        <f>IF(ISERROR(FIND('112'!$M$9,G2171,1)),"",IF((AND(LEFT(G2171,2)=LEFT('112'!$M$9,2),B2171&lt;'112'!$N$8,$L2171='112'!$I$6)),"x",""))</f>
        <v/>
      </c>
      <c r="U2171" s="39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39" t="str">
        <f>IF(OR(TH!L2171=TH!$W$7,M2171=TH!$W$7),"x","")</f>
        <v/>
      </c>
      <c r="X2171" s="39" t="str">
        <f>IF(AND(B2171&gt;='IN-NX'!$P$3,B2171&lt;='IN-NX'!$Q$3,'IN-NX'!$D$7=D2171,OR(LEFT(L2171,2)="15",AND(LEFT(M2171,2)&lt;&gt;"15",LEFT(M2171,2)&lt;&gt;"33"))),"x","")</f>
        <v/>
      </c>
      <c r="Y2171" s="39" t="str">
        <f>IF(AND(OR(LEFT(TH!L2171,2)="15",LEFT(TH!M2171,2)="15"),'152-CT'!$J$8=TH!F2171),"x","")</f>
        <v/>
      </c>
      <c r="Z2171" s="39" t="str">
        <f>IF(AND(OR(LEFT(TH!L2171,2)="15",LEFT(TH!M2171,2)="15"),TK!$E$7=TH!F2171),"x","")</f>
        <v/>
      </c>
      <c r="AA2171" s="39" t="str">
        <f>IF(AND(B2171&lt;=NKC!$N$8,B2171&gt;=NKC!$M$8),"x","")</f>
        <v/>
      </c>
      <c r="AB2171" s="821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106"/>
        <v/>
      </c>
      <c r="C2172" s="191"/>
      <c r="D2172" s="37"/>
      <c r="E2172" s="731"/>
      <c r="F2172" s="40"/>
      <c r="G2172" s="40"/>
      <c r="H2172" s="7"/>
      <c r="I2172" s="256"/>
      <c r="J2172" s="256"/>
      <c r="K2172" s="568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902" t="str">
        <f>IF(AND('341-CT'!$E$9=H2172,OR(LEFT(L2172,3)=$O$7,LEFT(M2172,3)=$O$7)),"x","")</f>
        <v/>
      </c>
      <c r="P2172" s="39" t="str">
        <f>IF(AND($B2172&gt;='111'!$N$11,$B2172&lt;='111'!$O$11,OR($L2172=$P$7,$M2172=$P$7)),"x","")</f>
        <v/>
      </c>
      <c r="Q2172" s="39" t="str">
        <f>IF(AND($L2172=$P$7,$B2172&lt;'111'!$N$11),"x","")</f>
        <v/>
      </c>
      <c r="R2172" s="39" t="str">
        <f>IF(AND($M2172=$P$7,$B2172&lt;'111'!$N$11),"x","")</f>
        <v/>
      </c>
      <c r="S2172" s="39" t="str">
        <f>IF(ISERROR(FIND('112'!$M$9,G2172,1)),"",IF((AND(FIND('112'!$M$9,G2172,1)&gt;=1,$B2172&gt;='112'!$N$8,$B2172&lt;='112'!$O$8,OR($L2172='112'!$I$6,$M2172='112'!$I$6))),"x",""))</f>
        <v/>
      </c>
      <c r="T2172" s="39" t="str">
        <f>IF(ISERROR(FIND('112'!$M$9,G2172,1)),"",IF((AND(LEFT(G2172,2)=LEFT('112'!$M$9,2),B2172&lt;'112'!$N$8,$L2172='112'!$I$6)),"x",""))</f>
        <v/>
      </c>
      <c r="U2172" s="39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39" t="str">
        <f>IF(OR(TH!L2172=TH!$W$7,M2172=TH!$W$7),"x","")</f>
        <v/>
      </c>
      <c r="X2172" s="39" t="str">
        <f>IF(AND(B2172&gt;='IN-NX'!$P$3,B2172&lt;='IN-NX'!$Q$3,'IN-NX'!$D$7=D2172,OR(LEFT(L2172,2)="15",AND(LEFT(M2172,2)&lt;&gt;"15",LEFT(M2172,2)&lt;&gt;"33"))),"x","")</f>
        <v/>
      </c>
      <c r="Y2172" s="39" t="str">
        <f>IF(AND(OR(LEFT(TH!L2172,2)="15",LEFT(TH!M2172,2)="15"),'152-CT'!$J$8=TH!F2172),"x","")</f>
        <v/>
      </c>
      <c r="Z2172" s="39" t="str">
        <f>IF(AND(OR(LEFT(TH!L2172,2)="15",LEFT(TH!M2172,2)="15"),TK!$E$7=TH!F2172),"x","")</f>
        <v/>
      </c>
      <c r="AA2172" s="39" t="str">
        <f>IF(AND(B2172&lt;=NKC!$N$8,B2172&gt;=NKC!$M$8),"x","")</f>
        <v/>
      </c>
      <c r="AB2172" s="821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106"/>
        <v/>
      </c>
      <c r="C2173" s="191"/>
      <c r="D2173" s="37"/>
      <c r="E2173" s="731"/>
      <c r="F2173" s="40"/>
      <c r="G2173" s="40"/>
      <c r="H2173" s="7"/>
      <c r="I2173" s="256"/>
      <c r="J2173" s="256"/>
      <c r="K2173" s="568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902" t="str">
        <f>IF(AND('341-CT'!$E$9=H2173,OR(LEFT(L2173,3)=$O$7,LEFT(M2173,3)=$O$7)),"x","")</f>
        <v/>
      </c>
      <c r="P2173" s="39" t="str">
        <f>IF(AND($B2173&gt;='111'!$N$11,$B2173&lt;='111'!$O$11,OR($L2173=$P$7,$M2173=$P$7)),"x","")</f>
        <v/>
      </c>
      <c r="Q2173" s="39" t="str">
        <f>IF(AND($L2173=$P$7,$B2173&lt;'111'!$N$11),"x","")</f>
        <v/>
      </c>
      <c r="R2173" s="39" t="str">
        <f>IF(AND($M2173=$P$7,$B2173&lt;'111'!$N$11),"x","")</f>
        <v/>
      </c>
      <c r="S2173" s="39" t="str">
        <f>IF(ISERROR(FIND('112'!$M$9,G2173,1)),"",IF((AND(FIND('112'!$M$9,G2173,1)&gt;=1,$B2173&gt;='112'!$N$8,$B2173&lt;='112'!$O$8,OR($L2173='112'!$I$6,$M2173='112'!$I$6))),"x",""))</f>
        <v/>
      </c>
      <c r="T2173" s="39" t="str">
        <f>IF(ISERROR(FIND('112'!$M$9,G2173,1)),"",IF((AND(LEFT(G2173,2)=LEFT('112'!$M$9,2),B2173&lt;'112'!$N$8,$L2173='112'!$I$6)),"x",""))</f>
        <v/>
      </c>
      <c r="U2173" s="39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39" t="str">
        <f>IF(OR(TH!L2173=TH!$W$7,M2173=TH!$W$7),"x","")</f>
        <v/>
      </c>
      <c r="X2173" s="39" t="str">
        <f>IF(AND(B2173&gt;='IN-NX'!$P$3,B2173&lt;='IN-NX'!$Q$3,'IN-NX'!$D$7=D2173,OR(LEFT(L2173,2)="15",AND(LEFT(M2173,2)&lt;&gt;"15",LEFT(M2173,2)&lt;&gt;"33"))),"x","")</f>
        <v/>
      </c>
      <c r="Y2173" s="39" t="str">
        <f>IF(AND(OR(LEFT(TH!L2173,2)="15",LEFT(TH!M2173,2)="15"),'152-CT'!$J$8=TH!F2173),"x","")</f>
        <v/>
      </c>
      <c r="Z2173" s="39" t="str">
        <f>IF(AND(OR(LEFT(TH!L2173,2)="15",LEFT(TH!M2173,2)="15"),TK!$E$7=TH!F2173),"x","")</f>
        <v/>
      </c>
      <c r="AA2173" s="39" t="str">
        <f>IF(AND(B2173&lt;=NKC!$N$8,B2173&gt;=NKC!$M$8),"x","")</f>
        <v/>
      </c>
      <c r="AB2173" s="821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106"/>
        <v/>
      </c>
      <c r="C2174" s="191"/>
      <c r="D2174" s="37"/>
      <c r="E2174" s="731"/>
      <c r="F2174" s="40"/>
      <c r="G2174" s="40"/>
      <c r="H2174" s="7"/>
      <c r="I2174" s="256"/>
      <c r="J2174" s="256"/>
      <c r="K2174" s="568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902" t="str">
        <f>IF(AND('341-CT'!$E$9=H2174,OR(LEFT(L2174,3)=$O$7,LEFT(M2174,3)=$O$7)),"x","")</f>
        <v/>
      </c>
      <c r="P2174" s="39" t="str">
        <f>IF(AND($B2174&gt;='111'!$N$11,$B2174&lt;='111'!$O$11,OR($L2174=$P$7,$M2174=$P$7)),"x","")</f>
        <v/>
      </c>
      <c r="Q2174" s="39" t="str">
        <f>IF(AND($L2174=$P$7,$B2174&lt;'111'!$N$11),"x","")</f>
        <v/>
      </c>
      <c r="R2174" s="39" t="str">
        <f>IF(AND($M2174=$P$7,$B2174&lt;'111'!$N$11),"x","")</f>
        <v/>
      </c>
      <c r="S2174" s="39" t="str">
        <f>IF(ISERROR(FIND('112'!$M$9,G2174,1)),"",IF((AND(FIND('112'!$M$9,G2174,1)&gt;=1,$B2174&gt;='112'!$N$8,$B2174&lt;='112'!$O$8,OR($L2174='112'!$I$6,$M2174='112'!$I$6))),"x",""))</f>
        <v/>
      </c>
      <c r="T2174" s="39" t="str">
        <f>IF(ISERROR(FIND('112'!$M$9,G2174,1)),"",IF((AND(LEFT(G2174,2)=LEFT('112'!$M$9,2),B2174&lt;'112'!$N$8,$L2174='112'!$I$6)),"x",""))</f>
        <v/>
      </c>
      <c r="U2174" s="39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39" t="str">
        <f>IF(OR(TH!L2174=TH!$W$7,M2174=TH!$W$7),"x","")</f>
        <v/>
      </c>
      <c r="X2174" s="39" t="str">
        <f>IF(AND(B2174&gt;='IN-NX'!$P$3,B2174&lt;='IN-NX'!$Q$3,'IN-NX'!$D$7=D2174,OR(LEFT(L2174,2)="15",AND(LEFT(M2174,2)&lt;&gt;"15",LEFT(M2174,2)&lt;&gt;"33"))),"x","")</f>
        <v/>
      </c>
      <c r="Y2174" s="39" t="str">
        <f>IF(AND(OR(LEFT(TH!L2174,2)="15",LEFT(TH!M2174,2)="15"),'152-CT'!$J$8=TH!F2174),"x","")</f>
        <v/>
      </c>
      <c r="Z2174" s="39" t="str">
        <f>IF(AND(OR(LEFT(TH!L2174,2)="15",LEFT(TH!M2174,2)="15"),TK!$E$7=TH!F2174),"x","")</f>
        <v/>
      </c>
      <c r="AA2174" s="39" t="str">
        <f>IF(AND(B2174&lt;=NKC!$N$8,B2174&gt;=NKC!$M$8),"x","")</f>
        <v/>
      </c>
      <c r="AB2174" s="821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106"/>
        <v/>
      </c>
      <c r="C2175" s="191"/>
      <c r="D2175" s="37"/>
      <c r="E2175" s="731"/>
      <c r="F2175" s="40"/>
      <c r="G2175" s="40"/>
      <c r="H2175" s="7"/>
      <c r="I2175" s="256"/>
      <c r="J2175" s="256"/>
      <c r="K2175" s="568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902" t="str">
        <f>IF(AND('341-CT'!$E$9=H2175,OR(LEFT(L2175,3)=$O$7,LEFT(M2175,3)=$O$7)),"x","")</f>
        <v/>
      </c>
      <c r="P2175" s="39" t="str">
        <f>IF(AND($B2175&gt;='111'!$N$11,$B2175&lt;='111'!$O$11,OR($L2175=$P$7,$M2175=$P$7)),"x","")</f>
        <v/>
      </c>
      <c r="Q2175" s="39" t="str">
        <f>IF(AND($L2175=$P$7,$B2175&lt;'111'!$N$11),"x","")</f>
        <v/>
      </c>
      <c r="R2175" s="39" t="str">
        <f>IF(AND($M2175=$P$7,$B2175&lt;'111'!$N$11),"x","")</f>
        <v/>
      </c>
      <c r="S2175" s="39" t="str">
        <f>IF(ISERROR(FIND('112'!$M$9,G2175,1)),"",IF((AND(FIND('112'!$M$9,G2175,1)&gt;=1,$B2175&gt;='112'!$N$8,$B2175&lt;='112'!$O$8,OR($L2175='112'!$I$6,$M2175='112'!$I$6))),"x",""))</f>
        <v/>
      </c>
      <c r="T2175" s="39" t="str">
        <f>IF(ISERROR(FIND('112'!$M$9,G2175,1)),"",IF((AND(LEFT(G2175,2)=LEFT('112'!$M$9,2),B2175&lt;'112'!$N$8,$L2175='112'!$I$6)),"x",""))</f>
        <v/>
      </c>
      <c r="U2175" s="39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39" t="str">
        <f>IF(OR(TH!L2175=TH!$W$7,M2175=TH!$W$7),"x","")</f>
        <v/>
      </c>
      <c r="X2175" s="39" t="str">
        <f>IF(AND(B2175&gt;='IN-NX'!$P$3,B2175&lt;='IN-NX'!$Q$3,'IN-NX'!$D$7=D2175,OR(LEFT(L2175,2)="15",AND(LEFT(M2175,2)&lt;&gt;"15",LEFT(M2175,2)&lt;&gt;"33"))),"x","")</f>
        <v/>
      </c>
      <c r="Y2175" s="39" t="str">
        <f>IF(AND(OR(LEFT(TH!L2175,2)="15",LEFT(TH!M2175,2)="15"),'152-CT'!$J$8=TH!F2175),"x","")</f>
        <v/>
      </c>
      <c r="Z2175" s="39" t="str">
        <f>IF(AND(OR(LEFT(TH!L2175,2)="15",LEFT(TH!M2175,2)="15"),TK!$E$7=TH!F2175),"x","")</f>
        <v/>
      </c>
      <c r="AA2175" s="39" t="str">
        <f>IF(AND(B2175&lt;=NKC!$N$8,B2175&gt;=NKC!$M$8),"x","")</f>
        <v/>
      </c>
      <c r="AB2175" s="821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106"/>
        <v/>
      </c>
      <c r="C2176" s="191"/>
      <c r="D2176" s="37"/>
      <c r="E2176" s="731"/>
      <c r="F2176" s="40"/>
      <c r="G2176" s="40"/>
      <c r="H2176" s="7"/>
      <c r="I2176" s="256"/>
      <c r="J2176" s="256"/>
      <c r="K2176" s="568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902" t="str">
        <f>IF(AND('341-CT'!$E$9=H2176,OR(LEFT(L2176,3)=$O$7,LEFT(M2176,3)=$O$7)),"x","")</f>
        <v/>
      </c>
      <c r="P2176" s="39" t="str">
        <f>IF(AND($B2176&gt;='111'!$N$11,$B2176&lt;='111'!$O$11,OR($L2176=$P$7,$M2176=$P$7)),"x","")</f>
        <v/>
      </c>
      <c r="Q2176" s="39" t="str">
        <f>IF(AND($L2176=$P$7,$B2176&lt;'111'!$N$11),"x","")</f>
        <v/>
      </c>
      <c r="R2176" s="39" t="str">
        <f>IF(AND($M2176=$P$7,$B2176&lt;'111'!$N$11),"x","")</f>
        <v/>
      </c>
      <c r="S2176" s="39" t="str">
        <f>IF(ISERROR(FIND('112'!$M$9,G2176,1)),"",IF((AND(FIND('112'!$M$9,G2176,1)&gt;=1,$B2176&gt;='112'!$N$8,$B2176&lt;='112'!$O$8,OR($L2176='112'!$I$6,$M2176='112'!$I$6))),"x",""))</f>
        <v/>
      </c>
      <c r="T2176" s="39" t="str">
        <f>IF(ISERROR(FIND('112'!$M$9,G2176,1)),"",IF((AND(LEFT(G2176,2)=LEFT('112'!$M$9,2),B2176&lt;'112'!$N$8,$L2176='112'!$I$6)),"x",""))</f>
        <v/>
      </c>
      <c r="U2176" s="39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39" t="str">
        <f>IF(OR(TH!L2176=TH!$W$7,M2176=TH!$W$7),"x","")</f>
        <v/>
      </c>
      <c r="X2176" s="39" t="str">
        <f>IF(AND(B2176&gt;='IN-NX'!$P$3,B2176&lt;='IN-NX'!$Q$3,'IN-NX'!$D$7=D2176,OR(LEFT(L2176,2)="15",AND(LEFT(M2176,2)&lt;&gt;"15",LEFT(M2176,2)&lt;&gt;"33"))),"x","")</f>
        <v/>
      </c>
      <c r="Y2176" s="39" t="str">
        <f>IF(AND(OR(LEFT(TH!L2176,2)="15",LEFT(TH!M2176,2)="15"),'152-CT'!$J$8=TH!F2176),"x","")</f>
        <v/>
      </c>
      <c r="Z2176" s="39" t="str">
        <f>IF(AND(OR(LEFT(TH!L2176,2)="15",LEFT(TH!M2176,2)="15"),TK!$E$7=TH!F2176),"x","")</f>
        <v/>
      </c>
      <c r="AA2176" s="39" t="str">
        <f>IF(AND(B2176&lt;=NKC!$N$8,B2176&gt;=NKC!$M$8),"x","")</f>
        <v/>
      </c>
      <c r="AB2176" s="821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106"/>
        <v/>
      </c>
      <c r="C2177" s="191"/>
      <c r="D2177" s="37"/>
      <c r="E2177" s="731"/>
      <c r="F2177" s="40"/>
      <c r="G2177" s="40"/>
      <c r="H2177" s="7"/>
      <c r="I2177" s="256"/>
      <c r="J2177" s="256"/>
      <c r="K2177" s="568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902" t="str">
        <f>IF(AND('341-CT'!$E$9=H2177,OR(LEFT(L2177,3)=$O$7,LEFT(M2177,3)=$O$7)),"x","")</f>
        <v/>
      </c>
      <c r="P2177" s="39" t="str">
        <f>IF(AND($B2177&gt;='111'!$N$11,$B2177&lt;='111'!$O$11,OR($L2177=$P$7,$M2177=$P$7)),"x","")</f>
        <v/>
      </c>
      <c r="Q2177" s="39" t="str">
        <f>IF(AND($L2177=$P$7,$B2177&lt;'111'!$N$11),"x","")</f>
        <v/>
      </c>
      <c r="R2177" s="39" t="str">
        <f>IF(AND($M2177=$P$7,$B2177&lt;'111'!$N$11),"x","")</f>
        <v/>
      </c>
      <c r="S2177" s="39" t="str">
        <f>IF(ISERROR(FIND('112'!$M$9,G2177,1)),"",IF((AND(FIND('112'!$M$9,G2177,1)&gt;=1,$B2177&gt;='112'!$N$8,$B2177&lt;='112'!$O$8,OR($L2177='112'!$I$6,$M2177='112'!$I$6))),"x",""))</f>
        <v/>
      </c>
      <c r="T2177" s="39" t="str">
        <f>IF(ISERROR(FIND('112'!$M$9,G2177,1)),"",IF((AND(LEFT(G2177,2)=LEFT('112'!$M$9,2),B2177&lt;'112'!$N$8,$L2177='112'!$I$6)),"x",""))</f>
        <v/>
      </c>
      <c r="U2177" s="39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39" t="str">
        <f>IF(OR(TH!L2177=TH!$W$7,M2177=TH!$W$7),"x","")</f>
        <v/>
      </c>
      <c r="X2177" s="39" t="str">
        <f>IF(AND(B2177&gt;='IN-NX'!$P$3,B2177&lt;='IN-NX'!$Q$3,'IN-NX'!$D$7=D2177,OR(LEFT(L2177,2)="15",AND(LEFT(M2177,2)&lt;&gt;"15",LEFT(M2177,2)&lt;&gt;"33"))),"x","")</f>
        <v/>
      </c>
      <c r="Y2177" s="39" t="str">
        <f>IF(AND(OR(LEFT(TH!L2177,2)="15",LEFT(TH!M2177,2)="15"),'152-CT'!$J$8=TH!F2177),"x","")</f>
        <v/>
      </c>
      <c r="Z2177" s="39" t="str">
        <f>IF(AND(OR(LEFT(TH!L2177,2)="15",LEFT(TH!M2177,2)="15"),TK!$E$7=TH!F2177),"x","")</f>
        <v/>
      </c>
      <c r="AA2177" s="39" t="str">
        <f>IF(AND(B2177&lt;=NKC!$N$8,B2177&gt;=NKC!$M$8),"x","")</f>
        <v/>
      </c>
      <c r="AB2177" s="821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106"/>
        <v/>
      </c>
      <c r="C2178" s="191"/>
      <c r="D2178" s="37"/>
      <c r="E2178" s="731"/>
      <c r="F2178" s="192"/>
      <c r="G2178" s="468"/>
      <c r="H2178" s="193"/>
      <c r="I2178" s="256"/>
      <c r="J2178" s="256"/>
      <c r="K2178" s="568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902" t="str">
        <f>IF(AND('341-CT'!$E$9=H2178,OR(LEFT(L2178,3)=$O$7,LEFT(M2178,3)=$O$7)),"x","")</f>
        <v/>
      </c>
      <c r="P2178" s="39" t="str">
        <f>IF(AND($B2178&gt;='111'!$N$11,$B2178&lt;='111'!$O$11,OR($L2178=$P$7,$M2178=$P$7)),"x","")</f>
        <v/>
      </c>
      <c r="Q2178" s="39" t="str">
        <f>IF(AND($L2178=$P$7,$B2178&lt;'111'!$N$11),"x","")</f>
        <v/>
      </c>
      <c r="R2178" s="39" t="str">
        <f>IF(AND($M2178=$P$7,$B2178&lt;'111'!$N$11),"x","")</f>
        <v/>
      </c>
      <c r="S2178" s="39" t="str">
        <f>IF(ISERROR(FIND('112'!$M$9,G2178,1)),"",IF((AND(FIND('112'!$M$9,G2178,1)&gt;=1,$B2178&gt;='112'!$N$8,$B2178&lt;='112'!$O$8,OR($L2178='112'!$I$6,$M2178='112'!$I$6))),"x",""))</f>
        <v/>
      </c>
      <c r="T2178" s="39" t="str">
        <f>IF(ISERROR(FIND('112'!$M$9,G2178,1)),"",IF((AND(LEFT(G2178,2)=LEFT('112'!$M$9,2),B2178&lt;'112'!$N$8,$L2178='112'!$I$6)),"x",""))</f>
        <v/>
      </c>
      <c r="U2178" s="39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39" t="str">
        <f>IF(OR(TH!L2178=TH!$W$7,M2178=TH!$W$7),"x","")</f>
        <v/>
      </c>
      <c r="X2178" s="39" t="str">
        <f>IF(AND(B2178&gt;='IN-NX'!$P$3,B2178&lt;='IN-NX'!$Q$3,'IN-NX'!$D$7=D2178,OR(LEFT(L2178,2)="15",AND(LEFT(M2178,2)&lt;&gt;"15",LEFT(M2178,2)&lt;&gt;"33"))),"x","")</f>
        <v/>
      </c>
      <c r="Y2178" s="39" t="str">
        <f>IF(AND(OR(LEFT(TH!L2178,2)="15",LEFT(TH!M2178,2)="15"),'152-CT'!$J$8=TH!F2178),"x","")</f>
        <v/>
      </c>
      <c r="Z2178" s="39" t="str">
        <f>IF(AND(OR(LEFT(TH!L2178,2)="15",LEFT(TH!M2178,2)="15"),TK!$E$7=TH!F2178),"x","")</f>
        <v/>
      </c>
      <c r="AA2178" s="39" t="str">
        <f>IF(AND(B2178&lt;=NKC!$N$8,B2178&gt;=NKC!$M$8),"x","")</f>
        <v/>
      </c>
      <c r="AB2178" s="821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106"/>
        <v/>
      </c>
      <c r="C2179" s="191"/>
      <c r="D2179" s="37"/>
      <c r="E2179" s="731"/>
      <c r="F2179" s="192"/>
      <c r="G2179" s="468"/>
      <c r="H2179" s="193"/>
      <c r="I2179" s="256"/>
      <c r="J2179" s="256"/>
      <c r="K2179" s="568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902" t="str">
        <f>IF(AND('341-CT'!$E$9=H2179,OR(LEFT(L2179,3)=$O$7,LEFT(M2179,3)=$O$7)),"x","")</f>
        <v/>
      </c>
      <c r="P2179" s="39" t="str">
        <f>IF(AND($B2179&gt;='111'!$N$11,$B2179&lt;='111'!$O$11,OR($L2179=$P$7,$M2179=$P$7)),"x","")</f>
        <v/>
      </c>
      <c r="Q2179" s="39" t="str">
        <f>IF(AND($L2179=$P$7,$B2179&lt;'111'!$N$11),"x","")</f>
        <v/>
      </c>
      <c r="R2179" s="39" t="str">
        <f>IF(AND($M2179=$P$7,$B2179&lt;'111'!$N$11),"x","")</f>
        <v/>
      </c>
      <c r="S2179" s="39" t="str">
        <f>IF(ISERROR(FIND('112'!$M$9,G2179,1)),"",IF((AND(FIND('112'!$M$9,G2179,1)&gt;=1,$B2179&gt;='112'!$N$8,$B2179&lt;='112'!$O$8,OR($L2179='112'!$I$6,$M2179='112'!$I$6))),"x",""))</f>
        <v/>
      </c>
      <c r="T2179" s="39" t="str">
        <f>IF(ISERROR(FIND('112'!$M$9,G2179,1)),"",IF((AND(LEFT(G2179,2)=LEFT('112'!$M$9,2),B2179&lt;'112'!$N$8,$L2179='112'!$I$6)),"x",""))</f>
        <v/>
      </c>
      <c r="U2179" s="39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39" t="str">
        <f>IF(OR(TH!L2179=TH!$W$7,M2179=TH!$W$7),"x","")</f>
        <v/>
      </c>
      <c r="X2179" s="39" t="str">
        <f>IF(AND(B2179&gt;='IN-NX'!$P$3,B2179&lt;='IN-NX'!$Q$3,'IN-NX'!$D$7=D2179,OR(LEFT(L2179,2)="15",AND(LEFT(M2179,2)&lt;&gt;"15",LEFT(M2179,2)&lt;&gt;"33"))),"x","")</f>
        <v/>
      </c>
      <c r="Y2179" s="39" t="str">
        <f>IF(AND(OR(LEFT(TH!L2179,2)="15",LEFT(TH!M2179,2)="15"),'152-CT'!$J$8=TH!F2179),"x","")</f>
        <v/>
      </c>
      <c r="Z2179" s="39" t="str">
        <f>IF(AND(OR(LEFT(TH!L2179,2)="15",LEFT(TH!M2179,2)="15"),TK!$E$7=TH!F2179),"x","")</f>
        <v/>
      </c>
      <c r="AA2179" s="39" t="str">
        <f>IF(AND(B2179&lt;=NKC!$N$8,B2179&gt;=NKC!$M$8),"x","")</f>
        <v/>
      </c>
      <c r="AB2179" s="821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106"/>
        <v/>
      </c>
      <c r="C2180" s="191"/>
      <c r="D2180" s="37"/>
      <c r="E2180" s="731"/>
      <c r="F2180" s="192"/>
      <c r="G2180" s="468"/>
      <c r="H2180" s="193"/>
      <c r="I2180" s="256"/>
      <c r="J2180" s="256"/>
      <c r="K2180" s="56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902" t="str">
        <f>IF(AND('341-CT'!$E$9=H2180,OR(LEFT(L2180,3)=$O$7,LEFT(M2180,3)=$O$7)),"x","")</f>
        <v/>
      </c>
      <c r="P2180" s="39" t="str">
        <f>IF(AND($B2180&gt;='111'!$N$11,$B2180&lt;='111'!$O$11,OR($L2180=$P$7,$M2180=$P$7)),"x","")</f>
        <v/>
      </c>
      <c r="Q2180" s="39" t="str">
        <f>IF(AND($L2180=$P$7,$B2180&lt;'111'!$N$11),"x","")</f>
        <v/>
      </c>
      <c r="R2180" s="39" t="str">
        <f>IF(AND($M2180=$P$7,$B2180&lt;'111'!$N$11),"x","")</f>
        <v/>
      </c>
      <c r="S2180" s="39" t="str">
        <f>IF(ISERROR(FIND('112'!$M$9,G2180,1)),"",IF((AND(FIND('112'!$M$9,G2180,1)&gt;=1,$B2180&gt;='112'!$N$8,$B2180&lt;='112'!$O$8,OR($L2180='112'!$I$6,$M2180='112'!$I$6))),"x",""))</f>
        <v/>
      </c>
      <c r="T2180" s="39" t="str">
        <f>IF(ISERROR(FIND('112'!$M$9,G2180,1)),"",IF((AND(LEFT(G2180,2)=LEFT('112'!$M$9,2),B2180&lt;'112'!$N$8,$L2180='112'!$I$6)),"x",""))</f>
        <v/>
      </c>
      <c r="U2180" s="39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39" t="str">
        <f>IF(OR(TH!L2180=TH!$W$7,M2180=TH!$W$7),"x","")</f>
        <v/>
      </c>
      <c r="X2180" s="39" t="str">
        <f>IF(AND(B2180&gt;='IN-NX'!$P$3,B2180&lt;='IN-NX'!$Q$3,'IN-NX'!$D$7=D2180,OR(LEFT(L2180,2)="15",AND(LEFT(M2180,2)&lt;&gt;"15",LEFT(M2180,2)&lt;&gt;"33"))),"x","")</f>
        <v/>
      </c>
      <c r="Y2180" s="39" t="str">
        <f>IF(AND(OR(LEFT(TH!L2180,2)="15",LEFT(TH!M2180,2)="15"),'152-CT'!$J$8=TH!F2180),"x","")</f>
        <v/>
      </c>
      <c r="Z2180" s="39" t="str">
        <f>IF(AND(OR(LEFT(TH!L2180,2)="15",LEFT(TH!M2180,2)="15"),TK!$E$7=TH!F2180),"x","")</f>
        <v/>
      </c>
      <c r="AA2180" s="39" t="str">
        <f>IF(AND(B2180&lt;=NKC!$N$8,B2180&gt;=NKC!$M$8),"x","")</f>
        <v/>
      </c>
      <c r="AB2180" s="821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106"/>
        <v/>
      </c>
      <c r="C2181" s="191"/>
      <c r="D2181" s="37"/>
      <c r="E2181" s="731"/>
      <c r="F2181" s="192"/>
      <c r="G2181" s="468"/>
      <c r="H2181" s="193"/>
      <c r="I2181" s="256"/>
      <c r="J2181" s="256"/>
      <c r="K2181" s="56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902" t="str">
        <f>IF(AND('341-CT'!$E$9=H2181,OR(LEFT(L2181,3)=$O$7,LEFT(M2181,3)=$O$7)),"x","")</f>
        <v/>
      </c>
      <c r="P2181" s="39" t="str">
        <f>IF(AND($B2181&gt;='111'!$N$11,$B2181&lt;='111'!$O$11,OR($L2181=$P$7,$M2181=$P$7)),"x","")</f>
        <v/>
      </c>
      <c r="Q2181" s="39" t="str">
        <f>IF(AND($L2181=$P$7,$B2181&lt;'111'!$N$11),"x","")</f>
        <v/>
      </c>
      <c r="R2181" s="39" t="str">
        <f>IF(AND($M2181=$P$7,$B2181&lt;'111'!$N$11),"x","")</f>
        <v/>
      </c>
      <c r="S2181" s="39" t="str">
        <f>IF(ISERROR(FIND('112'!$M$9,G2181,1)),"",IF((AND(FIND('112'!$M$9,G2181,1)&gt;=1,$B2181&gt;='112'!$N$8,$B2181&lt;='112'!$O$8,OR($L2181='112'!$I$6,$M2181='112'!$I$6))),"x",""))</f>
        <v/>
      </c>
      <c r="T2181" s="39" t="str">
        <f>IF(ISERROR(FIND('112'!$M$9,G2181,1)),"",IF((AND(LEFT(G2181,2)=LEFT('112'!$M$9,2),B2181&lt;'112'!$N$8,$L2181='112'!$I$6)),"x",""))</f>
        <v/>
      </c>
      <c r="U2181" s="39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39" t="str">
        <f>IF(OR(TH!L2181=TH!$W$7,M2181=TH!$W$7),"x","")</f>
        <v/>
      </c>
      <c r="X2181" s="39" t="str">
        <f>IF(AND(B2181&gt;='IN-NX'!$P$3,B2181&lt;='IN-NX'!$Q$3,'IN-NX'!$D$7=D2181,OR(LEFT(L2181,2)="15",AND(LEFT(M2181,2)&lt;&gt;"15",LEFT(M2181,2)&lt;&gt;"33"))),"x","")</f>
        <v/>
      </c>
      <c r="Y2181" s="39" t="str">
        <f>IF(AND(OR(LEFT(TH!L2181,2)="15",LEFT(TH!M2181,2)="15"),'152-CT'!$J$8=TH!F2181),"x","")</f>
        <v/>
      </c>
      <c r="Z2181" s="39" t="str">
        <f>IF(AND(OR(LEFT(TH!L2181,2)="15",LEFT(TH!M2181,2)="15"),TK!$E$7=TH!F2181),"x","")</f>
        <v/>
      </c>
      <c r="AA2181" s="39" t="str">
        <f>IF(AND(B2181&lt;=NKC!$N$8,B2181&gt;=NKC!$M$8),"x","")</f>
        <v/>
      </c>
      <c r="AB2181" s="821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106"/>
        <v/>
      </c>
      <c r="C2182" s="191"/>
      <c r="D2182" s="37"/>
      <c r="E2182" s="731"/>
      <c r="F2182" s="192"/>
      <c r="G2182" s="468"/>
      <c r="H2182" s="193"/>
      <c r="I2182" s="256"/>
      <c r="J2182" s="256"/>
      <c r="K2182" s="56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902" t="str">
        <f>IF(AND('341-CT'!$E$9=H2182,OR(LEFT(L2182,3)=$O$7,LEFT(M2182,3)=$O$7)),"x","")</f>
        <v/>
      </c>
      <c r="P2182" s="39" t="str">
        <f>IF(AND($B2182&gt;='111'!$N$11,$B2182&lt;='111'!$O$11,OR($L2182=$P$7,$M2182=$P$7)),"x","")</f>
        <v/>
      </c>
      <c r="Q2182" s="39" t="str">
        <f>IF(AND($L2182=$P$7,$B2182&lt;'111'!$N$11),"x","")</f>
        <v/>
      </c>
      <c r="R2182" s="39" t="str">
        <f>IF(AND($M2182=$P$7,$B2182&lt;'111'!$N$11),"x","")</f>
        <v/>
      </c>
      <c r="S2182" s="39" t="str">
        <f>IF(ISERROR(FIND('112'!$M$9,G2182,1)),"",IF((AND(FIND('112'!$M$9,G2182,1)&gt;=1,$B2182&gt;='112'!$N$8,$B2182&lt;='112'!$O$8,OR($L2182='112'!$I$6,$M2182='112'!$I$6))),"x",""))</f>
        <v/>
      </c>
      <c r="T2182" s="39" t="str">
        <f>IF(ISERROR(FIND('112'!$M$9,G2182,1)),"",IF((AND(LEFT(G2182,2)=LEFT('112'!$M$9,2),B2182&lt;'112'!$N$8,$L2182='112'!$I$6)),"x",""))</f>
        <v/>
      </c>
      <c r="U2182" s="39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39" t="str">
        <f>IF(OR(TH!L2182=TH!$W$7,M2182=TH!$W$7),"x","")</f>
        <v/>
      </c>
      <c r="X2182" s="39" t="str">
        <f>IF(AND(B2182&gt;='IN-NX'!$P$3,B2182&lt;='IN-NX'!$Q$3,'IN-NX'!$D$7=D2182,OR(LEFT(L2182,2)="15",AND(LEFT(M2182,2)&lt;&gt;"15",LEFT(M2182,2)&lt;&gt;"33"))),"x","")</f>
        <v/>
      </c>
      <c r="Y2182" s="39" t="str">
        <f>IF(AND(OR(LEFT(TH!L2182,2)="15",LEFT(TH!M2182,2)="15"),'152-CT'!$J$8=TH!F2182),"x","")</f>
        <v/>
      </c>
      <c r="Z2182" s="39" t="str">
        <f>IF(AND(OR(LEFT(TH!L2182,2)="15",LEFT(TH!M2182,2)="15"),TK!$E$7=TH!F2182),"x","")</f>
        <v/>
      </c>
      <c r="AA2182" s="39" t="str">
        <f>IF(AND(B2182&lt;=NKC!$N$8,B2182&gt;=NKC!$M$8),"x","")</f>
        <v/>
      </c>
      <c r="AB2182" s="821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 t="str">
        <f t="shared" si="106"/>
        <v/>
      </c>
      <c r="C2183" s="191"/>
      <c r="D2183" s="37"/>
      <c r="E2183" s="731"/>
      <c r="F2183" s="192"/>
      <c r="G2183" s="468"/>
      <c r="H2183" s="193"/>
      <c r="I2183" s="256"/>
      <c r="J2183" s="256"/>
      <c r="K2183" s="56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902" t="str">
        <f>IF(AND('341-CT'!$E$9=H2183,OR(LEFT(L2183,3)=$O$7,LEFT(M2183,3)=$O$7)),"x","")</f>
        <v/>
      </c>
      <c r="P2183" s="39" t="str">
        <f>IF(AND($B2183&gt;='111'!$N$11,$B2183&lt;='111'!$O$11,OR($L2183=$P$7,$M2183=$P$7)),"x","")</f>
        <v/>
      </c>
      <c r="Q2183" s="39" t="str">
        <f>IF(AND($L2183=$P$7,$B2183&lt;'111'!$N$11),"x","")</f>
        <v/>
      </c>
      <c r="R2183" s="39" t="str">
        <f>IF(AND($M2183=$P$7,$B2183&lt;'111'!$N$11),"x","")</f>
        <v/>
      </c>
      <c r="S2183" s="39" t="str">
        <f>IF(ISERROR(FIND('112'!$M$9,G2183,1)),"",IF((AND(FIND('112'!$M$9,G2183,1)&gt;=1,$B2183&gt;='112'!$N$8,$B2183&lt;='112'!$O$8,OR($L2183='112'!$I$6,$M2183='112'!$I$6))),"x",""))</f>
        <v/>
      </c>
      <c r="T2183" s="39" t="str">
        <f>IF(ISERROR(FIND('112'!$M$9,G2183,1)),"",IF((AND(LEFT(G2183,2)=LEFT('112'!$M$9,2),B2183&lt;'112'!$N$8,$L2183='112'!$I$6)),"x",""))</f>
        <v/>
      </c>
      <c r="U2183" s="39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39" t="str">
        <f>IF(OR(TH!L2183=TH!$W$7,M2183=TH!$W$7),"x","")</f>
        <v/>
      </c>
      <c r="X2183" s="39" t="str">
        <f>IF(AND(B2183&gt;='IN-NX'!$P$3,B2183&lt;='IN-NX'!$Q$3,'IN-NX'!$D$7=D2183,OR(LEFT(L2183,2)="15",AND(LEFT(M2183,2)&lt;&gt;"15",LEFT(M2183,2)&lt;&gt;"33"))),"x","")</f>
        <v/>
      </c>
      <c r="Y2183" s="39" t="str">
        <f>IF(AND(OR(LEFT(TH!L2183,2)="15",LEFT(TH!M2183,2)="15"),'152-CT'!$J$8=TH!F2183),"x","")</f>
        <v/>
      </c>
      <c r="Z2183" s="39" t="str">
        <f>IF(AND(OR(LEFT(TH!L2183,2)="15",LEFT(TH!M2183,2)="15"),TK!$E$7=TH!F2183),"x","")</f>
        <v/>
      </c>
      <c r="AA2183" s="39" t="str">
        <f>IF(AND(B2183&lt;=NKC!$N$8,B2183&gt;=NKC!$M$8),"x","")</f>
        <v/>
      </c>
      <c r="AB2183" s="821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 t="str">
        <f t="shared" si="106"/>
        <v/>
      </c>
      <c r="C2184" s="191"/>
      <c r="D2184" s="37"/>
      <c r="E2184" s="731"/>
      <c r="F2184" s="192"/>
      <c r="G2184" s="468"/>
      <c r="H2184" s="193"/>
      <c r="I2184" s="256"/>
      <c r="J2184" s="256"/>
      <c r="K2184" s="56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902" t="str">
        <f>IF(AND('341-CT'!$E$9=H2184,OR(LEFT(L2184,3)=$O$7,LEFT(M2184,3)=$O$7)),"x","")</f>
        <v/>
      </c>
      <c r="P2184" s="39" t="str">
        <f>IF(AND($B2184&gt;='111'!$N$11,$B2184&lt;='111'!$O$11,OR($L2184=$P$7,$M2184=$P$7)),"x","")</f>
        <v/>
      </c>
      <c r="Q2184" s="39" t="str">
        <f>IF(AND($L2184=$P$7,$B2184&lt;'111'!$N$11),"x","")</f>
        <v/>
      </c>
      <c r="R2184" s="39" t="str">
        <f>IF(AND($M2184=$P$7,$B2184&lt;'111'!$N$11),"x","")</f>
        <v/>
      </c>
      <c r="S2184" s="39" t="str">
        <f>IF(ISERROR(FIND('112'!$M$9,G2184,1)),"",IF((AND(FIND('112'!$M$9,G2184,1)&gt;=1,$B2184&gt;='112'!$N$8,$B2184&lt;='112'!$O$8,OR($L2184='112'!$I$6,$M2184='112'!$I$6))),"x",""))</f>
        <v/>
      </c>
      <c r="T2184" s="39" t="str">
        <f>IF(ISERROR(FIND('112'!$M$9,G2184,1)),"",IF((AND(LEFT(G2184,2)=LEFT('112'!$M$9,2),B2184&lt;'112'!$N$8,$L2184='112'!$I$6)),"x",""))</f>
        <v/>
      </c>
      <c r="U2184" s="39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39" t="str">
        <f>IF(OR(TH!L2184=TH!$W$7,M2184=TH!$W$7),"x","")</f>
        <v/>
      </c>
      <c r="X2184" s="39" t="str">
        <f>IF(AND(B2184&gt;='IN-NX'!$P$3,B2184&lt;='IN-NX'!$Q$3,'IN-NX'!$D$7=D2184,OR(LEFT(L2184,2)="15",AND(LEFT(M2184,2)&lt;&gt;"15",LEFT(M2184,2)&lt;&gt;"33"))),"x","")</f>
        <v/>
      </c>
      <c r="Y2184" s="39" t="str">
        <f>IF(AND(OR(LEFT(TH!L2184,2)="15",LEFT(TH!M2184,2)="15"),'152-CT'!$J$8=TH!F2184),"x","")</f>
        <v/>
      </c>
      <c r="Z2184" s="39" t="str">
        <f>IF(AND(OR(LEFT(TH!L2184,2)="15",LEFT(TH!M2184,2)="15"),TK!$E$7=TH!F2184),"x","")</f>
        <v/>
      </c>
      <c r="AA2184" s="39" t="str">
        <f>IF(AND(B2184&lt;=NKC!$N$8,B2184&gt;=NKC!$M$8),"x","")</f>
        <v/>
      </c>
      <c r="AB2184" s="821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 t="str">
        <f t="shared" si="106"/>
        <v/>
      </c>
      <c r="C2185" s="191"/>
      <c r="D2185" s="37"/>
      <c r="E2185" s="731"/>
      <c r="F2185" s="192"/>
      <c r="G2185" s="468"/>
      <c r="H2185" s="193"/>
      <c r="I2185" s="256"/>
      <c r="J2185" s="256"/>
      <c r="K2185" s="56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902" t="str">
        <f>IF(AND('341-CT'!$E$9=H2185,OR(LEFT(L2185,3)=$O$7,LEFT(M2185,3)=$O$7)),"x","")</f>
        <v/>
      </c>
      <c r="P2185" s="39" t="str">
        <f>IF(AND($B2185&gt;='111'!$N$11,$B2185&lt;='111'!$O$11,OR($L2185=$P$7,$M2185=$P$7)),"x","")</f>
        <v/>
      </c>
      <c r="Q2185" s="39" t="str">
        <f>IF(AND($L2185=$P$7,$B2185&lt;'111'!$N$11),"x","")</f>
        <v/>
      </c>
      <c r="R2185" s="39" t="str">
        <f>IF(AND($M2185=$P$7,$B2185&lt;'111'!$N$11),"x","")</f>
        <v/>
      </c>
      <c r="S2185" s="39" t="str">
        <f>IF(ISERROR(FIND('112'!$M$9,G2185,1)),"",IF((AND(FIND('112'!$M$9,G2185,1)&gt;=1,$B2185&gt;='112'!$N$8,$B2185&lt;='112'!$O$8,OR($L2185='112'!$I$6,$M2185='112'!$I$6))),"x",""))</f>
        <v/>
      </c>
      <c r="T2185" s="39" t="str">
        <f>IF(ISERROR(FIND('112'!$M$9,G2185,1)),"",IF((AND(LEFT(G2185,2)=LEFT('112'!$M$9,2),B2185&lt;'112'!$N$8,$L2185='112'!$I$6)),"x",""))</f>
        <v/>
      </c>
      <c r="U2185" s="39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39" t="str">
        <f>IF(OR(TH!L2185=TH!$W$7,M2185=TH!$W$7),"x","")</f>
        <v/>
      </c>
      <c r="X2185" s="39" t="str">
        <f>IF(AND(B2185&gt;='IN-NX'!$P$3,B2185&lt;='IN-NX'!$Q$3,'IN-NX'!$D$7=D2185,OR(LEFT(L2185,2)="15",AND(LEFT(M2185,2)&lt;&gt;"15",LEFT(M2185,2)&lt;&gt;"33"))),"x","")</f>
        <v/>
      </c>
      <c r="Y2185" s="39" t="str">
        <f>IF(AND(OR(LEFT(TH!L2185,2)="15",LEFT(TH!M2185,2)="15"),'152-CT'!$J$8=TH!F2185),"x","")</f>
        <v/>
      </c>
      <c r="Z2185" s="39" t="str">
        <f>IF(AND(OR(LEFT(TH!L2185,2)="15",LEFT(TH!M2185,2)="15"),TK!$E$7=TH!F2185),"x","")</f>
        <v/>
      </c>
      <c r="AA2185" s="39" t="str">
        <f>IF(AND(B2185&lt;=NKC!$N$8,B2185&gt;=NKC!$M$8),"x","")</f>
        <v/>
      </c>
      <c r="AB2185" s="821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 t="str">
        <f t="shared" si="106"/>
        <v/>
      </c>
      <c r="C2186" s="191"/>
      <c r="D2186" s="37"/>
      <c r="E2186" s="731"/>
      <c r="F2186" s="192"/>
      <c r="G2186" s="468"/>
      <c r="H2186" s="193"/>
      <c r="I2186" s="256"/>
      <c r="J2186" s="256"/>
      <c r="K2186" s="56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902" t="str">
        <f>IF(AND('341-CT'!$E$9=H2186,OR(LEFT(L2186,3)=$O$7,LEFT(M2186,3)=$O$7)),"x","")</f>
        <v/>
      </c>
      <c r="P2186" s="39" t="str">
        <f>IF(AND($B2186&gt;='111'!$N$11,$B2186&lt;='111'!$O$11,OR($L2186=$P$7,$M2186=$P$7)),"x","")</f>
        <v/>
      </c>
      <c r="Q2186" s="39" t="str">
        <f>IF(AND($L2186=$P$7,$B2186&lt;'111'!$N$11),"x","")</f>
        <v/>
      </c>
      <c r="R2186" s="39" t="str">
        <f>IF(AND($M2186=$P$7,$B2186&lt;'111'!$N$11),"x","")</f>
        <v/>
      </c>
      <c r="S2186" s="39" t="str">
        <f>IF(ISERROR(FIND('112'!$M$9,G2186,1)),"",IF((AND(FIND('112'!$M$9,G2186,1)&gt;=1,$B2186&gt;='112'!$N$8,$B2186&lt;='112'!$O$8,OR($L2186='112'!$I$6,$M2186='112'!$I$6))),"x",""))</f>
        <v/>
      </c>
      <c r="T2186" s="39" t="str">
        <f>IF(ISERROR(FIND('112'!$M$9,G2186,1)),"",IF((AND(LEFT(G2186,2)=LEFT('112'!$M$9,2),B2186&lt;'112'!$N$8,$L2186='112'!$I$6)),"x",""))</f>
        <v/>
      </c>
      <c r="U2186" s="39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39" t="str">
        <f>IF(OR(TH!L2186=TH!$W$7,M2186=TH!$W$7),"x","")</f>
        <v/>
      </c>
      <c r="X2186" s="39" t="str">
        <f>IF(AND(B2186&gt;='IN-NX'!$P$3,B2186&lt;='IN-NX'!$Q$3,'IN-NX'!$D$7=D2186,OR(LEFT(L2186,2)="15",AND(LEFT(M2186,2)&lt;&gt;"15",LEFT(M2186,2)&lt;&gt;"33"))),"x","")</f>
        <v/>
      </c>
      <c r="Y2186" s="39" t="str">
        <f>IF(AND(OR(LEFT(TH!L2186,2)="15",LEFT(TH!M2186,2)="15"),'152-CT'!$J$8=TH!F2186),"x","")</f>
        <v/>
      </c>
      <c r="Z2186" s="39" t="str">
        <f>IF(AND(OR(LEFT(TH!L2186,2)="15",LEFT(TH!M2186,2)="15"),TK!$E$7=TH!F2186),"x","")</f>
        <v/>
      </c>
      <c r="AA2186" s="39" t="str">
        <f>IF(AND(B2186&lt;=NKC!$N$8,B2186&gt;=NKC!$M$8),"x","")</f>
        <v/>
      </c>
      <c r="AB2186" s="821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 t="str">
        <f t="shared" si="106"/>
        <v/>
      </c>
      <c r="C2187" s="191"/>
      <c r="D2187" s="37"/>
      <c r="E2187" s="731"/>
      <c r="F2187" s="192"/>
      <c r="G2187" s="468"/>
      <c r="H2187" s="193"/>
      <c r="I2187" s="256"/>
      <c r="J2187" s="256"/>
      <c r="K2187" s="56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902" t="str">
        <f>IF(AND('341-CT'!$E$9=H2187,OR(LEFT(L2187,3)=$O$7,LEFT(M2187,3)=$O$7)),"x","")</f>
        <v/>
      </c>
      <c r="P2187" s="39" t="str">
        <f>IF(AND($B2187&gt;='111'!$N$11,$B2187&lt;='111'!$O$11,OR($L2187=$P$7,$M2187=$P$7)),"x","")</f>
        <v/>
      </c>
      <c r="Q2187" s="39" t="str">
        <f>IF(AND($L2187=$P$7,$B2187&lt;'111'!$N$11),"x","")</f>
        <v/>
      </c>
      <c r="R2187" s="39" t="str">
        <f>IF(AND($M2187=$P$7,$B2187&lt;'111'!$N$11),"x","")</f>
        <v/>
      </c>
      <c r="S2187" s="39" t="str">
        <f>IF(ISERROR(FIND('112'!$M$9,G2187,1)),"",IF((AND(FIND('112'!$M$9,G2187,1)&gt;=1,$B2187&gt;='112'!$N$8,$B2187&lt;='112'!$O$8,OR($L2187='112'!$I$6,$M2187='112'!$I$6))),"x",""))</f>
        <v/>
      </c>
      <c r="T2187" s="39" t="str">
        <f>IF(ISERROR(FIND('112'!$M$9,G2187,1)),"",IF((AND(LEFT(G2187,2)=LEFT('112'!$M$9,2),B2187&lt;'112'!$N$8,$L2187='112'!$I$6)),"x",""))</f>
        <v/>
      </c>
      <c r="U2187" s="39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39" t="str">
        <f>IF(OR(TH!L2187=TH!$W$7,M2187=TH!$W$7),"x","")</f>
        <v/>
      </c>
      <c r="X2187" s="39" t="str">
        <f>IF(AND(B2187&gt;='IN-NX'!$P$3,B2187&lt;='IN-NX'!$Q$3,'IN-NX'!$D$7=D2187,OR(LEFT(L2187,2)="15",AND(LEFT(M2187,2)&lt;&gt;"15",LEFT(M2187,2)&lt;&gt;"33"))),"x","")</f>
        <v/>
      </c>
      <c r="Y2187" s="39" t="str">
        <f>IF(AND(OR(LEFT(TH!L2187,2)="15",LEFT(TH!M2187,2)="15"),'152-CT'!$J$8=TH!F2187),"x","")</f>
        <v/>
      </c>
      <c r="Z2187" s="39" t="str">
        <f>IF(AND(OR(LEFT(TH!L2187,2)="15",LEFT(TH!M2187,2)="15"),TK!$E$7=TH!F2187),"x","")</f>
        <v/>
      </c>
      <c r="AA2187" s="39" t="str">
        <f>IF(AND(B2187&lt;=NKC!$N$8,B2187&gt;=NKC!$M$8),"x","")</f>
        <v/>
      </c>
      <c r="AB2187" s="821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 t="str">
        <f t="shared" si="106"/>
        <v/>
      </c>
      <c r="C2188" s="191"/>
      <c r="D2188" s="37"/>
      <c r="E2188" s="731"/>
      <c r="F2188" s="192"/>
      <c r="G2188" s="468"/>
      <c r="H2188" s="193"/>
      <c r="I2188" s="256"/>
      <c r="J2188" s="256"/>
      <c r="K2188" s="56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902" t="str">
        <f>IF(AND('341-CT'!$E$9=H2188,OR(LEFT(L2188,3)=$O$7,LEFT(M2188,3)=$O$7)),"x","")</f>
        <v/>
      </c>
      <c r="P2188" s="39" t="str">
        <f>IF(AND($B2188&gt;='111'!$N$11,$B2188&lt;='111'!$O$11,OR($L2188=$P$7,$M2188=$P$7)),"x","")</f>
        <v/>
      </c>
      <c r="Q2188" s="39" t="str">
        <f>IF(AND($L2188=$P$7,$B2188&lt;'111'!$N$11),"x","")</f>
        <v/>
      </c>
      <c r="R2188" s="39" t="str">
        <f>IF(AND($M2188=$P$7,$B2188&lt;'111'!$N$11),"x","")</f>
        <v/>
      </c>
      <c r="S2188" s="39" t="str">
        <f>IF(ISERROR(FIND('112'!$M$9,G2188,1)),"",IF((AND(FIND('112'!$M$9,G2188,1)&gt;=1,$B2188&gt;='112'!$N$8,$B2188&lt;='112'!$O$8,OR($L2188='112'!$I$6,$M2188='112'!$I$6))),"x",""))</f>
        <v/>
      </c>
      <c r="T2188" s="39" t="str">
        <f>IF(ISERROR(FIND('112'!$M$9,G2188,1)),"",IF((AND(LEFT(G2188,2)=LEFT('112'!$M$9,2),B2188&lt;'112'!$N$8,$L2188='112'!$I$6)),"x",""))</f>
        <v/>
      </c>
      <c r="U2188" s="39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39" t="str">
        <f>IF(OR(TH!L2188=TH!$W$7,M2188=TH!$W$7),"x","")</f>
        <v/>
      </c>
      <c r="X2188" s="39" t="str">
        <f>IF(AND(B2188&gt;='IN-NX'!$P$3,B2188&lt;='IN-NX'!$Q$3,'IN-NX'!$D$7=D2188,OR(LEFT(L2188,2)="15",AND(LEFT(M2188,2)&lt;&gt;"15",LEFT(M2188,2)&lt;&gt;"33"))),"x","")</f>
        <v/>
      </c>
      <c r="Y2188" s="39" t="str">
        <f>IF(AND(OR(LEFT(TH!L2188,2)="15",LEFT(TH!M2188,2)="15"),'152-CT'!$J$8=TH!F2188),"x","")</f>
        <v/>
      </c>
      <c r="Z2188" s="39" t="str">
        <f>IF(AND(OR(LEFT(TH!L2188,2)="15",LEFT(TH!M2188,2)="15"),TK!$E$7=TH!F2188),"x","")</f>
        <v/>
      </c>
      <c r="AA2188" s="39" t="str">
        <f>IF(AND(B2188&lt;=NKC!$N$8,B2188&gt;=NKC!$M$8),"x","")</f>
        <v/>
      </c>
      <c r="AB2188" s="821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 t="str">
        <f t="shared" si="106"/>
        <v/>
      </c>
      <c r="C2189" s="191"/>
      <c r="D2189" s="37"/>
      <c r="E2189" s="731"/>
      <c r="F2189" s="192"/>
      <c r="G2189" s="468"/>
      <c r="H2189" s="193"/>
      <c r="I2189" s="256"/>
      <c r="J2189" s="256"/>
      <c r="K2189" s="56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902" t="str">
        <f>IF(AND('341-CT'!$E$9=H2189,OR(LEFT(L2189,3)=$O$7,LEFT(M2189,3)=$O$7)),"x","")</f>
        <v/>
      </c>
      <c r="P2189" s="39" t="str">
        <f>IF(AND($B2189&gt;='111'!$N$11,$B2189&lt;='111'!$O$11,OR($L2189=$P$7,$M2189=$P$7)),"x","")</f>
        <v/>
      </c>
      <c r="Q2189" s="39" t="str">
        <f>IF(AND($L2189=$P$7,$B2189&lt;'111'!$N$11),"x","")</f>
        <v/>
      </c>
      <c r="R2189" s="39" t="str">
        <f>IF(AND($M2189=$P$7,$B2189&lt;'111'!$N$11),"x","")</f>
        <v/>
      </c>
      <c r="S2189" s="39" t="str">
        <f>IF(ISERROR(FIND('112'!$M$9,G2189,1)),"",IF((AND(FIND('112'!$M$9,G2189,1)&gt;=1,$B2189&gt;='112'!$N$8,$B2189&lt;='112'!$O$8,OR($L2189='112'!$I$6,$M2189='112'!$I$6))),"x",""))</f>
        <v/>
      </c>
      <c r="T2189" s="39" t="str">
        <f>IF(ISERROR(FIND('112'!$M$9,G2189,1)),"",IF((AND(LEFT(G2189,2)=LEFT('112'!$M$9,2),B2189&lt;'112'!$N$8,$L2189='112'!$I$6)),"x",""))</f>
        <v/>
      </c>
      <c r="U2189" s="39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39" t="str">
        <f>IF(OR(TH!L2189=TH!$W$7,M2189=TH!$W$7),"x","")</f>
        <v/>
      </c>
      <c r="X2189" s="39" t="str">
        <f>IF(AND(B2189&gt;='IN-NX'!$P$3,B2189&lt;='IN-NX'!$Q$3,'IN-NX'!$D$7=D2189,OR(LEFT(L2189,2)="15",AND(LEFT(M2189,2)&lt;&gt;"15",LEFT(M2189,2)&lt;&gt;"33"))),"x","")</f>
        <v/>
      </c>
      <c r="Y2189" s="39" t="str">
        <f>IF(AND(OR(LEFT(TH!L2189,2)="15",LEFT(TH!M2189,2)="15"),'152-CT'!$J$8=TH!F2189),"x","")</f>
        <v/>
      </c>
      <c r="Z2189" s="39" t="str">
        <f>IF(AND(OR(LEFT(TH!L2189,2)="15",LEFT(TH!M2189,2)="15"),TK!$E$7=TH!F2189),"x","")</f>
        <v/>
      </c>
      <c r="AA2189" s="39" t="str">
        <f>IF(AND(B2189&lt;=NKC!$N$8,B2189&gt;=NKC!$M$8),"x","")</f>
        <v/>
      </c>
      <c r="AB2189" s="821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 t="str">
        <f t="shared" si="106"/>
        <v/>
      </c>
      <c r="C2190" s="191"/>
      <c r="D2190" s="37"/>
      <c r="E2190" s="731"/>
      <c r="F2190" s="189"/>
      <c r="G2190" s="468"/>
      <c r="H2190" s="193"/>
      <c r="I2190" s="256"/>
      <c r="J2190" s="256"/>
      <c r="K2190" s="56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902" t="str">
        <f>IF(AND('341-CT'!$E$9=H2190,OR(LEFT(L2190,3)=$O$7,LEFT(M2190,3)=$O$7)),"x","")</f>
        <v/>
      </c>
      <c r="P2190" s="39" t="str">
        <f>IF(AND($B2190&gt;='111'!$N$11,$B2190&lt;='111'!$O$11,OR($L2190=$P$7,$M2190=$P$7)),"x","")</f>
        <v/>
      </c>
      <c r="Q2190" s="39" t="str">
        <f>IF(AND($L2190=$P$7,$B2190&lt;'111'!$N$11),"x","")</f>
        <v/>
      </c>
      <c r="R2190" s="39" t="str">
        <f>IF(AND($M2190=$P$7,$B2190&lt;'111'!$N$11),"x","")</f>
        <v/>
      </c>
      <c r="S2190" s="39" t="str">
        <f>IF(ISERROR(FIND('112'!$M$9,G2190,1)),"",IF((AND(FIND('112'!$M$9,G2190,1)&gt;=1,$B2190&gt;='112'!$N$8,$B2190&lt;='112'!$O$8,OR($L2190='112'!$I$6,$M2190='112'!$I$6))),"x",""))</f>
        <v/>
      </c>
      <c r="T2190" s="39" t="str">
        <f>IF(ISERROR(FIND('112'!$M$9,G2190,1)),"",IF((AND(LEFT(G2190,2)=LEFT('112'!$M$9,2),B2190&lt;'112'!$N$8,$L2190='112'!$I$6)),"x",""))</f>
        <v/>
      </c>
      <c r="U2190" s="39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39" t="str">
        <f>IF(OR(TH!L2190=TH!$W$7,M2190=TH!$W$7),"x","")</f>
        <v/>
      </c>
      <c r="X2190" s="39" t="str">
        <f>IF(AND(B2190&gt;='IN-NX'!$P$3,B2190&lt;='IN-NX'!$Q$3,'IN-NX'!$D$7=D2190,OR(LEFT(L2190,2)="15",AND(LEFT(M2190,2)&lt;&gt;"15",LEFT(M2190,2)&lt;&gt;"33"))),"x","")</f>
        <v/>
      </c>
      <c r="Y2190" s="39" t="str">
        <f>IF(AND(OR(LEFT(TH!L2190,2)="15",LEFT(TH!M2190,2)="15"),'152-CT'!$J$8=TH!F2190),"x","")</f>
        <v/>
      </c>
      <c r="Z2190" s="39" t="str">
        <f>IF(AND(OR(LEFT(TH!L2190,2)="15",LEFT(TH!M2190,2)="15"),TK!$E$7=TH!F2190),"x","")</f>
        <v/>
      </c>
      <c r="AA2190" s="39" t="str">
        <f>IF(AND(B2190&lt;=NKC!$N$8,B2190&gt;=NKC!$M$8),"x","")</f>
        <v/>
      </c>
      <c r="AB2190" s="821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 t="str">
        <f t="shared" si="106"/>
        <v/>
      </c>
      <c r="C2191" s="191"/>
      <c r="D2191" s="37"/>
      <c r="E2191" s="731"/>
      <c r="F2191" s="192"/>
      <c r="G2191" s="468"/>
      <c r="H2191" s="193"/>
      <c r="I2191" s="256"/>
      <c r="J2191" s="256"/>
      <c r="K2191" s="56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902" t="str">
        <f>IF(AND('341-CT'!$E$9=H2191,OR(LEFT(L2191,3)=$O$7,LEFT(M2191,3)=$O$7)),"x","")</f>
        <v/>
      </c>
      <c r="P2191" s="39" t="str">
        <f>IF(AND($B2191&gt;='111'!$N$11,$B2191&lt;='111'!$O$11,OR($L2191=$P$7,$M2191=$P$7)),"x","")</f>
        <v/>
      </c>
      <c r="Q2191" s="39" t="str">
        <f>IF(AND($L2191=$P$7,$B2191&lt;'111'!$N$11),"x","")</f>
        <v/>
      </c>
      <c r="R2191" s="39" t="str">
        <f>IF(AND($M2191=$P$7,$B2191&lt;'111'!$N$11),"x","")</f>
        <v/>
      </c>
      <c r="S2191" s="39" t="str">
        <f>IF(ISERROR(FIND('112'!$M$9,G2191,1)),"",IF((AND(FIND('112'!$M$9,G2191,1)&gt;=1,$B2191&gt;='112'!$N$8,$B2191&lt;='112'!$O$8,OR($L2191='112'!$I$6,$M2191='112'!$I$6))),"x",""))</f>
        <v/>
      </c>
      <c r="T2191" s="39" t="str">
        <f>IF(ISERROR(FIND('112'!$M$9,G2191,1)),"",IF((AND(LEFT(G2191,2)=LEFT('112'!$M$9,2),B2191&lt;'112'!$N$8,$L2191='112'!$I$6)),"x",""))</f>
        <v/>
      </c>
      <c r="U2191" s="39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39" t="str">
        <f>IF(OR(TH!L2191=TH!$W$7,M2191=TH!$W$7),"x","")</f>
        <v/>
      </c>
      <c r="X2191" s="39" t="str">
        <f>IF(AND(B2191&gt;='IN-NX'!$P$3,B2191&lt;='IN-NX'!$Q$3,'IN-NX'!$D$7=D2191,OR(LEFT(L2191,2)="15",AND(LEFT(M2191,2)&lt;&gt;"15",LEFT(M2191,2)&lt;&gt;"33"))),"x","")</f>
        <v/>
      </c>
      <c r="Y2191" s="39" t="str">
        <f>IF(AND(OR(LEFT(TH!L2191,2)="15",LEFT(TH!M2191,2)="15"),'152-CT'!$J$8=TH!F2191),"x","")</f>
        <v/>
      </c>
      <c r="Z2191" s="39" t="str">
        <f>IF(AND(OR(LEFT(TH!L2191,2)="15",LEFT(TH!M2191,2)="15"),TK!$E$7=TH!F2191),"x","")</f>
        <v/>
      </c>
      <c r="AA2191" s="39" t="str">
        <f>IF(AND(B2191&lt;=NKC!$N$8,B2191&gt;=NKC!$M$8),"x","")</f>
        <v/>
      </c>
      <c r="AB2191" s="821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 t="str">
        <f t="shared" si="106"/>
        <v/>
      </c>
      <c r="C2192" s="191"/>
      <c r="D2192" s="37"/>
      <c r="E2192" s="731"/>
      <c r="F2192" s="192"/>
      <c r="G2192" s="468"/>
      <c r="H2192" s="193"/>
      <c r="I2192" s="256"/>
      <c r="J2192" s="256"/>
      <c r="K2192" s="56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902" t="str">
        <f>IF(AND('341-CT'!$E$9=H2192,OR(LEFT(L2192,3)=$O$7,LEFT(M2192,3)=$O$7)),"x","")</f>
        <v/>
      </c>
      <c r="P2192" s="39" t="str">
        <f>IF(AND($B2192&gt;='111'!$N$11,$B2192&lt;='111'!$O$11,OR($L2192=$P$7,$M2192=$P$7)),"x","")</f>
        <v/>
      </c>
      <c r="Q2192" s="39" t="str">
        <f>IF(AND($L2192=$P$7,$B2192&lt;'111'!$N$11),"x","")</f>
        <v/>
      </c>
      <c r="R2192" s="39" t="str">
        <f>IF(AND($M2192=$P$7,$B2192&lt;'111'!$N$11),"x","")</f>
        <v/>
      </c>
      <c r="S2192" s="39" t="str">
        <f>IF(ISERROR(FIND('112'!$M$9,G2192,1)),"",IF((AND(FIND('112'!$M$9,G2192,1)&gt;=1,$B2192&gt;='112'!$N$8,$B2192&lt;='112'!$O$8,OR($L2192='112'!$I$6,$M2192='112'!$I$6))),"x",""))</f>
        <v/>
      </c>
      <c r="T2192" s="39" t="str">
        <f>IF(ISERROR(FIND('112'!$M$9,G2192,1)),"",IF((AND(LEFT(G2192,2)=LEFT('112'!$M$9,2),B2192&lt;'112'!$N$8,$L2192='112'!$I$6)),"x",""))</f>
        <v/>
      </c>
      <c r="U2192" s="39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39" t="str">
        <f>IF(OR(TH!L2192=TH!$W$7,M2192=TH!$W$7),"x","")</f>
        <v/>
      </c>
      <c r="X2192" s="39" t="str">
        <f>IF(AND(B2192&gt;='IN-NX'!$P$3,B2192&lt;='IN-NX'!$Q$3,'IN-NX'!$D$7=D2192,OR(LEFT(L2192,2)="15",AND(LEFT(M2192,2)&lt;&gt;"15",LEFT(M2192,2)&lt;&gt;"33"))),"x","")</f>
        <v/>
      </c>
      <c r="Y2192" s="39" t="str">
        <f>IF(AND(OR(LEFT(TH!L2192,2)="15",LEFT(TH!M2192,2)="15"),'152-CT'!$J$8=TH!F2192),"x","")</f>
        <v/>
      </c>
      <c r="Z2192" s="39" t="str">
        <f>IF(AND(OR(LEFT(TH!L2192,2)="15",LEFT(TH!M2192,2)="15"),TK!$E$7=TH!F2192),"x","")</f>
        <v/>
      </c>
      <c r="AA2192" s="39" t="str">
        <f>IF(AND(B2192&lt;=NKC!$N$8,B2192&gt;=NKC!$M$8),"x","")</f>
        <v/>
      </c>
      <c r="AB2192" s="821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 t="str">
        <f t="shared" si="106"/>
        <v/>
      </c>
      <c r="C2193" s="191"/>
      <c r="D2193" s="37"/>
      <c r="E2193" s="731"/>
      <c r="F2193" s="192"/>
      <c r="G2193" s="468"/>
      <c r="H2193" s="193"/>
      <c r="I2193" s="256"/>
      <c r="J2193" s="256"/>
      <c r="K2193" s="56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902" t="str">
        <f>IF(AND('341-CT'!$E$9=H2193,OR(LEFT(L2193,3)=$O$7,LEFT(M2193,3)=$O$7)),"x","")</f>
        <v/>
      </c>
      <c r="P2193" s="39" t="str">
        <f>IF(AND($B2193&gt;='111'!$N$11,$B2193&lt;='111'!$O$11,OR($L2193=$P$7,$M2193=$P$7)),"x","")</f>
        <v/>
      </c>
      <c r="Q2193" s="39" t="str">
        <f>IF(AND($L2193=$P$7,$B2193&lt;'111'!$N$11),"x","")</f>
        <v/>
      </c>
      <c r="R2193" s="39" t="str">
        <f>IF(AND($M2193=$P$7,$B2193&lt;'111'!$N$11),"x","")</f>
        <v/>
      </c>
      <c r="S2193" s="39" t="str">
        <f>IF(ISERROR(FIND('112'!$M$9,G2193,1)),"",IF((AND(FIND('112'!$M$9,G2193,1)&gt;=1,$B2193&gt;='112'!$N$8,$B2193&lt;='112'!$O$8,OR($L2193='112'!$I$6,$M2193='112'!$I$6))),"x",""))</f>
        <v/>
      </c>
      <c r="T2193" s="39" t="str">
        <f>IF(ISERROR(FIND('112'!$M$9,G2193,1)),"",IF((AND(LEFT(G2193,2)=LEFT('112'!$M$9,2),B2193&lt;'112'!$N$8,$L2193='112'!$I$6)),"x",""))</f>
        <v/>
      </c>
      <c r="U2193" s="39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39" t="str">
        <f>IF(OR(TH!L2193=TH!$W$7,M2193=TH!$W$7),"x","")</f>
        <v/>
      </c>
      <c r="X2193" s="39" t="str">
        <f>IF(AND(B2193&gt;='IN-NX'!$P$3,B2193&lt;='IN-NX'!$Q$3,'IN-NX'!$D$7=D2193,OR(LEFT(L2193,2)="15",AND(LEFT(M2193,2)&lt;&gt;"15",LEFT(M2193,2)&lt;&gt;"33"))),"x","")</f>
        <v/>
      </c>
      <c r="Y2193" s="39" t="str">
        <f>IF(AND(OR(LEFT(TH!L2193,2)="15",LEFT(TH!M2193,2)="15"),'152-CT'!$J$8=TH!F2193),"x","")</f>
        <v/>
      </c>
      <c r="Z2193" s="39" t="str">
        <f>IF(AND(OR(LEFT(TH!L2193,2)="15",LEFT(TH!M2193,2)="15"),TK!$E$7=TH!F2193),"x","")</f>
        <v/>
      </c>
      <c r="AA2193" s="39" t="str">
        <f>IF(AND(B2193&lt;=NKC!$N$8,B2193&gt;=NKC!$M$8),"x","")</f>
        <v/>
      </c>
      <c r="AB2193" s="821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 t="str">
        <f t="shared" si="106"/>
        <v/>
      </c>
      <c r="C2194" s="191"/>
      <c r="D2194" s="37"/>
      <c r="E2194" s="731"/>
      <c r="F2194" s="192"/>
      <c r="G2194" s="468"/>
      <c r="H2194" s="193"/>
      <c r="I2194" s="256"/>
      <c r="J2194" s="256"/>
      <c r="K2194" s="56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902" t="str">
        <f>IF(AND('341-CT'!$E$9=H2194,OR(LEFT(L2194,3)=$O$7,LEFT(M2194,3)=$O$7)),"x","")</f>
        <v/>
      </c>
      <c r="P2194" s="39" t="str">
        <f>IF(AND($B2194&gt;='111'!$N$11,$B2194&lt;='111'!$O$11,OR($L2194=$P$7,$M2194=$P$7)),"x","")</f>
        <v/>
      </c>
      <c r="Q2194" s="39" t="str">
        <f>IF(AND($L2194=$P$7,$B2194&lt;'111'!$N$11),"x","")</f>
        <v/>
      </c>
      <c r="R2194" s="39" t="str">
        <f>IF(AND($M2194=$P$7,$B2194&lt;'111'!$N$11),"x","")</f>
        <v/>
      </c>
      <c r="S2194" s="39" t="str">
        <f>IF(ISERROR(FIND('112'!$M$9,G2194,1)),"",IF((AND(FIND('112'!$M$9,G2194,1)&gt;=1,$B2194&gt;='112'!$N$8,$B2194&lt;='112'!$O$8,OR($L2194='112'!$I$6,$M2194='112'!$I$6))),"x",""))</f>
        <v/>
      </c>
      <c r="T2194" s="39" t="str">
        <f>IF(ISERROR(FIND('112'!$M$9,G2194,1)),"",IF((AND(LEFT(G2194,2)=LEFT('112'!$M$9,2),B2194&lt;'112'!$N$8,$L2194='112'!$I$6)),"x",""))</f>
        <v/>
      </c>
      <c r="U2194" s="39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39" t="str">
        <f>IF(OR(TH!L2194=TH!$W$7,M2194=TH!$W$7),"x","")</f>
        <v/>
      </c>
      <c r="X2194" s="39" t="str">
        <f>IF(AND(B2194&gt;='IN-NX'!$P$3,B2194&lt;='IN-NX'!$Q$3,'IN-NX'!$D$7=D2194,OR(LEFT(L2194,2)="15",AND(LEFT(M2194,2)&lt;&gt;"15",LEFT(M2194,2)&lt;&gt;"33"))),"x","")</f>
        <v/>
      </c>
      <c r="Y2194" s="39" t="str">
        <f>IF(AND(OR(LEFT(TH!L2194,2)="15",LEFT(TH!M2194,2)="15"),'152-CT'!$J$8=TH!F2194),"x","")</f>
        <v/>
      </c>
      <c r="Z2194" s="39" t="str">
        <f>IF(AND(OR(LEFT(TH!L2194,2)="15",LEFT(TH!M2194,2)="15"),TK!$E$7=TH!F2194),"x","")</f>
        <v/>
      </c>
      <c r="AA2194" s="39" t="str">
        <f>IF(AND(B2194&lt;=NKC!$N$8,B2194&gt;=NKC!$M$8),"x","")</f>
        <v/>
      </c>
      <c r="AB2194" s="821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 t="str">
        <f t="shared" si="106"/>
        <v/>
      </c>
      <c r="C2195" s="191"/>
      <c r="D2195" s="37"/>
      <c r="E2195" s="731"/>
      <c r="F2195" s="192"/>
      <c r="G2195" s="468"/>
      <c r="H2195" s="193"/>
      <c r="I2195" s="256"/>
      <c r="J2195" s="256"/>
      <c r="K2195" s="56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902" t="str">
        <f>IF(AND('341-CT'!$E$9=H2195,OR(LEFT(L2195,3)=$O$7,LEFT(M2195,3)=$O$7)),"x","")</f>
        <v/>
      </c>
      <c r="P2195" s="39" t="str">
        <f>IF(AND($B2195&gt;='111'!$N$11,$B2195&lt;='111'!$O$11,OR($L2195=$P$7,$M2195=$P$7)),"x","")</f>
        <v/>
      </c>
      <c r="Q2195" s="39" t="str">
        <f>IF(AND($L2195=$P$7,$B2195&lt;'111'!$N$11),"x","")</f>
        <v/>
      </c>
      <c r="R2195" s="39" t="str">
        <f>IF(AND($M2195=$P$7,$B2195&lt;'111'!$N$11),"x","")</f>
        <v/>
      </c>
      <c r="S2195" s="39" t="str">
        <f>IF(ISERROR(FIND('112'!$M$9,G2195,1)),"",IF((AND(FIND('112'!$M$9,G2195,1)&gt;=1,$B2195&gt;='112'!$N$8,$B2195&lt;='112'!$O$8,OR($L2195='112'!$I$6,$M2195='112'!$I$6))),"x",""))</f>
        <v/>
      </c>
      <c r="T2195" s="39" t="str">
        <f>IF(ISERROR(FIND('112'!$M$9,G2195,1)),"",IF((AND(LEFT(G2195,2)=LEFT('112'!$M$9,2),B2195&lt;'112'!$N$8,$L2195='112'!$I$6)),"x",""))</f>
        <v/>
      </c>
      <c r="U2195" s="39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39" t="str">
        <f>IF(OR(TH!L2195=TH!$W$7,M2195=TH!$W$7),"x","")</f>
        <v/>
      </c>
      <c r="X2195" s="39" t="str">
        <f>IF(AND(B2195&gt;='IN-NX'!$P$3,B2195&lt;='IN-NX'!$Q$3,'IN-NX'!$D$7=D2195,OR(LEFT(L2195,2)="15",AND(LEFT(M2195,2)&lt;&gt;"15",LEFT(M2195,2)&lt;&gt;"33"))),"x","")</f>
        <v/>
      </c>
      <c r="Y2195" s="39" t="str">
        <f>IF(AND(OR(LEFT(TH!L2195,2)="15",LEFT(TH!M2195,2)="15"),'152-CT'!$J$8=TH!F2195),"x","")</f>
        <v/>
      </c>
      <c r="Z2195" s="39" t="str">
        <f>IF(AND(OR(LEFT(TH!L2195,2)="15",LEFT(TH!M2195,2)="15"),TK!$E$7=TH!F2195),"x","")</f>
        <v/>
      </c>
      <c r="AA2195" s="39" t="str">
        <f>IF(AND(B2195&lt;=NKC!$N$8,B2195&gt;=NKC!$M$8),"x","")</f>
        <v/>
      </c>
      <c r="AB2195" s="821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 t="str">
        <f t="shared" si="106"/>
        <v/>
      </c>
      <c r="C2196" s="191"/>
      <c r="D2196" s="37"/>
      <c r="E2196" s="731"/>
      <c r="F2196" s="192"/>
      <c r="G2196" s="468"/>
      <c r="H2196" s="193"/>
      <c r="I2196" s="256"/>
      <c r="J2196" s="256"/>
      <c r="K2196" s="56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902" t="str">
        <f>IF(AND('341-CT'!$E$9=H2196,OR(LEFT(L2196,3)=$O$7,LEFT(M2196,3)=$O$7)),"x","")</f>
        <v/>
      </c>
      <c r="P2196" s="39" t="str">
        <f>IF(AND($B2196&gt;='111'!$N$11,$B2196&lt;='111'!$O$11,OR($L2196=$P$7,$M2196=$P$7)),"x","")</f>
        <v/>
      </c>
      <c r="Q2196" s="39" t="str">
        <f>IF(AND($L2196=$P$7,$B2196&lt;'111'!$N$11),"x","")</f>
        <v/>
      </c>
      <c r="R2196" s="39" t="str">
        <f>IF(AND($M2196=$P$7,$B2196&lt;'111'!$N$11),"x","")</f>
        <v/>
      </c>
      <c r="S2196" s="39" t="str">
        <f>IF(ISERROR(FIND('112'!$M$9,G2196,1)),"",IF((AND(FIND('112'!$M$9,G2196,1)&gt;=1,$B2196&gt;='112'!$N$8,$B2196&lt;='112'!$O$8,OR($L2196='112'!$I$6,$M2196='112'!$I$6))),"x",""))</f>
        <v/>
      </c>
      <c r="T2196" s="39" t="str">
        <f>IF(ISERROR(FIND('112'!$M$9,G2196,1)),"",IF((AND(LEFT(G2196,2)=LEFT('112'!$M$9,2),B2196&lt;'112'!$N$8,$L2196='112'!$I$6)),"x",""))</f>
        <v/>
      </c>
      <c r="U2196" s="39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39" t="str">
        <f>IF(OR(TH!L2196=TH!$W$7,M2196=TH!$W$7),"x","")</f>
        <v/>
      </c>
      <c r="X2196" s="39" t="str">
        <f>IF(AND(B2196&gt;='IN-NX'!$P$3,B2196&lt;='IN-NX'!$Q$3,'IN-NX'!$D$7=D2196,OR(LEFT(L2196,2)="15",AND(LEFT(M2196,2)&lt;&gt;"15",LEFT(M2196,2)&lt;&gt;"33"))),"x","")</f>
        <v/>
      </c>
      <c r="Y2196" s="39" t="str">
        <f>IF(AND(OR(LEFT(TH!L2196,2)="15",LEFT(TH!M2196,2)="15"),'152-CT'!$J$8=TH!F2196),"x","")</f>
        <v/>
      </c>
      <c r="Z2196" s="39" t="str">
        <f>IF(AND(OR(LEFT(TH!L2196,2)="15",LEFT(TH!M2196,2)="15"),TK!$E$7=TH!F2196),"x","")</f>
        <v/>
      </c>
      <c r="AA2196" s="39" t="str">
        <f>IF(AND(B2196&lt;=NKC!$N$8,B2196&gt;=NKC!$M$8),"x","")</f>
        <v/>
      </c>
      <c r="AB2196" s="821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 t="str">
        <f t="shared" si="106"/>
        <v/>
      </c>
      <c r="C2197" s="191"/>
      <c r="D2197" s="37"/>
      <c r="E2197" s="731"/>
      <c r="F2197" s="192"/>
      <c r="G2197" s="468"/>
      <c r="H2197" s="193"/>
      <c r="I2197" s="256"/>
      <c r="J2197" s="256"/>
      <c r="K2197" s="56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902" t="str">
        <f>IF(AND('341-CT'!$E$9=H2197,OR(LEFT(L2197,3)=$O$7,LEFT(M2197,3)=$O$7)),"x","")</f>
        <v/>
      </c>
      <c r="P2197" s="39" t="str">
        <f>IF(AND($B2197&gt;='111'!$N$11,$B2197&lt;='111'!$O$11,OR($L2197=$P$7,$M2197=$P$7)),"x","")</f>
        <v/>
      </c>
      <c r="Q2197" s="39" t="str">
        <f>IF(AND($L2197=$P$7,$B2197&lt;'111'!$N$11),"x","")</f>
        <v/>
      </c>
      <c r="R2197" s="39" t="str">
        <f>IF(AND($M2197=$P$7,$B2197&lt;'111'!$N$11),"x","")</f>
        <v/>
      </c>
      <c r="S2197" s="39" t="str">
        <f>IF(ISERROR(FIND('112'!$M$9,G2197,1)),"",IF((AND(FIND('112'!$M$9,G2197,1)&gt;=1,$B2197&gt;='112'!$N$8,$B2197&lt;='112'!$O$8,OR($L2197='112'!$I$6,$M2197='112'!$I$6))),"x",""))</f>
        <v/>
      </c>
      <c r="T2197" s="39" t="str">
        <f>IF(ISERROR(FIND('112'!$M$9,G2197,1)),"",IF((AND(LEFT(G2197,2)=LEFT('112'!$M$9,2),B2197&lt;'112'!$N$8,$L2197='112'!$I$6)),"x",""))</f>
        <v/>
      </c>
      <c r="U2197" s="39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39" t="str">
        <f>IF(OR(TH!L2197=TH!$W$7,M2197=TH!$W$7),"x","")</f>
        <v/>
      </c>
      <c r="X2197" s="39" t="str">
        <f>IF(AND(B2197&gt;='IN-NX'!$P$3,B2197&lt;='IN-NX'!$Q$3,'IN-NX'!$D$7=D2197,OR(LEFT(L2197,2)="15",AND(LEFT(M2197,2)&lt;&gt;"15",LEFT(M2197,2)&lt;&gt;"33"))),"x","")</f>
        <v/>
      </c>
      <c r="Y2197" s="39" t="str">
        <f>IF(AND(OR(LEFT(TH!L2197,2)="15",LEFT(TH!M2197,2)="15"),'152-CT'!$J$8=TH!F2197),"x","")</f>
        <v/>
      </c>
      <c r="Z2197" s="39" t="str">
        <f>IF(AND(OR(LEFT(TH!L2197,2)="15",LEFT(TH!M2197,2)="15"),TK!$E$7=TH!F2197),"x","")</f>
        <v/>
      </c>
      <c r="AA2197" s="39" t="str">
        <f>IF(AND(B2197&lt;=NKC!$N$8,B2197&gt;=NKC!$M$8),"x","")</f>
        <v/>
      </c>
      <c r="AB2197" s="821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 t="str">
        <f t="shared" si="106"/>
        <v/>
      </c>
      <c r="C2198" s="191"/>
      <c r="D2198" s="37"/>
      <c r="E2198" s="731"/>
      <c r="F2198" s="192"/>
      <c r="G2198" s="468"/>
      <c r="H2198" s="193"/>
      <c r="I2198" s="256"/>
      <c r="J2198" s="256"/>
      <c r="K2198" s="56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902" t="str">
        <f>IF(AND('341-CT'!$E$9=H2198,OR(LEFT(L2198,3)=$O$7,LEFT(M2198,3)=$O$7)),"x","")</f>
        <v/>
      </c>
      <c r="P2198" s="39" t="str">
        <f>IF(AND($B2198&gt;='111'!$N$11,$B2198&lt;='111'!$O$11,OR($L2198=$P$7,$M2198=$P$7)),"x","")</f>
        <v/>
      </c>
      <c r="Q2198" s="39" t="str">
        <f>IF(AND($L2198=$P$7,$B2198&lt;'111'!$N$11),"x","")</f>
        <v/>
      </c>
      <c r="R2198" s="39" t="str">
        <f>IF(AND($M2198=$P$7,$B2198&lt;'111'!$N$11),"x","")</f>
        <v/>
      </c>
      <c r="S2198" s="39" t="str">
        <f>IF(ISERROR(FIND('112'!$M$9,G2198,1)),"",IF((AND(FIND('112'!$M$9,G2198,1)&gt;=1,$B2198&gt;='112'!$N$8,$B2198&lt;='112'!$O$8,OR($L2198='112'!$I$6,$M2198='112'!$I$6))),"x",""))</f>
        <v/>
      </c>
      <c r="T2198" s="39" t="str">
        <f>IF(ISERROR(FIND('112'!$M$9,G2198,1)),"",IF((AND(LEFT(G2198,2)=LEFT('112'!$M$9,2),B2198&lt;'112'!$N$8,$L2198='112'!$I$6)),"x",""))</f>
        <v/>
      </c>
      <c r="U2198" s="39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39" t="str">
        <f>IF(OR(TH!L2198=TH!$W$7,M2198=TH!$W$7),"x","")</f>
        <v/>
      </c>
      <c r="X2198" s="39" t="str">
        <f>IF(AND(B2198&gt;='IN-NX'!$P$3,B2198&lt;='IN-NX'!$Q$3,'IN-NX'!$D$7=D2198,OR(LEFT(L2198,2)="15",AND(LEFT(M2198,2)&lt;&gt;"15",LEFT(M2198,2)&lt;&gt;"33"))),"x","")</f>
        <v/>
      </c>
      <c r="Y2198" s="39" t="str">
        <f>IF(AND(OR(LEFT(TH!L2198,2)="15",LEFT(TH!M2198,2)="15"),'152-CT'!$J$8=TH!F2198),"x","")</f>
        <v/>
      </c>
      <c r="Z2198" s="39" t="str">
        <f>IF(AND(OR(LEFT(TH!L2198,2)="15",LEFT(TH!M2198,2)="15"),TK!$E$7=TH!F2198),"x","")</f>
        <v/>
      </c>
      <c r="AA2198" s="39" t="str">
        <f>IF(AND(B2198&lt;=NKC!$N$8,B2198&gt;=NKC!$M$8),"x","")</f>
        <v/>
      </c>
      <c r="AB2198" s="821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 t="str">
        <f t="shared" si="106"/>
        <v/>
      </c>
      <c r="C2199" s="191"/>
      <c r="D2199" s="37"/>
      <c r="E2199" s="731"/>
      <c r="F2199" s="192"/>
      <c r="G2199" s="468"/>
      <c r="H2199" s="193"/>
      <c r="I2199" s="256"/>
      <c r="J2199" s="256"/>
      <c r="K2199" s="56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902" t="str">
        <f>IF(AND('341-CT'!$E$9=H2199,OR(LEFT(L2199,3)=$O$7,LEFT(M2199,3)=$O$7)),"x","")</f>
        <v/>
      </c>
      <c r="P2199" s="39" t="str">
        <f>IF(AND($B2199&gt;='111'!$N$11,$B2199&lt;='111'!$O$11,OR($L2199=$P$7,$M2199=$P$7)),"x","")</f>
        <v/>
      </c>
      <c r="Q2199" s="39" t="str">
        <f>IF(AND($L2199=$P$7,$B2199&lt;'111'!$N$11),"x","")</f>
        <v/>
      </c>
      <c r="R2199" s="39" t="str">
        <f>IF(AND($M2199=$P$7,$B2199&lt;'111'!$N$11),"x","")</f>
        <v/>
      </c>
      <c r="S2199" s="39" t="str">
        <f>IF(ISERROR(FIND('112'!$M$9,G2199,1)),"",IF((AND(FIND('112'!$M$9,G2199,1)&gt;=1,$B2199&gt;='112'!$N$8,$B2199&lt;='112'!$O$8,OR($L2199='112'!$I$6,$M2199='112'!$I$6))),"x",""))</f>
        <v/>
      </c>
      <c r="T2199" s="39" t="str">
        <f>IF(ISERROR(FIND('112'!$M$9,G2199,1)),"",IF((AND(LEFT(G2199,2)=LEFT('112'!$M$9,2),B2199&lt;'112'!$N$8,$L2199='112'!$I$6)),"x",""))</f>
        <v/>
      </c>
      <c r="U2199" s="39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39" t="str">
        <f>IF(OR(TH!L2199=TH!$W$7,M2199=TH!$W$7),"x","")</f>
        <v/>
      </c>
      <c r="X2199" s="39" t="str">
        <f>IF(AND(B2199&gt;='IN-NX'!$P$3,B2199&lt;='IN-NX'!$Q$3,'IN-NX'!$D$7=D2199,OR(LEFT(L2199,2)="15",AND(LEFT(M2199,2)&lt;&gt;"15",LEFT(M2199,2)&lt;&gt;"33"))),"x","")</f>
        <v/>
      </c>
      <c r="Y2199" s="39" t="str">
        <f>IF(AND(OR(LEFT(TH!L2199,2)="15",LEFT(TH!M2199,2)="15"),'152-CT'!$J$8=TH!F2199),"x","")</f>
        <v/>
      </c>
      <c r="Z2199" s="39" t="str">
        <f>IF(AND(OR(LEFT(TH!L2199,2)="15",LEFT(TH!M2199,2)="15"),TK!$E$7=TH!F2199),"x","")</f>
        <v/>
      </c>
      <c r="AA2199" s="39" t="str">
        <f>IF(AND(B2199&lt;=NKC!$N$8,B2199&gt;=NKC!$M$8),"x","")</f>
        <v/>
      </c>
      <c r="AB2199" s="821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 t="str">
        <f t="shared" si="106"/>
        <v/>
      </c>
      <c r="C2200" s="191"/>
      <c r="D2200" s="37"/>
      <c r="E2200" s="731"/>
      <c r="F2200" s="192"/>
      <c r="G2200" s="468"/>
      <c r="H2200" s="193"/>
      <c r="I2200" s="256"/>
      <c r="J2200" s="256"/>
      <c r="K2200" s="56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902" t="str">
        <f>IF(AND('341-CT'!$E$9=H2200,OR(LEFT(L2200,3)=$O$7,LEFT(M2200,3)=$O$7)),"x","")</f>
        <v/>
      </c>
      <c r="P2200" s="39" t="str">
        <f>IF(AND($B2200&gt;='111'!$N$11,$B2200&lt;='111'!$O$11,OR($L2200=$P$7,$M2200=$P$7)),"x","")</f>
        <v/>
      </c>
      <c r="Q2200" s="39" t="str">
        <f>IF(AND($L2200=$P$7,$B2200&lt;'111'!$N$11),"x","")</f>
        <v/>
      </c>
      <c r="R2200" s="39" t="str">
        <f>IF(AND($M2200=$P$7,$B2200&lt;'111'!$N$11),"x","")</f>
        <v/>
      </c>
      <c r="S2200" s="39" t="str">
        <f>IF(ISERROR(FIND('112'!$M$9,G2200,1)),"",IF((AND(FIND('112'!$M$9,G2200,1)&gt;=1,$B2200&gt;='112'!$N$8,$B2200&lt;='112'!$O$8,OR($L2200='112'!$I$6,$M2200='112'!$I$6))),"x",""))</f>
        <v/>
      </c>
      <c r="T2200" s="39" t="str">
        <f>IF(ISERROR(FIND('112'!$M$9,G2200,1)),"",IF((AND(LEFT(G2200,2)=LEFT('112'!$M$9,2),B2200&lt;'112'!$N$8,$L2200='112'!$I$6)),"x",""))</f>
        <v/>
      </c>
      <c r="U2200" s="39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39" t="str">
        <f>IF(OR(TH!L2200=TH!$W$7,M2200=TH!$W$7),"x","")</f>
        <v/>
      </c>
      <c r="X2200" s="39" t="str">
        <f>IF(AND(B2200&gt;='IN-NX'!$P$3,B2200&lt;='IN-NX'!$Q$3,'IN-NX'!$D$7=D2200,OR(LEFT(L2200,2)="15",AND(LEFT(M2200,2)&lt;&gt;"15",LEFT(M2200,2)&lt;&gt;"33"))),"x","")</f>
        <v/>
      </c>
      <c r="Y2200" s="39" t="str">
        <f>IF(AND(OR(LEFT(TH!L2200,2)="15",LEFT(TH!M2200,2)="15"),'152-CT'!$J$8=TH!F2200),"x","")</f>
        <v/>
      </c>
      <c r="Z2200" s="39" t="str">
        <f>IF(AND(OR(LEFT(TH!L2200,2)="15",LEFT(TH!M2200,2)="15"),TK!$E$7=TH!F2200),"x","")</f>
        <v/>
      </c>
      <c r="AA2200" s="39" t="str">
        <f>IF(AND(B2200&lt;=NKC!$N$8,B2200&gt;=NKC!$M$8),"x","")</f>
        <v/>
      </c>
      <c r="AB2200" s="821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 t="str">
        <f t="shared" si="106"/>
        <v/>
      </c>
      <c r="C2201" s="191"/>
      <c r="D2201" s="37"/>
      <c r="E2201" s="731"/>
      <c r="F2201" s="192"/>
      <c r="G2201" s="468"/>
      <c r="H2201" s="193"/>
      <c r="I2201" s="256"/>
      <c r="J2201" s="256"/>
      <c r="K2201" s="56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902" t="str">
        <f>IF(AND('341-CT'!$E$9=H2201,OR(LEFT(L2201,3)=$O$7,LEFT(M2201,3)=$O$7)),"x","")</f>
        <v/>
      </c>
      <c r="P2201" s="39" t="str">
        <f>IF(AND($B2201&gt;='111'!$N$11,$B2201&lt;='111'!$O$11,OR($L2201=$P$7,$M2201=$P$7)),"x","")</f>
        <v/>
      </c>
      <c r="Q2201" s="39" t="str">
        <f>IF(AND($L2201=$P$7,$B2201&lt;'111'!$N$11),"x","")</f>
        <v/>
      </c>
      <c r="R2201" s="39" t="str">
        <f>IF(AND($M2201=$P$7,$B2201&lt;'111'!$N$11),"x","")</f>
        <v/>
      </c>
      <c r="S2201" s="39" t="str">
        <f>IF(ISERROR(FIND('112'!$M$9,G2201,1)),"",IF((AND(FIND('112'!$M$9,G2201,1)&gt;=1,$B2201&gt;='112'!$N$8,$B2201&lt;='112'!$O$8,OR($L2201='112'!$I$6,$M2201='112'!$I$6))),"x",""))</f>
        <v/>
      </c>
      <c r="T2201" s="39" t="str">
        <f>IF(ISERROR(FIND('112'!$M$9,G2201,1)),"",IF((AND(LEFT(G2201,2)=LEFT('112'!$M$9,2),B2201&lt;'112'!$N$8,$L2201='112'!$I$6)),"x",""))</f>
        <v/>
      </c>
      <c r="U2201" s="39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39" t="str">
        <f>IF(OR(TH!L2201=TH!$W$7,M2201=TH!$W$7),"x","")</f>
        <v/>
      </c>
      <c r="X2201" s="39" t="str">
        <f>IF(AND(B2201&gt;='IN-NX'!$P$3,B2201&lt;='IN-NX'!$Q$3,'IN-NX'!$D$7=D2201,OR(LEFT(L2201,2)="15",AND(LEFT(M2201,2)&lt;&gt;"15",LEFT(M2201,2)&lt;&gt;"33"))),"x","")</f>
        <v/>
      </c>
      <c r="Y2201" s="39" t="str">
        <f>IF(AND(OR(LEFT(TH!L2201,2)="15",LEFT(TH!M2201,2)="15"),'152-CT'!$J$8=TH!F2201),"x","")</f>
        <v/>
      </c>
      <c r="Z2201" s="39" t="str">
        <f>IF(AND(OR(LEFT(TH!L2201,2)="15",LEFT(TH!M2201,2)="15"),TK!$E$7=TH!F2201),"x","")</f>
        <v/>
      </c>
      <c r="AA2201" s="39" t="str">
        <f>IF(AND(B2201&lt;=NKC!$N$8,B2201&gt;=NKC!$M$8),"x","")</f>
        <v/>
      </c>
      <c r="AB2201" s="821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 t="str">
        <f t="shared" si="106"/>
        <v/>
      </c>
      <c r="C2202" s="191"/>
      <c r="D2202" s="37"/>
      <c r="E2202" s="731"/>
      <c r="F2202" s="192"/>
      <c r="G2202" s="468"/>
      <c r="H2202" s="193"/>
      <c r="I2202" s="256"/>
      <c r="J2202" s="256"/>
      <c r="K2202" s="56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902" t="str">
        <f>IF(AND('341-CT'!$E$9=H2202,OR(LEFT(L2202,3)=$O$7,LEFT(M2202,3)=$O$7)),"x","")</f>
        <v/>
      </c>
      <c r="P2202" s="39" t="str">
        <f>IF(AND($B2202&gt;='111'!$N$11,$B2202&lt;='111'!$O$11,OR($L2202=$P$7,$M2202=$P$7)),"x","")</f>
        <v/>
      </c>
      <c r="Q2202" s="39" t="str">
        <f>IF(AND($L2202=$P$7,$B2202&lt;'111'!$N$11),"x","")</f>
        <v/>
      </c>
      <c r="R2202" s="39" t="str">
        <f>IF(AND($M2202=$P$7,$B2202&lt;'111'!$N$11),"x","")</f>
        <v/>
      </c>
      <c r="S2202" s="39" t="str">
        <f>IF(ISERROR(FIND('112'!$M$9,G2202,1)),"",IF((AND(FIND('112'!$M$9,G2202,1)&gt;=1,$B2202&gt;='112'!$N$8,$B2202&lt;='112'!$O$8,OR($L2202='112'!$I$6,$M2202='112'!$I$6))),"x",""))</f>
        <v/>
      </c>
      <c r="T2202" s="39" t="str">
        <f>IF(ISERROR(FIND('112'!$M$9,G2202,1)),"",IF((AND(LEFT(G2202,2)=LEFT('112'!$M$9,2),B2202&lt;'112'!$N$8,$L2202='112'!$I$6)),"x",""))</f>
        <v/>
      </c>
      <c r="U2202" s="39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39" t="str">
        <f>IF(OR(TH!L2202=TH!$W$7,M2202=TH!$W$7),"x","")</f>
        <v/>
      </c>
      <c r="X2202" s="39" t="str">
        <f>IF(AND(B2202&gt;='IN-NX'!$P$3,B2202&lt;='IN-NX'!$Q$3,'IN-NX'!$D$7=D2202,OR(LEFT(L2202,2)="15",AND(LEFT(M2202,2)&lt;&gt;"15",LEFT(M2202,2)&lt;&gt;"33"))),"x","")</f>
        <v/>
      </c>
      <c r="Y2202" s="39" t="str">
        <f>IF(AND(OR(LEFT(TH!L2202,2)="15",LEFT(TH!M2202,2)="15"),'152-CT'!$J$8=TH!F2202),"x","")</f>
        <v/>
      </c>
      <c r="Z2202" s="39" t="str">
        <f>IF(AND(OR(LEFT(TH!L2202,2)="15",LEFT(TH!M2202,2)="15"),TK!$E$7=TH!F2202),"x","")</f>
        <v/>
      </c>
      <c r="AA2202" s="39" t="str">
        <f>IF(AND(B2202&lt;=NKC!$N$8,B2202&gt;=NKC!$M$8),"x","")</f>
        <v/>
      </c>
      <c r="AB2202" s="821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 t="str">
        <f t="shared" si="106"/>
        <v/>
      </c>
      <c r="C2203" s="191"/>
      <c r="D2203" s="37"/>
      <c r="E2203" s="731"/>
      <c r="F2203" s="192"/>
      <c r="G2203" s="468"/>
      <c r="H2203" s="193"/>
      <c r="I2203" s="256"/>
      <c r="J2203" s="256"/>
      <c r="K2203" s="56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902" t="str">
        <f>IF(AND('341-CT'!$E$9=H2203,OR(LEFT(L2203,3)=$O$7,LEFT(M2203,3)=$O$7)),"x","")</f>
        <v/>
      </c>
      <c r="P2203" s="39" t="str">
        <f>IF(AND($B2203&gt;='111'!$N$11,$B2203&lt;='111'!$O$11,OR($L2203=$P$7,$M2203=$P$7)),"x","")</f>
        <v/>
      </c>
      <c r="Q2203" s="39" t="str">
        <f>IF(AND($L2203=$P$7,$B2203&lt;'111'!$N$11),"x","")</f>
        <v/>
      </c>
      <c r="R2203" s="39" t="str">
        <f>IF(AND($M2203=$P$7,$B2203&lt;'111'!$N$11),"x","")</f>
        <v/>
      </c>
      <c r="S2203" s="39" t="str">
        <f>IF(ISERROR(FIND('112'!$M$9,G2203,1)),"",IF((AND(FIND('112'!$M$9,G2203,1)&gt;=1,$B2203&gt;='112'!$N$8,$B2203&lt;='112'!$O$8,OR($L2203='112'!$I$6,$M2203='112'!$I$6))),"x",""))</f>
        <v/>
      </c>
      <c r="T2203" s="39" t="str">
        <f>IF(ISERROR(FIND('112'!$M$9,G2203,1)),"",IF((AND(LEFT(G2203,2)=LEFT('112'!$M$9,2),B2203&lt;'112'!$N$8,$L2203='112'!$I$6)),"x",""))</f>
        <v/>
      </c>
      <c r="U2203" s="39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39" t="str">
        <f>IF(OR(TH!L2203=TH!$W$7,M2203=TH!$W$7),"x","")</f>
        <v/>
      </c>
      <c r="X2203" s="39" t="str">
        <f>IF(AND(B2203&gt;='IN-NX'!$P$3,B2203&lt;='IN-NX'!$Q$3,'IN-NX'!$D$7=D2203,OR(LEFT(L2203,2)="15",AND(LEFT(M2203,2)&lt;&gt;"15",LEFT(M2203,2)&lt;&gt;"33"))),"x","")</f>
        <v/>
      </c>
      <c r="Y2203" s="39" t="str">
        <f>IF(AND(OR(LEFT(TH!L2203,2)="15",LEFT(TH!M2203,2)="15"),'152-CT'!$J$8=TH!F2203),"x","")</f>
        <v/>
      </c>
      <c r="Z2203" s="39" t="str">
        <f>IF(AND(OR(LEFT(TH!L2203,2)="15",LEFT(TH!M2203,2)="15"),TK!$E$7=TH!F2203),"x","")</f>
        <v/>
      </c>
      <c r="AA2203" s="39" t="str">
        <f>IF(AND(B2203&lt;=NKC!$N$8,B2203&gt;=NKC!$M$8),"x","")</f>
        <v/>
      </c>
      <c r="AB2203" s="821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 t="str">
        <f t="shared" si="106"/>
        <v/>
      </c>
      <c r="C2204" s="191"/>
      <c r="D2204" s="37"/>
      <c r="E2204" s="731"/>
      <c r="F2204" s="192"/>
      <c r="G2204" s="468"/>
      <c r="H2204" s="193"/>
      <c r="I2204" s="256"/>
      <c r="J2204" s="256"/>
      <c r="K2204" s="56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902" t="str">
        <f>IF(AND('341-CT'!$E$9=H2204,OR(LEFT(L2204,3)=$O$7,LEFT(M2204,3)=$O$7)),"x","")</f>
        <v/>
      </c>
      <c r="P2204" s="39" t="str">
        <f>IF(AND($B2204&gt;='111'!$N$11,$B2204&lt;='111'!$O$11,OR($L2204=$P$7,$M2204=$P$7)),"x","")</f>
        <v/>
      </c>
      <c r="Q2204" s="39" t="str">
        <f>IF(AND($L2204=$P$7,$B2204&lt;'111'!$N$11),"x","")</f>
        <v/>
      </c>
      <c r="R2204" s="39" t="str">
        <f>IF(AND($M2204=$P$7,$B2204&lt;'111'!$N$11),"x","")</f>
        <v/>
      </c>
      <c r="S2204" s="39" t="str">
        <f>IF(ISERROR(FIND('112'!$M$9,G2204,1)),"",IF((AND(FIND('112'!$M$9,G2204,1)&gt;=1,$B2204&gt;='112'!$N$8,$B2204&lt;='112'!$O$8,OR($L2204='112'!$I$6,$M2204='112'!$I$6))),"x",""))</f>
        <v/>
      </c>
      <c r="T2204" s="39" t="str">
        <f>IF(ISERROR(FIND('112'!$M$9,G2204,1)),"",IF((AND(LEFT(G2204,2)=LEFT('112'!$M$9,2),B2204&lt;'112'!$N$8,$L2204='112'!$I$6)),"x",""))</f>
        <v/>
      </c>
      <c r="U2204" s="39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39" t="str">
        <f>IF(OR(TH!L2204=TH!$W$7,M2204=TH!$W$7),"x","")</f>
        <v/>
      </c>
      <c r="X2204" s="39" t="str">
        <f>IF(AND(B2204&gt;='IN-NX'!$P$3,B2204&lt;='IN-NX'!$Q$3,'IN-NX'!$D$7=D2204,OR(LEFT(L2204,2)="15",AND(LEFT(M2204,2)&lt;&gt;"15",LEFT(M2204,2)&lt;&gt;"33"))),"x","")</f>
        <v/>
      </c>
      <c r="Y2204" s="39" t="str">
        <f>IF(AND(OR(LEFT(TH!L2204,2)="15",LEFT(TH!M2204,2)="15"),'152-CT'!$J$8=TH!F2204),"x","")</f>
        <v/>
      </c>
      <c r="Z2204" s="39" t="str">
        <f>IF(AND(OR(LEFT(TH!L2204,2)="15",LEFT(TH!M2204,2)="15"),TK!$E$7=TH!F2204),"x","")</f>
        <v/>
      </c>
      <c r="AA2204" s="39" t="str">
        <f>IF(AND(B2204&lt;=NKC!$N$8,B2204&gt;=NKC!$M$8),"x","")</f>
        <v/>
      </c>
      <c r="AB2204" s="821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 t="str">
        <f t="shared" si="106"/>
        <v/>
      </c>
      <c r="C2205" s="191"/>
      <c r="D2205" s="191"/>
      <c r="E2205" s="731"/>
      <c r="F2205" s="189"/>
      <c r="G2205" s="40"/>
      <c r="H2205" s="7"/>
      <c r="I2205" s="256"/>
      <c r="J2205" s="256"/>
      <c r="K2205" s="56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902" t="str">
        <f>IF(AND('341-CT'!$E$9=H2205,OR(LEFT(L2205,3)=$O$7,LEFT(M2205,3)=$O$7)),"x","")</f>
        <v/>
      </c>
      <c r="P2205" s="39" t="str">
        <f>IF(AND($B2205&gt;='111'!$N$11,$B2205&lt;='111'!$O$11,OR($L2205=$P$7,$M2205=$P$7)),"x","")</f>
        <v/>
      </c>
      <c r="Q2205" s="39" t="str">
        <f>IF(AND($L2205=$P$7,$B2205&lt;'111'!$N$11),"x","")</f>
        <v/>
      </c>
      <c r="R2205" s="39" t="str">
        <f>IF(AND($M2205=$P$7,$B2205&lt;'111'!$N$11),"x","")</f>
        <v/>
      </c>
      <c r="S2205" s="39" t="str">
        <f>IF(ISERROR(FIND('112'!$M$9,G2205,1)),"",IF((AND(FIND('112'!$M$9,G2205,1)&gt;=1,$B2205&gt;='112'!$N$8,$B2205&lt;='112'!$O$8,OR($L2205='112'!$I$6,$M2205='112'!$I$6))),"x",""))</f>
        <v/>
      </c>
      <c r="T2205" s="39" t="str">
        <f>IF(ISERROR(FIND('112'!$M$9,G2205,1)),"",IF((AND(LEFT(G2205,2)=LEFT('112'!$M$9,2),B2205&lt;'112'!$N$8,$L2205='112'!$I$6)),"x",""))</f>
        <v/>
      </c>
      <c r="U2205" s="39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39" t="str">
        <f>IF(OR(TH!L2205=TH!$W$7,M2205=TH!$W$7),"x","")</f>
        <v/>
      </c>
      <c r="X2205" s="39" t="str">
        <f>IF(AND(B2205&gt;='IN-NX'!$P$3,B2205&lt;='IN-NX'!$Q$3,'IN-NX'!$D$7=D2205,OR(LEFT(L2205,2)="15",AND(LEFT(M2205,2)&lt;&gt;"15",LEFT(M2205,2)&lt;&gt;"33"))),"x","")</f>
        <v/>
      </c>
      <c r="Y2205" s="39" t="str">
        <f>IF(AND(OR(LEFT(TH!L2205,2)="15",LEFT(TH!M2205,2)="15"),'152-CT'!$J$8=TH!F2205),"x","")</f>
        <v/>
      </c>
      <c r="Z2205" s="39" t="str">
        <f>IF(AND(OR(LEFT(TH!L2205,2)="15",LEFT(TH!M2205,2)="15"),TK!$E$7=TH!F2205),"x","")</f>
        <v/>
      </c>
      <c r="AA2205" s="39" t="str">
        <f>IF(AND(B2205&lt;=NKC!$N$8,B2205&gt;=NKC!$M$8),"x","")</f>
        <v/>
      </c>
      <c r="AB2205" s="821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 t="str">
        <f t="shared" si="106"/>
        <v/>
      </c>
      <c r="C2206" s="191"/>
      <c r="D2206" s="191"/>
      <c r="E2206" s="731"/>
      <c r="F2206" s="189"/>
      <c r="G2206" s="40"/>
      <c r="H2206" s="7"/>
      <c r="I2206" s="256"/>
      <c r="J2206" s="256"/>
      <c r="K2206" s="56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902" t="str">
        <f>IF(AND('341-CT'!$E$9=H2206,OR(LEFT(L2206,3)=$O$7,LEFT(M2206,3)=$O$7)),"x","")</f>
        <v/>
      </c>
      <c r="P2206" s="39" t="str">
        <f>IF(AND($B2206&gt;='111'!$N$11,$B2206&lt;='111'!$O$11,OR($L2206=$P$7,$M2206=$P$7)),"x","")</f>
        <v/>
      </c>
      <c r="Q2206" s="39" t="str">
        <f>IF(AND($L2206=$P$7,$B2206&lt;'111'!$N$11),"x","")</f>
        <v/>
      </c>
      <c r="R2206" s="39" t="str">
        <f>IF(AND($M2206=$P$7,$B2206&lt;'111'!$N$11),"x","")</f>
        <v/>
      </c>
      <c r="S2206" s="39" t="str">
        <f>IF(ISERROR(FIND('112'!$M$9,G2206,1)),"",IF((AND(FIND('112'!$M$9,G2206,1)&gt;=1,$B2206&gt;='112'!$N$8,$B2206&lt;='112'!$O$8,OR($L2206='112'!$I$6,$M2206='112'!$I$6))),"x",""))</f>
        <v/>
      </c>
      <c r="T2206" s="39" t="str">
        <f>IF(ISERROR(FIND('112'!$M$9,G2206,1)),"",IF((AND(LEFT(G2206,2)=LEFT('112'!$M$9,2),B2206&lt;'112'!$N$8,$L2206='112'!$I$6)),"x",""))</f>
        <v/>
      </c>
      <c r="U2206" s="39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39" t="str">
        <f>IF(OR(TH!L2206=TH!$W$7,M2206=TH!$W$7),"x","")</f>
        <v/>
      </c>
      <c r="X2206" s="39" t="str">
        <f>IF(AND(B2206&gt;='IN-NX'!$P$3,B2206&lt;='IN-NX'!$Q$3,'IN-NX'!$D$7=D2206,OR(LEFT(L2206,2)="15",AND(LEFT(M2206,2)&lt;&gt;"15",LEFT(M2206,2)&lt;&gt;"33"))),"x","")</f>
        <v/>
      </c>
      <c r="Y2206" s="39" t="str">
        <f>IF(AND(OR(LEFT(TH!L2206,2)="15",LEFT(TH!M2206,2)="15"),'152-CT'!$J$8=TH!F2206),"x","")</f>
        <v/>
      </c>
      <c r="Z2206" s="39" t="str">
        <f>IF(AND(OR(LEFT(TH!L2206,2)="15",LEFT(TH!M2206,2)="15"),TK!$E$7=TH!F2206),"x","")</f>
        <v/>
      </c>
      <c r="AA2206" s="39" t="str">
        <f>IF(AND(B2206&lt;=NKC!$N$8,B2206&gt;=NKC!$M$8),"x","")</f>
        <v/>
      </c>
      <c r="AB2206" s="821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 t="str">
        <f t="shared" si="106"/>
        <v/>
      </c>
      <c r="C2207" s="191"/>
      <c r="D2207" s="191"/>
      <c r="E2207" s="731"/>
      <c r="F2207" s="189"/>
      <c r="G2207" s="40"/>
      <c r="H2207" s="7"/>
      <c r="I2207" s="256"/>
      <c r="J2207" s="256"/>
      <c r="K2207" s="56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902" t="str">
        <f>IF(AND('341-CT'!$E$9=H2207,OR(LEFT(L2207,3)=$O$7,LEFT(M2207,3)=$O$7)),"x","")</f>
        <v/>
      </c>
      <c r="P2207" s="39" t="str">
        <f>IF(AND($B2207&gt;='111'!$N$11,$B2207&lt;='111'!$O$11,OR($L2207=$P$7,$M2207=$P$7)),"x","")</f>
        <v/>
      </c>
      <c r="Q2207" s="39" t="str">
        <f>IF(AND($L2207=$P$7,$B2207&lt;'111'!$N$11),"x","")</f>
        <v/>
      </c>
      <c r="R2207" s="39" t="str">
        <f>IF(AND($M2207=$P$7,$B2207&lt;'111'!$N$11),"x","")</f>
        <v/>
      </c>
      <c r="S2207" s="39" t="str">
        <f>IF(ISERROR(FIND('112'!$M$9,G2207,1)),"",IF((AND(FIND('112'!$M$9,G2207,1)&gt;=1,$B2207&gt;='112'!$N$8,$B2207&lt;='112'!$O$8,OR($L2207='112'!$I$6,$M2207='112'!$I$6))),"x",""))</f>
        <v/>
      </c>
      <c r="T2207" s="39" t="str">
        <f>IF(ISERROR(FIND('112'!$M$9,G2207,1)),"",IF((AND(LEFT(G2207,2)=LEFT('112'!$M$9,2),B2207&lt;'112'!$N$8,$L2207='112'!$I$6)),"x",""))</f>
        <v/>
      </c>
      <c r="U2207" s="39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39" t="str">
        <f>IF(OR(TH!L2207=TH!$W$7,M2207=TH!$W$7),"x","")</f>
        <v/>
      </c>
      <c r="X2207" s="39" t="str">
        <f>IF(AND(B2207&gt;='IN-NX'!$P$3,B2207&lt;='IN-NX'!$Q$3,'IN-NX'!$D$7=D2207,OR(LEFT(L2207,2)="15",AND(LEFT(M2207,2)&lt;&gt;"15",LEFT(M2207,2)&lt;&gt;"33"))),"x","")</f>
        <v/>
      </c>
      <c r="Y2207" s="39" t="str">
        <f>IF(AND(OR(LEFT(TH!L2207,2)="15",LEFT(TH!M2207,2)="15"),'152-CT'!$J$8=TH!F2207),"x","")</f>
        <v/>
      </c>
      <c r="Z2207" s="39" t="str">
        <f>IF(AND(OR(LEFT(TH!L2207,2)="15",LEFT(TH!M2207,2)="15"),TK!$E$7=TH!F2207),"x","")</f>
        <v/>
      </c>
      <c r="AA2207" s="39" t="str">
        <f>IF(AND(B2207&lt;=NKC!$N$8,B2207&gt;=NKC!$M$8),"x","")</f>
        <v/>
      </c>
      <c r="AB2207" s="821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 t="str">
        <f t="shared" si="106"/>
        <v/>
      </c>
      <c r="C2208" s="191"/>
      <c r="D2208" s="191"/>
      <c r="E2208" s="731"/>
      <c r="F2208" s="189"/>
      <c r="G2208" s="40"/>
      <c r="H2208" s="7"/>
      <c r="I2208" s="256"/>
      <c r="J2208" s="256"/>
      <c r="K2208" s="56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902" t="str">
        <f>IF(AND('341-CT'!$E$9=H2208,OR(LEFT(L2208,3)=$O$7,LEFT(M2208,3)=$O$7)),"x","")</f>
        <v/>
      </c>
      <c r="P2208" s="39" t="str">
        <f>IF(AND($B2208&gt;='111'!$N$11,$B2208&lt;='111'!$O$11,OR($L2208=$P$7,$M2208=$P$7)),"x","")</f>
        <v/>
      </c>
      <c r="Q2208" s="39" t="str">
        <f>IF(AND($L2208=$P$7,$B2208&lt;'111'!$N$11),"x","")</f>
        <v/>
      </c>
      <c r="R2208" s="39" t="str">
        <f>IF(AND($M2208=$P$7,$B2208&lt;'111'!$N$11),"x","")</f>
        <v/>
      </c>
      <c r="S2208" s="39" t="str">
        <f>IF(ISERROR(FIND('112'!$M$9,G2208,1)),"",IF((AND(FIND('112'!$M$9,G2208,1)&gt;=1,$B2208&gt;='112'!$N$8,$B2208&lt;='112'!$O$8,OR($L2208='112'!$I$6,$M2208='112'!$I$6))),"x",""))</f>
        <v/>
      </c>
      <c r="T2208" s="39" t="str">
        <f>IF(ISERROR(FIND('112'!$M$9,G2208,1)),"",IF((AND(LEFT(G2208,2)=LEFT('112'!$M$9,2),B2208&lt;'112'!$N$8,$L2208='112'!$I$6)),"x",""))</f>
        <v/>
      </c>
      <c r="U2208" s="39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39" t="str">
        <f>IF(OR(TH!L2208=TH!$W$7,M2208=TH!$W$7),"x","")</f>
        <v/>
      </c>
      <c r="X2208" s="39" t="str">
        <f>IF(AND(B2208&gt;='IN-NX'!$P$3,B2208&lt;='IN-NX'!$Q$3,'IN-NX'!$D$7=D2208,OR(LEFT(L2208,2)="15",AND(LEFT(M2208,2)&lt;&gt;"15",LEFT(M2208,2)&lt;&gt;"33"))),"x","")</f>
        <v/>
      </c>
      <c r="Y2208" s="39" t="str">
        <f>IF(AND(OR(LEFT(TH!L2208,2)="15",LEFT(TH!M2208,2)="15"),'152-CT'!$J$8=TH!F2208),"x","")</f>
        <v/>
      </c>
      <c r="Z2208" s="39" t="str">
        <f>IF(AND(OR(LEFT(TH!L2208,2)="15",LEFT(TH!M2208,2)="15"),TK!$E$7=TH!F2208),"x","")</f>
        <v/>
      </c>
      <c r="AA2208" s="39" t="str">
        <f>IF(AND(B2208&lt;=NKC!$N$8,B2208&gt;=NKC!$M$8),"x","")</f>
        <v/>
      </c>
      <c r="AB2208" s="821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 t="str">
        <f t="shared" si="106"/>
        <v/>
      </c>
      <c r="C2209" s="191"/>
      <c r="D2209" s="191"/>
      <c r="E2209" s="731"/>
      <c r="F2209" s="189"/>
      <c r="G2209" s="40"/>
      <c r="H2209" s="7"/>
      <c r="I2209" s="256"/>
      <c r="J2209" s="256"/>
      <c r="K2209" s="56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902" t="str">
        <f>IF(AND('341-CT'!$E$9=H2209,OR(LEFT(L2209,3)=$O$7,LEFT(M2209,3)=$O$7)),"x","")</f>
        <v/>
      </c>
      <c r="P2209" s="39" t="str">
        <f>IF(AND($B2209&gt;='111'!$N$11,$B2209&lt;='111'!$O$11,OR($L2209=$P$7,$M2209=$P$7)),"x","")</f>
        <v/>
      </c>
      <c r="Q2209" s="39" t="str">
        <f>IF(AND($L2209=$P$7,$B2209&lt;'111'!$N$11),"x","")</f>
        <v/>
      </c>
      <c r="R2209" s="39" t="str">
        <f>IF(AND($M2209=$P$7,$B2209&lt;'111'!$N$11),"x","")</f>
        <v/>
      </c>
      <c r="S2209" s="39" t="str">
        <f>IF(ISERROR(FIND('112'!$M$9,G2209,1)),"",IF((AND(FIND('112'!$M$9,G2209,1)&gt;=1,$B2209&gt;='112'!$N$8,$B2209&lt;='112'!$O$8,OR($L2209='112'!$I$6,$M2209='112'!$I$6))),"x",""))</f>
        <v/>
      </c>
      <c r="T2209" s="39" t="str">
        <f>IF(ISERROR(FIND('112'!$M$9,G2209,1)),"",IF((AND(LEFT(G2209,2)=LEFT('112'!$M$9,2),B2209&lt;'112'!$N$8,$L2209='112'!$I$6)),"x",""))</f>
        <v/>
      </c>
      <c r="U2209" s="39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39" t="str">
        <f>IF(OR(TH!L2209=TH!$W$7,M2209=TH!$W$7),"x","")</f>
        <v/>
      </c>
      <c r="X2209" s="39" t="str">
        <f>IF(AND(B2209&gt;='IN-NX'!$P$3,B2209&lt;='IN-NX'!$Q$3,'IN-NX'!$D$7=D2209,OR(LEFT(L2209,2)="15",AND(LEFT(M2209,2)&lt;&gt;"15",LEFT(M2209,2)&lt;&gt;"33"))),"x","")</f>
        <v/>
      </c>
      <c r="Y2209" s="39" t="str">
        <f>IF(AND(OR(LEFT(TH!L2209,2)="15",LEFT(TH!M2209,2)="15"),'152-CT'!$J$8=TH!F2209),"x","")</f>
        <v/>
      </c>
      <c r="Z2209" s="39" t="str">
        <f>IF(AND(OR(LEFT(TH!L2209,2)="15",LEFT(TH!M2209,2)="15"),TK!$E$7=TH!F2209),"x","")</f>
        <v/>
      </c>
      <c r="AA2209" s="39" t="str">
        <f>IF(AND(B2209&lt;=NKC!$N$8,B2209&gt;=NKC!$M$8),"x","")</f>
        <v/>
      </c>
      <c r="AB2209" s="821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106"/>
        <v/>
      </c>
      <c r="C2210" s="191"/>
      <c r="D2210" s="191"/>
      <c r="E2210" s="731"/>
      <c r="F2210" s="189"/>
      <c r="G2210" s="40"/>
      <c r="H2210" s="7"/>
      <c r="I2210" s="256"/>
      <c r="J2210" s="256"/>
      <c r="K2210" s="56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902" t="str">
        <f>IF(AND('341-CT'!$E$9=H2210,OR(LEFT(L2210,3)=$O$7,LEFT(M2210,3)=$O$7)),"x","")</f>
        <v/>
      </c>
      <c r="P2210" s="39" t="str">
        <f>IF(AND($B2210&gt;='111'!$N$11,$B2210&lt;='111'!$O$11,OR($L2210=$P$7,$M2210=$P$7)),"x","")</f>
        <v/>
      </c>
      <c r="Q2210" s="39" t="str">
        <f>IF(AND($L2210=$P$7,$B2210&lt;'111'!$N$11),"x","")</f>
        <v/>
      </c>
      <c r="R2210" s="39" t="str">
        <f>IF(AND($M2210=$P$7,$B2210&lt;'111'!$N$11),"x","")</f>
        <v/>
      </c>
      <c r="S2210" s="39" t="str">
        <f>IF(ISERROR(FIND('112'!$M$9,G2210,1)),"",IF((AND(FIND('112'!$M$9,G2210,1)&gt;=1,$B2210&gt;='112'!$N$8,$B2210&lt;='112'!$O$8,OR($L2210='112'!$I$6,$M2210='112'!$I$6))),"x",""))</f>
        <v/>
      </c>
      <c r="T2210" s="39" t="str">
        <f>IF(ISERROR(FIND('112'!$M$9,G2210,1)),"",IF((AND(LEFT(G2210,2)=LEFT('112'!$M$9,2),B2210&lt;'112'!$N$8,$L2210='112'!$I$6)),"x",""))</f>
        <v/>
      </c>
      <c r="U2210" s="39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39" t="str">
        <f>IF(OR(TH!L2210=TH!$W$7,M2210=TH!$W$7),"x","")</f>
        <v/>
      </c>
      <c r="X2210" s="39" t="str">
        <f>IF(AND(B2210&gt;='IN-NX'!$P$3,B2210&lt;='IN-NX'!$Q$3,'IN-NX'!$D$7=D2210,OR(LEFT(L2210,2)="15",AND(LEFT(M2210,2)&lt;&gt;"15",LEFT(M2210,2)&lt;&gt;"33"))),"x","")</f>
        <v/>
      </c>
      <c r="Y2210" s="39" t="str">
        <f>IF(AND(OR(LEFT(TH!L2210,2)="15",LEFT(TH!M2210,2)="15"),'152-CT'!$J$8=TH!F2210),"x","")</f>
        <v/>
      </c>
      <c r="Z2210" s="39" t="str">
        <f>IF(AND(OR(LEFT(TH!L2210,2)="15",LEFT(TH!M2210,2)="15"),TK!$E$7=TH!F2210),"x","")</f>
        <v/>
      </c>
      <c r="AA2210" s="39" t="str">
        <f>IF(AND(B2210&lt;=NKC!$N$8,B2210&gt;=NKC!$M$8),"x","")</f>
        <v/>
      </c>
      <c r="AB2210" s="821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106"/>
        <v/>
      </c>
      <c r="C2211" s="191"/>
      <c r="D2211" s="191"/>
      <c r="E2211" s="731"/>
      <c r="F2211" s="189"/>
      <c r="G2211" s="40"/>
      <c r="H2211" s="7"/>
      <c r="I2211" s="256"/>
      <c r="J2211" s="256"/>
      <c r="K2211" s="56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902" t="str">
        <f>IF(AND('341-CT'!$E$9=H2211,OR(LEFT(L2211,3)=$O$7,LEFT(M2211,3)=$O$7)),"x","")</f>
        <v/>
      </c>
      <c r="P2211" s="39" t="str">
        <f>IF(AND($B2211&gt;='111'!$N$11,$B2211&lt;='111'!$O$11,OR($L2211=$P$7,$M2211=$P$7)),"x","")</f>
        <v/>
      </c>
      <c r="Q2211" s="39" t="str">
        <f>IF(AND($L2211=$P$7,$B2211&lt;'111'!$N$11),"x","")</f>
        <v/>
      </c>
      <c r="R2211" s="39" t="str">
        <f>IF(AND($M2211=$P$7,$B2211&lt;'111'!$N$11),"x","")</f>
        <v/>
      </c>
      <c r="S2211" s="39" t="str">
        <f>IF(ISERROR(FIND('112'!$M$9,G2211,1)),"",IF((AND(FIND('112'!$M$9,G2211,1)&gt;=1,$B2211&gt;='112'!$N$8,$B2211&lt;='112'!$O$8,OR($L2211='112'!$I$6,$M2211='112'!$I$6))),"x",""))</f>
        <v/>
      </c>
      <c r="T2211" s="39" t="str">
        <f>IF(ISERROR(FIND('112'!$M$9,G2211,1)),"",IF((AND(LEFT(G2211,2)=LEFT('112'!$M$9,2),B2211&lt;'112'!$N$8,$L2211='112'!$I$6)),"x",""))</f>
        <v/>
      </c>
      <c r="U2211" s="39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39" t="str">
        <f>IF(OR(TH!L2211=TH!$W$7,M2211=TH!$W$7),"x","")</f>
        <v/>
      </c>
      <c r="X2211" s="39" t="str">
        <f>IF(AND(B2211&gt;='IN-NX'!$P$3,B2211&lt;='IN-NX'!$Q$3,'IN-NX'!$D$7=D2211,OR(LEFT(L2211,2)="15",AND(LEFT(M2211,2)&lt;&gt;"15",LEFT(M2211,2)&lt;&gt;"33"))),"x","")</f>
        <v/>
      </c>
      <c r="Y2211" s="39" t="str">
        <f>IF(AND(OR(LEFT(TH!L2211,2)="15",LEFT(TH!M2211,2)="15"),'152-CT'!$J$8=TH!F2211),"x","")</f>
        <v/>
      </c>
      <c r="Z2211" s="39" t="str">
        <f>IF(AND(OR(LEFT(TH!L2211,2)="15",LEFT(TH!M2211,2)="15"),TK!$E$7=TH!F2211),"x","")</f>
        <v/>
      </c>
      <c r="AA2211" s="39" t="str">
        <f>IF(AND(B2211&lt;=NKC!$N$8,B2211&gt;=NKC!$M$8),"x","")</f>
        <v/>
      </c>
      <c r="AB2211" s="821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106"/>
        <v/>
      </c>
      <c r="C2212" s="191"/>
      <c r="D2212" s="191"/>
      <c r="E2212" s="731"/>
      <c r="F2212" s="189"/>
      <c r="G2212" s="40"/>
      <c r="H2212" s="7"/>
      <c r="I2212" s="256"/>
      <c r="J2212" s="256"/>
      <c r="K2212" s="56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902" t="str">
        <f>IF(AND('341-CT'!$E$9=H2212,OR(LEFT(L2212,3)=$O$7,LEFT(M2212,3)=$O$7)),"x","")</f>
        <v/>
      </c>
      <c r="P2212" s="39" t="str">
        <f>IF(AND($B2212&gt;='111'!$N$11,$B2212&lt;='111'!$O$11,OR($L2212=$P$7,$M2212=$P$7)),"x","")</f>
        <v/>
      </c>
      <c r="Q2212" s="39" t="str">
        <f>IF(AND($L2212=$P$7,$B2212&lt;'111'!$N$11),"x","")</f>
        <v/>
      </c>
      <c r="R2212" s="39" t="str">
        <f>IF(AND($M2212=$P$7,$B2212&lt;'111'!$N$11),"x","")</f>
        <v/>
      </c>
      <c r="S2212" s="39" t="str">
        <f>IF(ISERROR(FIND('112'!$M$9,G2212,1)),"",IF((AND(FIND('112'!$M$9,G2212,1)&gt;=1,$B2212&gt;='112'!$N$8,$B2212&lt;='112'!$O$8,OR($L2212='112'!$I$6,$M2212='112'!$I$6))),"x",""))</f>
        <v/>
      </c>
      <c r="T2212" s="39" t="str">
        <f>IF(ISERROR(FIND('112'!$M$9,G2212,1)),"",IF((AND(LEFT(G2212,2)=LEFT('112'!$M$9,2),B2212&lt;'112'!$N$8,$L2212='112'!$I$6)),"x",""))</f>
        <v/>
      </c>
      <c r="U2212" s="39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39" t="str">
        <f>IF(OR(TH!L2212=TH!$W$7,M2212=TH!$W$7),"x","")</f>
        <v/>
      </c>
      <c r="X2212" s="39" t="str">
        <f>IF(AND(B2212&gt;='IN-NX'!$P$3,B2212&lt;='IN-NX'!$Q$3,'IN-NX'!$D$7=D2212,OR(LEFT(L2212,2)="15",AND(LEFT(M2212,2)&lt;&gt;"15",LEFT(M2212,2)&lt;&gt;"33"))),"x","")</f>
        <v/>
      </c>
      <c r="Y2212" s="39" t="str">
        <f>IF(AND(OR(LEFT(TH!L2212,2)="15",LEFT(TH!M2212,2)="15"),'152-CT'!$J$8=TH!F2212),"x","")</f>
        <v/>
      </c>
      <c r="Z2212" s="39" t="str">
        <f>IF(AND(OR(LEFT(TH!L2212,2)="15",LEFT(TH!M2212,2)="15"),TK!$E$7=TH!F2212),"x","")</f>
        <v/>
      </c>
      <c r="AA2212" s="39" t="str">
        <f>IF(AND(B2212&lt;=NKC!$N$8,B2212&gt;=NKC!$M$8),"x","")</f>
        <v/>
      </c>
      <c r="AB2212" s="821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106"/>
        <v/>
      </c>
      <c r="C2213" s="191"/>
      <c r="D2213" s="191"/>
      <c r="E2213" s="731"/>
      <c r="F2213" s="189"/>
      <c r="G2213" s="40"/>
      <c r="H2213" s="7"/>
      <c r="I2213" s="256"/>
      <c r="J2213" s="256"/>
      <c r="K2213" s="56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902" t="str">
        <f>IF(AND('341-CT'!$E$9=H2213,OR(LEFT(L2213,3)=$O$7,LEFT(M2213,3)=$O$7)),"x","")</f>
        <v/>
      </c>
      <c r="P2213" s="39" t="str">
        <f>IF(AND($B2213&gt;='111'!$N$11,$B2213&lt;='111'!$O$11,OR($L2213=$P$7,$M2213=$P$7)),"x","")</f>
        <v/>
      </c>
      <c r="Q2213" s="39" t="str">
        <f>IF(AND($L2213=$P$7,$B2213&lt;'111'!$N$11),"x","")</f>
        <v/>
      </c>
      <c r="R2213" s="39" t="str">
        <f>IF(AND($M2213=$P$7,$B2213&lt;'111'!$N$11),"x","")</f>
        <v/>
      </c>
      <c r="S2213" s="39" t="str">
        <f>IF(ISERROR(FIND('112'!$M$9,G2213,1)),"",IF((AND(FIND('112'!$M$9,G2213,1)&gt;=1,$B2213&gt;='112'!$N$8,$B2213&lt;='112'!$O$8,OR($L2213='112'!$I$6,$M2213='112'!$I$6))),"x",""))</f>
        <v/>
      </c>
      <c r="T2213" s="39" t="str">
        <f>IF(ISERROR(FIND('112'!$M$9,G2213,1)),"",IF((AND(LEFT(G2213,2)=LEFT('112'!$M$9,2),B2213&lt;'112'!$N$8,$L2213='112'!$I$6)),"x",""))</f>
        <v/>
      </c>
      <c r="U2213" s="39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39" t="str">
        <f>IF(OR(TH!L2213=TH!$W$7,M2213=TH!$W$7),"x","")</f>
        <v/>
      </c>
      <c r="X2213" s="39" t="str">
        <f>IF(AND(B2213&gt;='IN-NX'!$P$3,B2213&lt;='IN-NX'!$Q$3,'IN-NX'!$D$7=D2213,OR(LEFT(L2213,2)="15",AND(LEFT(M2213,2)&lt;&gt;"15",LEFT(M2213,2)&lt;&gt;"33"))),"x","")</f>
        <v/>
      </c>
      <c r="Y2213" s="39" t="str">
        <f>IF(AND(OR(LEFT(TH!L2213,2)="15",LEFT(TH!M2213,2)="15"),'152-CT'!$J$8=TH!F2213),"x","")</f>
        <v/>
      </c>
      <c r="Z2213" s="39" t="str">
        <f>IF(AND(OR(LEFT(TH!L2213,2)="15",LEFT(TH!M2213,2)="15"),TK!$E$7=TH!F2213),"x","")</f>
        <v/>
      </c>
      <c r="AA2213" s="39" t="str">
        <f>IF(AND(B2213&lt;=NKC!$N$8,B2213&gt;=NKC!$M$8),"x","")</f>
        <v/>
      </c>
      <c r="AB2213" s="821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106"/>
        <v/>
      </c>
      <c r="C2214" s="191"/>
      <c r="D2214" s="191"/>
      <c r="E2214" s="729"/>
      <c r="F2214" s="189"/>
      <c r="G2214" s="40"/>
      <c r="H2214" s="7"/>
      <c r="I2214" s="256"/>
      <c r="J2214" s="256"/>
      <c r="K2214" s="56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902" t="str">
        <f>IF(AND('341-CT'!$E$9=H2214,OR(LEFT(L2214,3)=$O$7,LEFT(M2214,3)=$O$7)),"x","")</f>
        <v/>
      </c>
      <c r="P2214" s="39" t="str">
        <f>IF(AND($B2214&gt;='111'!$N$11,$B2214&lt;='111'!$O$11,OR($L2214=$P$7,$M2214=$P$7)),"x","")</f>
        <v/>
      </c>
      <c r="Q2214" s="39" t="str">
        <f>IF(AND($L2214=$P$7,$B2214&lt;'111'!$N$11),"x","")</f>
        <v/>
      </c>
      <c r="R2214" s="39" t="str">
        <f>IF(AND($M2214=$P$7,$B2214&lt;'111'!$N$11),"x","")</f>
        <v/>
      </c>
      <c r="S2214" s="39" t="str">
        <f>IF(ISERROR(FIND('112'!$M$9,G2214,1)),"",IF((AND(FIND('112'!$M$9,G2214,1)&gt;=1,$B2214&gt;='112'!$N$8,$B2214&lt;='112'!$O$8,OR($L2214='112'!$I$6,$M2214='112'!$I$6))),"x",""))</f>
        <v/>
      </c>
      <c r="T2214" s="39" t="str">
        <f>IF(ISERROR(FIND('112'!$M$9,G2214,1)),"",IF((AND(LEFT(G2214,2)=LEFT('112'!$M$9,2),B2214&lt;'112'!$N$8,$L2214='112'!$I$6)),"x",""))</f>
        <v/>
      </c>
      <c r="U2214" s="39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39" t="str">
        <f>IF(OR(TH!L2214=TH!$W$7,M2214=TH!$W$7),"x","")</f>
        <v/>
      </c>
      <c r="X2214" s="39" t="str">
        <f>IF(AND(B2214&gt;='IN-NX'!$P$3,B2214&lt;='IN-NX'!$Q$3,'IN-NX'!$D$7=D2214,OR(LEFT(L2214,2)="15",AND(LEFT(M2214,2)&lt;&gt;"15",LEFT(M2214,2)&lt;&gt;"33"))),"x","")</f>
        <v/>
      </c>
      <c r="Y2214" s="39" t="str">
        <f>IF(AND(OR(LEFT(TH!L2214,2)="15",LEFT(TH!M2214,2)="15"),'152-CT'!$J$8=TH!F2214),"x","")</f>
        <v/>
      </c>
      <c r="Z2214" s="39" t="str">
        <f>IF(AND(OR(LEFT(TH!L2214,2)="15",LEFT(TH!M2214,2)="15"),TK!$E$7=TH!F2214),"x","")</f>
        <v/>
      </c>
      <c r="AA2214" s="39" t="str">
        <f>IF(AND(B2214&lt;=NKC!$N$8,B2214&gt;=NKC!$M$8),"x","")</f>
        <v/>
      </c>
      <c r="AB2214" s="821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106"/>
        <v/>
      </c>
      <c r="C2215" s="191"/>
      <c r="D2215" s="191"/>
      <c r="E2215" s="729"/>
      <c r="F2215" s="189"/>
      <c r="G2215" s="40"/>
      <c r="H2215" s="7"/>
      <c r="I2215" s="256"/>
      <c r="J2215" s="256"/>
      <c r="K2215" s="56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902" t="str">
        <f>IF(AND('341-CT'!$E$9=H2215,OR(LEFT(L2215,3)=$O$7,LEFT(M2215,3)=$O$7)),"x","")</f>
        <v/>
      </c>
      <c r="P2215" s="39" t="str">
        <f>IF(AND($B2215&gt;='111'!$N$11,$B2215&lt;='111'!$O$11,OR($L2215=$P$7,$M2215=$P$7)),"x","")</f>
        <v/>
      </c>
      <c r="Q2215" s="39" t="str">
        <f>IF(AND($L2215=$P$7,$B2215&lt;'111'!$N$11),"x","")</f>
        <v/>
      </c>
      <c r="R2215" s="39" t="str">
        <f>IF(AND($M2215=$P$7,$B2215&lt;'111'!$N$11),"x","")</f>
        <v/>
      </c>
      <c r="S2215" s="39" t="str">
        <f>IF(ISERROR(FIND('112'!$M$9,G2215,1)),"",IF((AND(FIND('112'!$M$9,G2215,1)&gt;=1,$B2215&gt;='112'!$N$8,$B2215&lt;='112'!$O$8,OR($L2215='112'!$I$6,$M2215='112'!$I$6))),"x",""))</f>
        <v/>
      </c>
      <c r="T2215" s="39" t="str">
        <f>IF(ISERROR(FIND('112'!$M$9,G2215,1)),"",IF((AND(LEFT(G2215,2)=LEFT('112'!$M$9,2),B2215&lt;'112'!$N$8,$L2215='112'!$I$6)),"x",""))</f>
        <v/>
      </c>
      <c r="U2215" s="39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39" t="str">
        <f>IF(OR(TH!L2215=TH!$W$7,M2215=TH!$W$7),"x","")</f>
        <v/>
      </c>
      <c r="X2215" s="39" t="str">
        <f>IF(AND(B2215&gt;='IN-NX'!$P$3,B2215&lt;='IN-NX'!$Q$3,'IN-NX'!$D$7=D2215,OR(LEFT(L2215,2)="15",AND(LEFT(M2215,2)&lt;&gt;"15",LEFT(M2215,2)&lt;&gt;"33"))),"x","")</f>
        <v/>
      </c>
      <c r="Y2215" s="39" t="str">
        <f>IF(AND(OR(LEFT(TH!L2215,2)="15",LEFT(TH!M2215,2)="15"),'152-CT'!$J$8=TH!F2215),"x","")</f>
        <v/>
      </c>
      <c r="Z2215" s="39" t="str">
        <f>IF(AND(OR(LEFT(TH!L2215,2)="15",LEFT(TH!M2215,2)="15"),TK!$E$7=TH!F2215),"x","")</f>
        <v/>
      </c>
      <c r="AA2215" s="39" t="str">
        <f>IF(AND(B2215&lt;=NKC!$N$8,B2215&gt;=NKC!$M$8),"x","")</f>
        <v/>
      </c>
      <c r="AB2215" s="821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106"/>
        <v/>
      </c>
      <c r="C2216" s="191"/>
      <c r="D2216" s="191"/>
      <c r="E2216" s="729"/>
      <c r="F2216" s="189"/>
      <c r="G2216" s="40"/>
      <c r="H2216" s="7"/>
      <c r="I2216" s="256"/>
      <c r="J2216" s="256"/>
      <c r="K2216" s="56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902" t="str">
        <f>IF(AND('341-CT'!$E$9=H2216,OR(LEFT(L2216,3)=$O$7,LEFT(M2216,3)=$O$7)),"x","")</f>
        <v/>
      </c>
      <c r="P2216" s="39" t="str">
        <f>IF(AND($B2216&gt;='111'!$N$11,$B2216&lt;='111'!$O$11,OR($L2216=$P$7,$M2216=$P$7)),"x","")</f>
        <v/>
      </c>
      <c r="Q2216" s="39" t="str">
        <f>IF(AND($L2216=$P$7,$B2216&lt;'111'!$N$11),"x","")</f>
        <v/>
      </c>
      <c r="R2216" s="39" t="str">
        <f>IF(AND($M2216=$P$7,$B2216&lt;'111'!$N$11),"x","")</f>
        <v/>
      </c>
      <c r="S2216" s="39" t="str">
        <f>IF(ISERROR(FIND('112'!$M$9,G2216,1)),"",IF((AND(FIND('112'!$M$9,G2216,1)&gt;=1,$B2216&gt;='112'!$N$8,$B2216&lt;='112'!$O$8,OR($L2216='112'!$I$6,$M2216='112'!$I$6))),"x",""))</f>
        <v/>
      </c>
      <c r="T2216" s="39" t="str">
        <f>IF(ISERROR(FIND('112'!$M$9,G2216,1)),"",IF((AND(LEFT(G2216,2)=LEFT('112'!$M$9,2),B2216&lt;'112'!$N$8,$L2216='112'!$I$6)),"x",""))</f>
        <v/>
      </c>
      <c r="U2216" s="39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39" t="str">
        <f>IF(OR(TH!L2216=TH!$W$7,M2216=TH!$W$7),"x","")</f>
        <v/>
      </c>
      <c r="X2216" s="39" t="str">
        <f>IF(AND(B2216&gt;='IN-NX'!$P$3,B2216&lt;='IN-NX'!$Q$3,'IN-NX'!$D$7=D2216,OR(LEFT(L2216,2)="15",AND(LEFT(M2216,2)&lt;&gt;"15",LEFT(M2216,2)&lt;&gt;"33"))),"x","")</f>
        <v/>
      </c>
      <c r="Y2216" s="39" t="str">
        <f>IF(AND(OR(LEFT(TH!L2216,2)="15",LEFT(TH!M2216,2)="15"),'152-CT'!$J$8=TH!F2216),"x","")</f>
        <v/>
      </c>
      <c r="Z2216" s="39" t="str">
        <f>IF(AND(OR(LEFT(TH!L2216,2)="15",LEFT(TH!M2216,2)="15"),TK!$E$7=TH!F2216),"x","")</f>
        <v/>
      </c>
      <c r="AA2216" s="39" t="str">
        <f>IF(AND(B2216&lt;=NKC!$N$8,B2216&gt;=NKC!$M$8),"x","")</f>
        <v/>
      </c>
      <c r="AB2216" s="821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106"/>
        <v/>
      </c>
      <c r="C2217" s="191"/>
      <c r="D2217" s="191"/>
      <c r="E2217" s="729"/>
      <c r="F2217" s="189"/>
      <c r="G2217" s="40"/>
      <c r="H2217" s="7"/>
      <c r="I2217" s="256"/>
      <c r="J2217" s="256"/>
      <c r="K2217" s="56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902" t="str">
        <f>IF(AND('341-CT'!$E$9=H2217,OR(LEFT(L2217,3)=$O$7,LEFT(M2217,3)=$O$7)),"x","")</f>
        <v/>
      </c>
      <c r="P2217" s="39" t="str">
        <f>IF(AND($B2217&gt;='111'!$N$11,$B2217&lt;='111'!$O$11,OR($L2217=$P$7,$M2217=$P$7)),"x","")</f>
        <v/>
      </c>
      <c r="Q2217" s="39" t="str">
        <f>IF(AND($L2217=$P$7,$B2217&lt;'111'!$N$11),"x","")</f>
        <v/>
      </c>
      <c r="R2217" s="39" t="str">
        <f>IF(AND($M2217=$P$7,$B2217&lt;'111'!$N$11),"x","")</f>
        <v/>
      </c>
      <c r="S2217" s="39" t="str">
        <f>IF(ISERROR(FIND('112'!$M$9,G2217,1)),"",IF((AND(FIND('112'!$M$9,G2217,1)&gt;=1,$B2217&gt;='112'!$N$8,$B2217&lt;='112'!$O$8,OR($L2217='112'!$I$6,$M2217='112'!$I$6))),"x",""))</f>
        <v/>
      </c>
      <c r="T2217" s="39" t="str">
        <f>IF(ISERROR(FIND('112'!$M$9,G2217,1)),"",IF((AND(LEFT(G2217,2)=LEFT('112'!$M$9,2),B2217&lt;'112'!$N$8,$L2217='112'!$I$6)),"x",""))</f>
        <v/>
      </c>
      <c r="U2217" s="39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39" t="str">
        <f>IF(OR(TH!L2217=TH!$W$7,M2217=TH!$W$7),"x","")</f>
        <v/>
      </c>
      <c r="X2217" s="39" t="str">
        <f>IF(AND(B2217&gt;='IN-NX'!$P$3,B2217&lt;='IN-NX'!$Q$3,'IN-NX'!$D$7=D2217,OR(LEFT(L2217,2)="15",AND(LEFT(M2217,2)&lt;&gt;"15",LEFT(M2217,2)&lt;&gt;"33"))),"x","")</f>
        <v/>
      </c>
      <c r="Y2217" s="39" t="str">
        <f>IF(AND(OR(LEFT(TH!L2217,2)="15",LEFT(TH!M2217,2)="15"),'152-CT'!$J$8=TH!F2217),"x","")</f>
        <v/>
      </c>
      <c r="Z2217" s="39" t="str">
        <f>IF(AND(OR(LEFT(TH!L2217,2)="15",LEFT(TH!M2217,2)="15"),TK!$E$7=TH!F2217),"x","")</f>
        <v/>
      </c>
      <c r="AA2217" s="39" t="str">
        <f>IF(AND(B2217&lt;=NKC!$N$8,B2217&gt;=NKC!$M$8),"x","")</f>
        <v/>
      </c>
      <c r="AB2217" s="821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106"/>
        <v/>
      </c>
      <c r="C2218" s="191"/>
      <c r="D2218" s="191"/>
      <c r="E2218" s="729"/>
      <c r="F2218" s="40"/>
      <c r="G2218" s="40"/>
      <c r="H2218" s="7"/>
      <c r="I2218" s="256"/>
      <c r="J2218" s="256"/>
      <c r="K2218" s="56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902" t="str">
        <f>IF(AND('341-CT'!$E$9=H2218,OR(LEFT(L2218,3)=$O$7,LEFT(M2218,3)=$O$7)),"x","")</f>
        <v/>
      </c>
      <c r="P2218" s="39" t="str">
        <f>IF(AND($B2218&gt;='111'!$N$11,$B2218&lt;='111'!$O$11,OR($L2218=$P$7,$M2218=$P$7)),"x","")</f>
        <v/>
      </c>
      <c r="Q2218" s="39" t="str">
        <f>IF(AND($L2218=$P$7,$B2218&lt;'111'!$N$11),"x","")</f>
        <v/>
      </c>
      <c r="R2218" s="39" t="str">
        <f>IF(AND($M2218=$P$7,$B2218&lt;'111'!$N$11),"x","")</f>
        <v/>
      </c>
      <c r="S2218" s="39" t="str">
        <f>IF(ISERROR(FIND('112'!$M$9,G2218,1)),"",IF((AND(FIND('112'!$M$9,G2218,1)&gt;=1,$B2218&gt;='112'!$N$8,$B2218&lt;='112'!$O$8,OR($L2218='112'!$I$6,$M2218='112'!$I$6))),"x",""))</f>
        <v/>
      </c>
      <c r="T2218" s="39" t="str">
        <f>IF(ISERROR(FIND('112'!$M$9,G2218,1)),"",IF((AND(LEFT(G2218,2)=LEFT('112'!$M$9,2),B2218&lt;'112'!$N$8,$L2218='112'!$I$6)),"x",""))</f>
        <v/>
      </c>
      <c r="U2218" s="39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39" t="str">
        <f>IF(OR(TH!L2218=TH!$W$7,M2218=TH!$W$7),"x","")</f>
        <v/>
      </c>
      <c r="X2218" s="39" t="str">
        <f>IF(AND(B2218&gt;='IN-NX'!$P$3,B2218&lt;='IN-NX'!$Q$3,'IN-NX'!$D$7=D2218,OR(LEFT(L2218,2)="15",AND(LEFT(M2218,2)&lt;&gt;"15",LEFT(M2218,2)&lt;&gt;"33"))),"x","")</f>
        <v/>
      </c>
      <c r="Y2218" s="39" t="str">
        <f>IF(AND(OR(LEFT(TH!L2218,2)="15",LEFT(TH!M2218,2)="15"),'152-CT'!$J$8=TH!F2218),"x","")</f>
        <v/>
      </c>
      <c r="Z2218" s="39" t="str">
        <f>IF(AND(OR(LEFT(TH!L2218,2)="15",LEFT(TH!M2218,2)="15"),TK!$E$7=TH!F2218),"x","")</f>
        <v/>
      </c>
      <c r="AA2218" s="39" t="str">
        <f>IF(AND(B2218&lt;=NKC!$N$8,B2218&gt;=NKC!$M$8),"x","")</f>
        <v/>
      </c>
      <c r="AB2218" s="821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106"/>
        <v/>
      </c>
      <c r="C2219" s="191"/>
      <c r="D2219" s="191"/>
      <c r="E2219" s="729"/>
      <c r="F2219" s="189"/>
      <c r="G2219" s="40"/>
      <c r="H2219" s="7"/>
      <c r="I2219" s="256"/>
      <c r="J2219" s="256"/>
      <c r="K2219" s="56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902" t="str">
        <f>IF(AND('341-CT'!$E$9=H2219,OR(LEFT(L2219,3)=$O$7,LEFT(M2219,3)=$O$7)),"x","")</f>
        <v/>
      </c>
      <c r="P2219" s="39" t="str">
        <f>IF(AND($B2219&gt;='111'!$N$11,$B2219&lt;='111'!$O$11,OR($L2219=$P$7,$M2219=$P$7)),"x","")</f>
        <v/>
      </c>
      <c r="Q2219" s="39" t="str">
        <f>IF(AND($L2219=$P$7,$B2219&lt;'111'!$N$11),"x","")</f>
        <v/>
      </c>
      <c r="R2219" s="39" t="str">
        <f>IF(AND($M2219=$P$7,$B2219&lt;'111'!$N$11),"x","")</f>
        <v/>
      </c>
      <c r="S2219" s="39" t="str">
        <f>IF(ISERROR(FIND('112'!$M$9,G2219,1)),"",IF((AND(FIND('112'!$M$9,G2219,1)&gt;=1,$B2219&gt;='112'!$N$8,$B2219&lt;='112'!$O$8,OR($L2219='112'!$I$6,$M2219='112'!$I$6))),"x",""))</f>
        <v/>
      </c>
      <c r="T2219" s="39" t="str">
        <f>IF(ISERROR(FIND('112'!$M$9,G2219,1)),"",IF((AND(LEFT(G2219,2)=LEFT('112'!$M$9,2),B2219&lt;'112'!$N$8,$L2219='112'!$I$6)),"x",""))</f>
        <v/>
      </c>
      <c r="U2219" s="39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39" t="str">
        <f>IF(OR(TH!L2219=TH!$W$7,M2219=TH!$W$7),"x","")</f>
        <v/>
      </c>
      <c r="X2219" s="39" t="str">
        <f>IF(AND(B2219&gt;='IN-NX'!$P$3,B2219&lt;='IN-NX'!$Q$3,'IN-NX'!$D$7=D2219,OR(LEFT(L2219,2)="15",AND(LEFT(M2219,2)&lt;&gt;"15",LEFT(M2219,2)&lt;&gt;"33"))),"x","")</f>
        <v/>
      </c>
      <c r="Y2219" s="39" t="str">
        <f>IF(AND(OR(LEFT(TH!L2219,2)="15",LEFT(TH!M2219,2)="15"),'152-CT'!$J$8=TH!F2219),"x","")</f>
        <v/>
      </c>
      <c r="Z2219" s="39" t="str">
        <f>IF(AND(OR(LEFT(TH!L2219,2)="15",LEFT(TH!M2219,2)="15"),TK!$E$7=TH!F2219),"x","")</f>
        <v/>
      </c>
      <c r="AA2219" s="39" t="str">
        <f>IF(AND(B2219&lt;=NKC!$N$8,B2219&gt;=NKC!$M$8),"x","")</f>
        <v/>
      </c>
      <c r="AB2219" s="821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106"/>
        <v/>
      </c>
      <c r="C2220" s="191"/>
      <c r="D2220" s="191"/>
      <c r="E2220" s="729"/>
      <c r="F2220" s="189"/>
      <c r="G2220" s="40"/>
      <c r="H2220" s="7"/>
      <c r="I2220" s="256"/>
      <c r="J2220" s="256"/>
      <c r="K2220" s="56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902" t="str">
        <f>IF(AND('341-CT'!$E$9=H2220,OR(LEFT(L2220,3)=$O$7,LEFT(M2220,3)=$O$7)),"x","")</f>
        <v/>
      </c>
      <c r="P2220" s="39" t="str">
        <f>IF(AND($B2220&gt;='111'!$N$11,$B2220&lt;='111'!$O$11,OR($L2220=$P$7,$M2220=$P$7)),"x","")</f>
        <v/>
      </c>
      <c r="Q2220" s="39" t="str">
        <f>IF(AND($L2220=$P$7,$B2220&lt;'111'!$N$11),"x","")</f>
        <v/>
      </c>
      <c r="R2220" s="39" t="str">
        <f>IF(AND($M2220=$P$7,$B2220&lt;'111'!$N$11),"x","")</f>
        <v/>
      </c>
      <c r="S2220" s="39" t="str">
        <f>IF(ISERROR(FIND('112'!$M$9,G2220,1)),"",IF((AND(FIND('112'!$M$9,G2220,1)&gt;=1,$B2220&gt;='112'!$N$8,$B2220&lt;='112'!$O$8,OR($L2220='112'!$I$6,$M2220='112'!$I$6))),"x",""))</f>
        <v/>
      </c>
      <c r="T2220" s="39" t="str">
        <f>IF(ISERROR(FIND('112'!$M$9,G2220,1)),"",IF((AND(LEFT(G2220,2)=LEFT('112'!$M$9,2),B2220&lt;'112'!$N$8,$L2220='112'!$I$6)),"x",""))</f>
        <v/>
      </c>
      <c r="U2220" s="39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39" t="str">
        <f>IF(OR(TH!L2220=TH!$W$7,M2220=TH!$W$7),"x","")</f>
        <v/>
      </c>
      <c r="X2220" s="39" t="str">
        <f>IF(AND(B2220&gt;='IN-NX'!$P$3,B2220&lt;='IN-NX'!$Q$3,'IN-NX'!$D$7=D2220,OR(LEFT(L2220,2)="15",AND(LEFT(M2220,2)&lt;&gt;"15",LEFT(M2220,2)&lt;&gt;"33"))),"x","")</f>
        <v/>
      </c>
      <c r="Y2220" s="39" t="str">
        <f>IF(AND(OR(LEFT(TH!L2220,2)="15",LEFT(TH!M2220,2)="15"),'152-CT'!$J$8=TH!F2220),"x","")</f>
        <v/>
      </c>
      <c r="Z2220" s="39" t="str">
        <f>IF(AND(OR(LEFT(TH!L2220,2)="15",LEFT(TH!M2220,2)="15"),TK!$E$7=TH!F2220),"x","")</f>
        <v/>
      </c>
      <c r="AA2220" s="39" t="str">
        <f>IF(AND(B2220&lt;=NKC!$N$8,B2220&gt;=NKC!$M$8),"x","")</f>
        <v/>
      </c>
      <c r="AB2220" s="821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106"/>
        <v/>
      </c>
      <c r="C2221" s="191"/>
      <c r="D2221" s="191"/>
      <c r="E2221" s="729"/>
      <c r="F2221" s="40"/>
      <c r="G2221" s="40"/>
      <c r="H2221" s="7"/>
      <c r="I2221" s="256"/>
      <c r="J2221" s="256"/>
      <c r="K2221" s="56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902" t="str">
        <f>IF(AND('341-CT'!$E$9=H2221,OR(LEFT(L2221,3)=$O$7,LEFT(M2221,3)=$O$7)),"x","")</f>
        <v/>
      </c>
      <c r="P2221" s="39" t="str">
        <f>IF(AND($B2221&gt;='111'!$N$11,$B2221&lt;='111'!$O$11,OR($L2221=$P$7,$M2221=$P$7)),"x","")</f>
        <v/>
      </c>
      <c r="Q2221" s="39" t="str">
        <f>IF(AND($L2221=$P$7,$B2221&lt;'111'!$N$11),"x","")</f>
        <v/>
      </c>
      <c r="R2221" s="39" t="str">
        <f>IF(AND($M2221=$P$7,$B2221&lt;'111'!$N$11),"x","")</f>
        <v/>
      </c>
      <c r="S2221" s="39" t="str">
        <f>IF(ISERROR(FIND('112'!$M$9,G2221,1)),"",IF((AND(FIND('112'!$M$9,G2221,1)&gt;=1,$B2221&gt;='112'!$N$8,$B2221&lt;='112'!$O$8,OR($L2221='112'!$I$6,$M2221='112'!$I$6))),"x",""))</f>
        <v/>
      </c>
      <c r="T2221" s="39" t="str">
        <f>IF(ISERROR(FIND('112'!$M$9,G2221,1)),"",IF((AND(LEFT(G2221,2)=LEFT('112'!$M$9,2),B2221&lt;'112'!$N$8,$L2221='112'!$I$6)),"x",""))</f>
        <v/>
      </c>
      <c r="U2221" s="39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39" t="str">
        <f>IF(OR(TH!L2221=TH!$W$7,M2221=TH!$W$7),"x","")</f>
        <v/>
      </c>
      <c r="X2221" s="39" t="str">
        <f>IF(AND(B2221&gt;='IN-NX'!$P$3,B2221&lt;='IN-NX'!$Q$3,'IN-NX'!$D$7=D2221,OR(LEFT(L2221,2)="15",AND(LEFT(M2221,2)&lt;&gt;"15",LEFT(M2221,2)&lt;&gt;"33"))),"x","")</f>
        <v/>
      </c>
      <c r="Y2221" s="39" t="str">
        <f>IF(AND(OR(LEFT(TH!L2221,2)="15",LEFT(TH!M2221,2)="15"),'152-CT'!$J$8=TH!F2221),"x","")</f>
        <v/>
      </c>
      <c r="Z2221" s="39" t="str">
        <f>IF(AND(OR(LEFT(TH!L2221,2)="15",LEFT(TH!M2221,2)="15"),TK!$E$7=TH!F2221),"x","")</f>
        <v/>
      </c>
      <c r="AA2221" s="39" t="str">
        <f>IF(AND(B2221&lt;=NKC!$N$8,B2221&gt;=NKC!$M$8),"x","")</f>
        <v/>
      </c>
      <c r="AB2221" s="821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106"/>
        <v/>
      </c>
      <c r="C2222" s="191"/>
      <c r="D2222" s="191"/>
      <c r="E2222" s="729"/>
      <c r="F2222" s="40"/>
      <c r="G2222" s="40"/>
      <c r="H2222" s="7"/>
      <c r="I2222" s="256"/>
      <c r="J2222" s="256"/>
      <c r="K2222" s="56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902" t="str">
        <f>IF(AND('341-CT'!$E$9=H2222,OR(LEFT(L2222,3)=$O$7,LEFT(M2222,3)=$O$7)),"x","")</f>
        <v/>
      </c>
      <c r="P2222" s="39" t="str">
        <f>IF(AND($B2222&gt;='111'!$N$11,$B2222&lt;='111'!$O$11,OR($L2222=$P$7,$M2222=$P$7)),"x","")</f>
        <v/>
      </c>
      <c r="Q2222" s="39" t="str">
        <f>IF(AND($L2222=$P$7,$B2222&lt;'111'!$N$11),"x","")</f>
        <v/>
      </c>
      <c r="R2222" s="39" t="str">
        <f>IF(AND($M2222=$P$7,$B2222&lt;'111'!$N$11),"x","")</f>
        <v/>
      </c>
      <c r="S2222" s="39" t="str">
        <f>IF(ISERROR(FIND('112'!$M$9,G2222,1)),"",IF((AND(FIND('112'!$M$9,G2222,1)&gt;=1,$B2222&gt;='112'!$N$8,$B2222&lt;='112'!$O$8,OR($L2222='112'!$I$6,$M2222='112'!$I$6))),"x",""))</f>
        <v/>
      </c>
      <c r="T2222" s="39" t="str">
        <f>IF(ISERROR(FIND('112'!$M$9,G2222,1)),"",IF((AND(LEFT(G2222,2)=LEFT('112'!$M$9,2),B2222&lt;'112'!$N$8,$L2222='112'!$I$6)),"x",""))</f>
        <v/>
      </c>
      <c r="U2222" s="39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39" t="str">
        <f>IF(OR(TH!L2222=TH!$W$7,M2222=TH!$W$7),"x","")</f>
        <v/>
      </c>
      <c r="X2222" s="39" t="str">
        <f>IF(AND(B2222&gt;='IN-NX'!$P$3,B2222&lt;='IN-NX'!$Q$3,'IN-NX'!$D$7=D2222,OR(LEFT(L2222,2)="15",AND(LEFT(M2222,2)&lt;&gt;"15",LEFT(M2222,2)&lt;&gt;"33"))),"x","")</f>
        <v/>
      </c>
      <c r="Y2222" s="39" t="str">
        <f>IF(AND(OR(LEFT(TH!L2222,2)="15",LEFT(TH!M2222,2)="15"),'152-CT'!$J$8=TH!F2222),"x","")</f>
        <v/>
      </c>
      <c r="Z2222" s="39" t="str">
        <f>IF(AND(OR(LEFT(TH!L2222,2)="15",LEFT(TH!M2222,2)="15"),TK!$E$7=TH!F2222),"x","")</f>
        <v/>
      </c>
      <c r="AA2222" s="39" t="str">
        <f>IF(AND(B2222&lt;=NKC!$N$8,B2222&gt;=NKC!$M$8),"x","")</f>
        <v/>
      </c>
      <c r="AB2222" s="821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106"/>
        <v/>
      </c>
      <c r="C2223" s="191"/>
      <c r="D2223" s="191"/>
      <c r="E2223" s="729"/>
      <c r="F2223" s="40"/>
      <c r="G2223" s="40"/>
      <c r="H2223" s="7"/>
      <c r="I2223" s="256"/>
      <c r="J2223" s="256"/>
      <c r="K2223" s="56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902" t="str">
        <f>IF(AND('341-CT'!$E$9=H2223,OR(LEFT(L2223,3)=$O$7,LEFT(M2223,3)=$O$7)),"x","")</f>
        <v/>
      </c>
      <c r="P2223" s="39" t="str">
        <f>IF(AND($B2223&gt;='111'!$N$11,$B2223&lt;='111'!$O$11,OR($L2223=$P$7,$M2223=$P$7)),"x","")</f>
        <v/>
      </c>
      <c r="Q2223" s="39" t="str">
        <f>IF(AND($L2223=$P$7,$B2223&lt;'111'!$N$11),"x","")</f>
        <v/>
      </c>
      <c r="R2223" s="39" t="str">
        <f>IF(AND($M2223=$P$7,$B2223&lt;'111'!$N$11),"x","")</f>
        <v/>
      </c>
      <c r="S2223" s="39" t="str">
        <f>IF(ISERROR(FIND('112'!$M$9,G2223,1)),"",IF((AND(FIND('112'!$M$9,G2223,1)&gt;=1,$B2223&gt;='112'!$N$8,$B2223&lt;='112'!$O$8,OR($L2223='112'!$I$6,$M2223='112'!$I$6))),"x",""))</f>
        <v/>
      </c>
      <c r="T2223" s="39" t="str">
        <f>IF(ISERROR(FIND('112'!$M$9,G2223,1)),"",IF((AND(LEFT(G2223,2)=LEFT('112'!$M$9,2),B2223&lt;'112'!$N$8,$L2223='112'!$I$6)),"x",""))</f>
        <v/>
      </c>
      <c r="U2223" s="39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39" t="str">
        <f>IF(OR(TH!L2223=TH!$W$7,M2223=TH!$W$7),"x","")</f>
        <v/>
      </c>
      <c r="X2223" s="39" t="str">
        <f>IF(AND(B2223&gt;='IN-NX'!$P$3,B2223&lt;='IN-NX'!$Q$3,'IN-NX'!$D$7=D2223,OR(LEFT(L2223,2)="15",AND(LEFT(M2223,2)&lt;&gt;"15",LEFT(M2223,2)&lt;&gt;"33"))),"x","")</f>
        <v/>
      </c>
      <c r="Y2223" s="39" t="str">
        <f>IF(AND(OR(LEFT(TH!L2223,2)="15",LEFT(TH!M2223,2)="15"),'152-CT'!$J$8=TH!F2223),"x","")</f>
        <v/>
      </c>
      <c r="Z2223" s="39" t="str">
        <f>IF(AND(OR(LEFT(TH!L2223,2)="15",LEFT(TH!M2223,2)="15"),TK!$E$7=TH!F2223),"x","")</f>
        <v/>
      </c>
      <c r="AA2223" s="39" t="str">
        <f>IF(AND(B2223&lt;=NKC!$N$8,B2223&gt;=NKC!$M$8),"x","")</f>
        <v/>
      </c>
      <c r="AB2223" s="821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106"/>
        <v/>
      </c>
      <c r="C2224" s="191"/>
      <c r="D2224" s="191"/>
      <c r="E2224" s="729"/>
      <c r="F2224" s="189"/>
      <c r="G2224" s="40"/>
      <c r="H2224" s="7"/>
      <c r="I2224" s="256"/>
      <c r="J2224" s="256"/>
      <c r="K2224" s="568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902" t="str">
        <f>IF(AND('341-CT'!$E$9=H2224,OR(LEFT(L2224,3)=$O$7,LEFT(M2224,3)=$O$7)),"x","")</f>
        <v/>
      </c>
      <c r="P2224" s="39" t="str">
        <f>IF(AND($B2224&gt;='111'!$N$11,$B2224&lt;='111'!$O$11,OR($L2224=$P$7,$M2224=$P$7)),"x","")</f>
        <v/>
      </c>
      <c r="Q2224" s="39" t="str">
        <f>IF(AND($L2224=$P$7,$B2224&lt;'111'!$N$11),"x","")</f>
        <v/>
      </c>
      <c r="R2224" s="39" t="str">
        <f>IF(AND($M2224=$P$7,$B2224&lt;'111'!$N$11),"x","")</f>
        <v/>
      </c>
      <c r="S2224" s="39" t="str">
        <f>IF(ISERROR(FIND('112'!$M$9,G2224,1)),"",IF((AND(FIND('112'!$M$9,G2224,1)&gt;=1,$B2224&gt;='112'!$N$8,$B2224&lt;='112'!$O$8,OR($L2224='112'!$I$6,$M2224='112'!$I$6))),"x",""))</f>
        <v/>
      </c>
      <c r="T2224" s="39" t="str">
        <f>IF(ISERROR(FIND('112'!$M$9,G2224,1)),"",IF((AND(LEFT(G2224,2)=LEFT('112'!$M$9,2),B2224&lt;'112'!$N$8,$L2224='112'!$I$6)),"x",""))</f>
        <v/>
      </c>
      <c r="U2224" s="39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39" t="str">
        <f>IF(OR(TH!L2224=TH!$W$7,M2224=TH!$W$7),"x","")</f>
        <v/>
      </c>
      <c r="X2224" s="39" t="str">
        <f>IF(AND(B2224&gt;='IN-NX'!$P$3,B2224&lt;='IN-NX'!$Q$3,'IN-NX'!$D$7=D2224,OR(LEFT(L2224,2)="15",AND(LEFT(M2224,2)&lt;&gt;"15",LEFT(M2224,2)&lt;&gt;"33"))),"x","")</f>
        <v/>
      </c>
      <c r="Y2224" s="39" t="str">
        <f>IF(AND(OR(LEFT(TH!L2224,2)="15",LEFT(TH!M2224,2)="15"),'152-CT'!$J$8=TH!F2224),"x","")</f>
        <v/>
      </c>
      <c r="Z2224" s="39" t="str">
        <f>IF(AND(OR(LEFT(TH!L2224,2)="15",LEFT(TH!M2224,2)="15"),TK!$E$7=TH!F2224),"x","")</f>
        <v/>
      </c>
      <c r="AA2224" s="39" t="str">
        <f>IF(AND(B2224&lt;=NKC!$N$8,B2224&gt;=NKC!$M$8),"x","")</f>
        <v/>
      </c>
      <c r="AB2224" s="821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106"/>
        <v/>
      </c>
      <c r="C2225" s="191"/>
      <c r="D2225" s="191"/>
      <c r="E2225" s="729"/>
      <c r="F2225" s="40"/>
      <c r="G2225" s="40"/>
      <c r="H2225" s="7"/>
      <c r="I2225" s="256"/>
      <c r="J2225" s="256"/>
      <c r="K2225" s="568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902" t="str">
        <f>IF(AND('341-CT'!$E$9=H2225,OR(LEFT(L2225,3)=$O$7,LEFT(M2225,3)=$O$7)),"x","")</f>
        <v/>
      </c>
      <c r="P2225" s="39" t="str">
        <f>IF(AND($B2225&gt;='111'!$N$11,$B2225&lt;='111'!$O$11,OR($L2225=$P$7,$M2225=$P$7)),"x","")</f>
        <v/>
      </c>
      <c r="Q2225" s="39" t="str">
        <f>IF(AND($L2225=$P$7,$B2225&lt;'111'!$N$11),"x","")</f>
        <v/>
      </c>
      <c r="R2225" s="39" t="str">
        <f>IF(AND($M2225=$P$7,$B2225&lt;'111'!$N$11),"x","")</f>
        <v/>
      </c>
      <c r="S2225" s="39" t="str">
        <f>IF(ISERROR(FIND('112'!$M$9,G2225,1)),"",IF((AND(FIND('112'!$M$9,G2225,1)&gt;=1,$B2225&gt;='112'!$N$8,$B2225&lt;='112'!$O$8,OR($L2225='112'!$I$6,$M2225='112'!$I$6))),"x",""))</f>
        <v/>
      </c>
      <c r="T2225" s="39" t="str">
        <f>IF(ISERROR(FIND('112'!$M$9,G2225,1)),"",IF((AND(LEFT(G2225,2)=LEFT('112'!$M$9,2),B2225&lt;'112'!$N$8,$L2225='112'!$I$6)),"x",""))</f>
        <v/>
      </c>
      <c r="U2225" s="39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39" t="str">
        <f>IF(OR(TH!L2225=TH!$W$7,M2225=TH!$W$7),"x","")</f>
        <v/>
      </c>
      <c r="X2225" s="39" t="str">
        <f>IF(AND(B2225&gt;='IN-NX'!$P$3,B2225&lt;='IN-NX'!$Q$3,'IN-NX'!$D$7=D2225,OR(LEFT(L2225,2)="15",AND(LEFT(M2225,2)&lt;&gt;"15",LEFT(M2225,2)&lt;&gt;"33"))),"x","")</f>
        <v/>
      </c>
      <c r="Y2225" s="39" t="str">
        <f>IF(AND(OR(LEFT(TH!L2225,2)="15",LEFT(TH!M2225,2)="15"),'152-CT'!$J$8=TH!F2225),"x","")</f>
        <v/>
      </c>
      <c r="Z2225" s="39" t="str">
        <f>IF(AND(OR(LEFT(TH!L2225,2)="15",LEFT(TH!M2225,2)="15"),TK!$E$7=TH!F2225),"x","")</f>
        <v/>
      </c>
      <c r="AA2225" s="39" t="str">
        <f>IF(AND(B2225&lt;=NKC!$N$8,B2225&gt;=NKC!$M$8),"x","")</f>
        <v/>
      </c>
      <c r="AB2225" s="821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106"/>
        <v/>
      </c>
      <c r="C2226" s="191"/>
      <c r="D2226" s="191"/>
      <c r="E2226" s="786"/>
      <c r="F2226" s="192"/>
      <c r="G2226" s="468"/>
      <c r="H2226" s="193"/>
      <c r="I2226" s="256"/>
      <c r="J2226" s="256"/>
      <c r="K2226" s="568"/>
      <c r="L2226" s="194"/>
      <c r="M2226" s="194"/>
      <c r="N2226" s="39" t="str">
        <f>IF(AND('331-CT'!$E$7=TH!H2226,OR(L2226="331",M2226="331")),"331",IF(AND(OR(L2226="131",M2226="131"),H2226='131-CT'!$E$7),"131",""))</f>
        <v/>
      </c>
      <c r="O2226" s="902" t="str">
        <f>IF(AND('341-CT'!$E$9=H2226,OR(LEFT(L2226,3)=$O$7,LEFT(M2226,3)=$O$7)),"x","")</f>
        <v/>
      </c>
      <c r="P2226" s="39" t="str">
        <f>IF(AND($B2226&gt;='111'!$N$11,$B2226&lt;='111'!$O$11,OR($L2226=$P$7,$M2226=$P$7)),"x","")</f>
        <v/>
      </c>
      <c r="Q2226" s="39" t="str">
        <f>IF(AND($L2226=$P$7,$B2226&lt;'111'!$N$11),"x","")</f>
        <v/>
      </c>
      <c r="R2226" s="39" t="str">
        <f>IF(AND($M2226=$P$7,$B2226&lt;'111'!$N$11),"x","")</f>
        <v/>
      </c>
      <c r="S2226" s="39" t="str">
        <f>IF(ISERROR(FIND('112'!$M$9,G2226,1)),"",IF((AND(FIND('112'!$M$9,G2226,1)&gt;=1,$B2226&gt;='112'!$N$8,$B2226&lt;='112'!$O$8,OR($L2226='112'!$I$6,$M2226='112'!$I$6))),"x",""))</f>
        <v/>
      </c>
      <c r="T2226" s="39" t="str">
        <f>IF(ISERROR(FIND('112'!$M$9,G2226,1)),"",IF((AND(LEFT(G2226,2)=LEFT('112'!$M$9,2),B2226&lt;'112'!$N$8,$L2226='112'!$I$6)),"x",""))</f>
        <v/>
      </c>
      <c r="U2226" s="39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39" t="str">
        <f>IF(OR(TH!L2226=TH!$W$7,M2226=TH!$W$7),"x","")</f>
        <v/>
      </c>
      <c r="X2226" s="39" t="str">
        <f>IF(AND(B2226&gt;='IN-NX'!$P$3,B2226&lt;='IN-NX'!$Q$3,'IN-NX'!$D$7=D2226,OR(LEFT(L2226,2)="15",AND(LEFT(M2226,2)&lt;&gt;"15",LEFT(M2226,2)&lt;&gt;"33"))),"x","")</f>
        <v/>
      </c>
      <c r="Y2226" s="39" t="str">
        <f>IF(AND(OR(LEFT(TH!L2226,2)="15",LEFT(TH!M2226,2)="15"),'152-CT'!$J$8=TH!F2226),"x","")</f>
        <v/>
      </c>
      <c r="Z2226" s="39" t="str">
        <f>IF(AND(OR(LEFT(TH!L2226,2)="15",LEFT(TH!M2226,2)="15"),TK!$E$7=TH!F2226),"x","")</f>
        <v/>
      </c>
      <c r="AA2226" s="39" t="str">
        <f>IF(AND(B2226&lt;=NKC!$N$8,B2226&gt;=NKC!$M$8),"x","")</f>
        <v/>
      </c>
      <c r="AB2226" s="821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106"/>
        <v/>
      </c>
      <c r="C2227" s="191"/>
      <c r="D2227" s="191"/>
      <c r="E2227" s="786"/>
      <c r="F2227" s="192"/>
      <c r="G2227" s="468"/>
      <c r="H2227" s="193"/>
      <c r="I2227" s="256"/>
      <c r="J2227" s="256"/>
      <c r="K2227" s="568"/>
      <c r="L2227" s="194"/>
      <c r="M2227" s="194"/>
      <c r="N2227" s="39" t="str">
        <f>IF(AND('331-CT'!$E$7=TH!H2227,OR(L2227="331",M2227="331")),"331",IF(AND(OR(L2227="131",M2227="131"),H2227='131-CT'!$E$7),"131",""))</f>
        <v/>
      </c>
      <c r="O2227" s="902" t="str">
        <f>IF(AND('341-CT'!$E$9=H2227,OR(LEFT(L2227,3)=$O$7,LEFT(M2227,3)=$O$7)),"x","")</f>
        <v/>
      </c>
      <c r="P2227" s="39" t="str">
        <f>IF(AND($B2227&gt;='111'!$N$11,$B2227&lt;='111'!$O$11,OR($L2227=$P$7,$M2227=$P$7)),"x","")</f>
        <v/>
      </c>
      <c r="Q2227" s="39" t="str">
        <f>IF(AND($L2227=$P$7,$B2227&lt;'111'!$N$11),"x","")</f>
        <v/>
      </c>
      <c r="R2227" s="39" t="str">
        <f>IF(AND($M2227=$P$7,$B2227&lt;'111'!$N$11),"x","")</f>
        <v/>
      </c>
      <c r="S2227" s="39" t="str">
        <f>IF(ISERROR(FIND('112'!$M$9,G2227,1)),"",IF((AND(FIND('112'!$M$9,G2227,1)&gt;=1,$B2227&gt;='112'!$N$8,$B2227&lt;='112'!$O$8,OR($L2227='112'!$I$6,$M2227='112'!$I$6))),"x",""))</f>
        <v/>
      </c>
      <c r="T2227" s="39" t="str">
        <f>IF(ISERROR(FIND('112'!$M$9,G2227,1)),"",IF((AND(LEFT(G2227,2)=LEFT('112'!$M$9,2),B2227&lt;'112'!$N$8,$L2227='112'!$I$6)),"x",""))</f>
        <v/>
      </c>
      <c r="U2227" s="39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39" t="str">
        <f>IF(OR(TH!L2227=TH!$W$7,M2227=TH!$W$7),"x","")</f>
        <v/>
      </c>
      <c r="X2227" s="39" t="str">
        <f>IF(AND(B2227&gt;='IN-NX'!$P$3,B2227&lt;='IN-NX'!$Q$3,'IN-NX'!$D$7=D2227,OR(LEFT(L2227,2)="15",AND(LEFT(M2227,2)&lt;&gt;"15",LEFT(M2227,2)&lt;&gt;"33"))),"x","")</f>
        <v/>
      </c>
      <c r="Y2227" s="39" t="str">
        <f>IF(AND(OR(LEFT(TH!L2227,2)="15",LEFT(TH!M2227,2)="15"),'152-CT'!$J$8=TH!F2227),"x","")</f>
        <v/>
      </c>
      <c r="Z2227" s="39" t="str">
        <f>IF(AND(OR(LEFT(TH!L2227,2)="15",LEFT(TH!M2227,2)="15"),TK!$E$7=TH!F2227),"x","")</f>
        <v/>
      </c>
      <c r="AA2227" s="39" t="str">
        <f>IF(AND(B2227&lt;=NKC!$N$8,B2227&gt;=NKC!$M$8),"x","")</f>
        <v/>
      </c>
      <c r="AB2227" s="821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si="106"/>
        <v/>
      </c>
      <c r="C2228" s="191"/>
      <c r="D2228" s="191"/>
      <c r="E2228" s="786"/>
      <c r="F2228" s="192"/>
      <c r="G2228" s="468"/>
      <c r="H2228" s="193"/>
      <c r="I2228" s="256"/>
      <c r="J2228" s="256"/>
      <c r="K2228" s="568"/>
      <c r="L2228" s="194"/>
      <c r="M2228" s="194"/>
      <c r="N2228" s="39" t="str">
        <f>IF(AND('331-CT'!$E$7=TH!H2228,OR(L2228="331",M2228="331")),"331",IF(AND(OR(L2228="131",M2228="131"),H2228='131-CT'!$E$7),"131",""))</f>
        <v/>
      </c>
      <c r="O2228" s="902" t="str">
        <f>IF(AND('341-CT'!$E$9=H2228,OR(LEFT(L2228,3)=$O$7,LEFT(M2228,3)=$O$7)),"x","")</f>
        <v/>
      </c>
      <c r="P2228" s="39" t="str">
        <f>IF(AND($B2228&gt;='111'!$N$11,$B2228&lt;='111'!$O$11,OR($L2228=$P$7,$M2228=$P$7)),"x","")</f>
        <v/>
      </c>
      <c r="Q2228" s="39" t="str">
        <f>IF(AND($L2228=$P$7,$B2228&lt;'111'!$N$11),"x","")</f>
        <v/>
      </c>
      <c r="R2228" s="39" t="str">
        <f>IF(AND($M2228=$P$7,$B2228&lt;'111'!$N$11),"x","")</f>
        <v/>
      </c>
      <c r="S2228" s="39" t="str">
        <f>IF(ISERROR(FIND('112'!$M$9,G2228,1)),"",IF((AND(FIND('112'!$M$9,G2228,1)&gt;=1,$B2228&gt;='112'!$N$8,$B2228&lt;='112'!$O$8,OR($L2228='112'!$I$6,$M2228='112'!$I$6))),"x",""))</f>
        <v/>
      </c>
      <c r="T2228" s="39" t="str">
        <f>IF(ISERROR(FIND('112'!$M$9,G2228,1)),"",IF((AND(LEFT(G2228,2)=LEFT('112'!$M$9,2),B2228&lt;'112'!$N$8,$L2228='112'!$I$6)),"x",""))</f>
        <v/>
      </c>
      <c r="U2228" s="39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39" t="str">
        <f>IF(OR(TH!L2228=TH!$W$7,M2228=TH!$W$7),"x","")</f>
        <v/>
      </c>
      <c r="X2228" s="39" t="str">
        <f>IF(AND(B2228&gt;='IN-NX'!$P$3,B2228&lt;='IN-NX'!$Q$3,'IN-NX'!$D$7=D2228,OR(LEFT(L2228,2)="15",AND(LEFT(M2228,2)&lt;&gt;"15",LEFT(M2228,2)&lt;&gt;"33"))),"x","")</f>
        <v/>
      </c>
      <c r="Y2228" s="39" t="str">
        <f>IF(AND(OR(LEFT(TH!L2228,2)="15",LEFT(TH!M2228,2)="15"),'152-CT'!$J$8=TH!F2228),"x","")</f>
        <v/>
      </c>
      <c r="Z2228" s="39" t="str">
        <f>IF(AND(OR(LEFT(TH!L2228,2)="15",LEFT(TH!M2228,2)="15"),TK!$E$7=TH!F2228),"x","")</f>
        <v/>
      </c>
      <c r="AA2228" s="39" t="str">
        <f>IF(AND(B2228&lt;=NKC!$N$8,B2228&gt;=NKC!$M$8),"x","")</f>
        <v/>
      </c>
      <c r="AB2228" s="821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106"/>
        <v/>
      </c>
      <c r="C2229" s="191"/>
      <c r="D2229" s="191"/>
      <c r="E2229" s="786"/>
      <c r="F2229" s="192"/>
      <c r="G2229" s="468"/>
      <c r="H2229" s="193"/>
      <c r="I2229" s="256"/>
      <c r="J2229" s="256"/>
      <c r="K2229" s="568"/>
      <c r="L2229" s="194"/>
      <c r="M2229" s="194"/>
      <c r="N2229" s="39" t="str">
        <f>IF(AND('331-CT'!$E$7=TH!H2229,OR(L2229="331",M2229="331")),"331",IF(AND(OR(L2229="131",M2229="131"),H2229='131-CT'!$E$7),"131",""))</f>
        <v/>
      </c>
      <c r="O2229" s="902" t="str">
        <f>IF(AND('341-CT'!$E$9=H2229,OR(LEFT(L2229,3)=$O$7,LEFT(M2229,3)=$O$7)),"x","")</f>
        <v/>
      </c>
      <c r="P2229" s="39" t="str">
        <f>IF(AND($B2229&gt;='111'!$N$11,$B2229&lt;='111'!$O$11,OR($L2229=$P$7,$M2229=$P$7)),"x","")</f>
        <v/>
      </c>
      <c r="Q2229" s="39" t="str">
        <f>IF(AND($L2229=$P$7,$B2229&lt;'111'!$N$11),"x","")</f>
        <v/>
      </c>
      <c r="R2229" s="39" t="str">
        <f>IF(AND($M2229=$P$7,$B2229&lt;'111'!$N$11),"x","")</f>
        <v/>
      </c>
      <c r="S2229" s="39" t="str">
        <f>IF(ISERROR(FIND('112'!$M$9,G2229,1)),"",IF((AND(FIND('112'!$M$9,G2229,1)&gt;=1,$B2229&gt;='112'!$N$8,$B2229&lt;='112'!$O$8,OR($L2229='112'!$I$6,$M2229='112'!$I$6))),"x",""))</f>
        <v/>
      </c>
      <c r="T2229" s="39" t="str">
        <f>IF(ISERROR(FIND('112'!$M$9,G2229,1)),"",IF((AND(LEFT(G2229,2)=LEFT('112'!$M$9,2),B2229&lt;'112'!$N$8,$L2229='112'!$I$6)),"x",""))</f>
        <v/>
      </c>
      <c r="U2229" s="39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39" t="str">
        <f>IF(OR(TH!L2229=TH!$W$7,M2229=TH!$W$7),"x","")</f>
        <v/>
      </c>
      <c r="X2229" s="39" t="str">
        <f>IF(AND(B2229&gt;='IN-NX'!$P$3,B2229&lt;='IN-NX'!$Q$3,'IN-NX'!$D$7=D2229,OR(LEFT(L2229,2)="15",AND(LEFT(M2229,2)&lt;&gt;"15",LEFT(M2229,2)&lt;&gt;"33"))),"x","")</f>
        <v/>
      </c>
      <c r="Y2229" s="39" t="str">
        <f>IF(AND(OR(LEFT(TH!L2229,2)="15",LEFT(TH!M2229,2)="15"),'152-CT'!$J$8=TH!F2229),"x","")</f>
        <v/>
      </c>
      <c r="Z2229" s="39" t="str">
        <f>IF(AND(OR(LEFT(TH!L2229,2)="15",LEFT(TH!M2229,2)="15"),TK!$E$7=TH!F2229),"x","")</f>
        <v/>
      </c>
      <c r="AA2229" s="39" t="str">
        <f>IF(AND(B2229&lt;=NKC!$N$8,B2229&gt;=NKC!$M$8),"x","")</f>
        <v/>
      </c>
      <c r="AB2229" s="821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106"/>
        <v/>
      </c>
      <c r="C2230" s="191"/>
      <c r="D2230" s="191"/>
      <c r="E2230" s="786"/>
      <c r="F2230" s="192"/>
      <c r="G2230" s="468"/>
      <c r="H2230" s="193"/>
      <c r="I2230" s="256"/>
      <c r="J2230" s="256"/>
      <c r="K2230" s="568"/>
      <c r="L2230" s="194"/>
      <c r="M2230" s="194"/>
      <c r="N2230" s="39" t="str">
        <f>IF(AND('331-CT'!$E$7=TH!H2230,OR(L2230="331",M2230="331")),"331",IF(AND(OR(L2230="131",M2230="131"),H2230='131-CT'!$E$7),"131",""))</f>
        <v/>
      </c>
      <c r="O2230" s="902" t="str">
        <f>IF(AND('341-CT'!$E$9=H2230,OR(LEFT(L2230,3)=$O$7,LEFT(M2230,3)=$O$7)),"x","")</f>
        <v/>
      </c>
      <c r="P2230" s="39" t="str">
        <f>IF(AND($B2230&gt;='111'!$N$11,$B2230&lt;='111'!$O$11,OR($L2230=$P$7,$M2230=$P$7)),"x","")</f>
        <v/>
      </c>
      <c r="Q2230" s="39" t="str">
        <f>IF(AND($L2230=$P$7,$B2230&lt;'111'!$N$11),"x","")</f>
        <v/>
      </c>
      <c r="R2230" s="39" t="str">
        <f>IF(AND($M2230=$P$7,$B2230&lt;'111'!$N$11),"x","")</f>
        <v/>
      </c>
      <c r="S2230" s="39" t="str">
        <f>IF(ISERROR(FIND('112'!$M$9,G2230,1)),"",IF((AND(FIND('112'!$M$9,G2230,1)&gt;=1,$B2230&gt;='112'!$N$8,$B2230&lt;='112'!$O$8,OR($L2230='112'!$I$6,$M2230='112'!$I$6))),"x",""))</f>
        <v/>
      </c>
      <c r="T2230" s="39" t="str">
        <f>IF(ISERROR(FIND('112'!$M$9,G2230,1)),"",IF((AND(LEFT(G2230,2)=LEFT('112'!$M$9,2),B2230&lt;'112'!$N$8,$L2230='112'!$I$6)),"x",""))</f>
        <v/>
      </c>
      <c r="U2230" s="39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39" t="str">
        <f>IF(OR(TH!L2230=TH!$W$7,M2230=TH!$W$7),"x","")</f>
        <v/>
      </c>
      <c r="X2230" s="39" t="str">
        <f>IF(AND(B2230&gt;='IN-NX'!$P$3,B2230&lt;='IN-NX'!$Q$3,'IN-NX'!$D$7=D2230,OR(LEFT(L2230,2)="15",AND(LEFT(M2230,2)&lt;&gt;"15",LEFT(M2230,2)&lt;&gt;"33"))),"x","")</f>
        <v/>
      </c>
      <c r="Y2230" s="39" t="str">
        <f>IF(AND(OR(LEFT(TH!L2230,2)="15",LEFT(TH!M2230,2)="15"),'152-CT'!$J$8=TH!F2230),"x","")</f>
        <v/>
      </c>
      <c r="Z2230" s="39" t="str">
        <f>IF(AND(OR(LEFT(TH!L2230,2)="15",LEFT(TH!M2230,2)="15"),TK!$E$7=TH!F2230),"x","")</f>
        <v/>
      </c>
      <c r="AA2230" s="39" t="str">
        <f>IF(AND(B2230&lt;=NKC!$N$8,B2230&gt;=NKC!$M$8),"x","")</f>
        <v/>
      </c>
      <c r="AB2230" s="821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106"/>
        <v/>
      </c>
      <c r="C2231" s="191"/>
      <c r="D2231" s="191"/>
      <c r="E2231" s="786"/>
      <c r="F2231" s="192"/>
      <c r="G2231" s="468"/>
      <c r="H2231" s="193"/>
      <c r="I2231" s="256"/>
      <c r="J2231" s="256"/>
      <c r="K2231" s="568"/>
      <c r="L2231" s="194"/>
      <c r="M2231" s="194"/>
      <c r="N2231" s="39" t="str">
        <f>IF(AND('331-CT'!$E$7=TH!H2231,OR(L2231="331",M2231="331")),"331",IF(AND(OR(L2231="131",M2231="131"),H2231='131-CT'!$E$7),"131",""))</f>
        <v/>
      </c>
      <c r="O2231" s="902" t="str">
        <f>IF(AND('341-CT'!$E$9=H2231,OR(LEFT(L2231,3)=$O$7,LEFT(M2231,3)=$O$7)),"x","")</f>
        <v/>
      </c>
      <c r="P2231" s="39" t="str">
        <f>IF(AND($B2231&gt;='111'!$N$11,$B2231&lt;='111'!$O$11,OR($L2231=$P$7,$M2231=$P$7)),"x","")</f>
        <v/>
      </c>
      <c r="Q2231" s="39" t="str">
        <f>IF(AND($L2231=$P$7,$B2231&lt;'111'!$N$11),"x","")</f>
        <v/>
      </c>
      <c r="R2231" s="39" t="str">
        <f>IF(AND($M2231=$P$7,$B2231&lt;'111'!$N$11),"x","")</f>
        <v/>
      </c>
      <c r="S2231" s="39" t="str">
        <f>IF(ISERROR(FIND('112'!$M$9,G2231,1)),"",IF((AND(FIND('112'!$M$9,G2231,1)&gt;=1,$B2231&gt;='112'!$N$8,$B2231&lt;='112'!$O$8,OR($L2231='112'!$I$6,$M2231='112'!$I$6))),"x",""))</f>
        <v/>
      </c>
      <c r="T2231" s="39" t="str">
        <f>IF(ISERROR(FIND('112'!$M$9,G2231,1)),"",IF((AND(LEFT(G2231,2)=LEFT('112'!$M$9,2),B2231&lt;'112'!$N$8,$L2231='112'!$I$6)),"x",""))</f>
        <v/>
      </c>
      <c r="U2231" s="39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39" t="str">
        <f>IF(OR(TH!L2231=TH!$W$7,M2231=TH!$W$7),"x","")</f>
        <v/>
      </c>
      <c r="X2231" s="39" t="str">
        <f>IF(AND(B2231&gt;='IN-NX'!$P$3,B2231&lt;='IN-NX'!$Q$3,'IN-NX'!$D$7=D2231,OR(LEFT(L2231,2)="15",AND(LEFT(M2231,2)&lt;&gt;"15",LEFT(M2231,2)&lt;&gt;"33"))),"x","")</f>
        <v/>
      </c>
      <c r="Y2231" s="39" t="str">
        <f>IF(AND(OR(LEFT(TH!L2231,2)="15",LEFT(TH!M2231,2)="15"),'152-CT'!$J$8=TH!F2231),"x","")</f>
        <v/>
      </c>
      <c r="Z2231" s="39" t="str">
        <f>IF(AND(OR(LEFT(TH!L2231,2)="15",LEFT(TH!M2231,2)="15"),TK!$E$7=TH!F2231),"x","")</f>
        <v/>
      </c>
      <c r="AA2231" s="39" t="str">
        <f>IF(AND(B2231&lt;=NKC!$N$8,B2231&gt;=NKC!$M$8),"x","")</f>
        <v/>
      </c>
      <c r="AB2231" s="821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106"/>
        <v/>
      </c>
      <c r="C2232" s="191"/>
      <c r="D2232" s="191"/>
      <c r="E2232" s="786"/>
      <c r="F2232" s="192"/>
      <c r="G2232" s="468"/>
      <c r="H2232" s="193"/>
      <c r="I2232" s="256"/>
      <c r="J2232" s="256"/>
      <c r="K2232" s="568"/>
      <c r="L2232" s="194"/>
      <c r="M2232" s="194"/>
      <c r="N2232" s="39" t="str">
        <f>IF(AND('331-CT'!$E$7=TH!H2232,OR(L2232="331",M2232="331")),"331",IF(AND(OR(L2232="131",M2232="131"),H2232='131-CT'!$E$7),"131",""))</f>
        <v/>
      </c>
      <c r="O2232" s="902" t="str">
        <f>IF(AND('341-CT'!$E$9=H2232,OR(LEFT(L2232,3)=$O$7,LEFT(M2232,3)=$O$7)),"x","")</f>
        <v/>
      </c>
      <c r="P2232" s="39" t="str">
        <f>IF(AND($B2232&gt;='111'!$N$11,$B2232&lt;='111'!$O$11,OR($L2232=$P$7,$M2232=$P$7)),"x","")</f>
        <v/>
      </c>
      <c r="Q2232" s="39" t="str">
        <f>IF(AND($L2232=$P$7,$B2232&lt;'111'!$N$11),"x","")</f>
        <v/>
      </c>
      <c r="R2232" s="39" t="str">
        <f>IF(AND($M2232=$P$7,$B2232&lt;'111'!$N$11),"x","")</f>
        <v/>
      </c>
      <c r="S2232" s="39" t="str">
        <f>IF(ISERROR(FIND('112'!$M$9,G2232,1)),"",IF((AND(FIND('112'!$M$9,G2232,1)&gt;=1,$B2232&gt;='112'!$N$8,$B2232&lt;='112'!$O$8,OR($L2232='112'!$I$6,$M2232='112'!$I$6))),"x",""))</f>
        <v/>
      </c>
      <c r="T2232" s="39" t="str">
        <f>IF(ISERROR(FIND('112'!$M$9,G2232,1)),"",IF((AND(LEFT(G2232,2)=LEFT('112'!$M$9,2),B2232&lt;'112'!$N$8,$L2232='112'!$I$6)),"x",""))</f>
        <v/>
      </c>
      <c r="U2232" s="39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39" t="str">
        <f>IF(OR(TH!L2232=TH!$W$7,M2232=TH!$W$7),"x","")</f>
        <v/>
      </c>
      <c r="X2232" s="39" t="str">
        <f>IF(AND(B2232&gt;='IN-NX'!$P$3,B2232&lt;='IN-NX'!$Q$3,'IN-NX'!$D$7=D2232,OR(LEFT(L2232,2)="15",AND(LEFT(M2232,2)&lt;&gt;"15",LEFT(M2232,2)&lt;&gt;"33"))),"x","")</f>
        <v/>
      </c>
      <c r="Y2232" s="39" t="str">
        <f>IF(AND(OR(LEFT(TH!L2232,2)="15",LEFT(TH!M2232,2)="15"),'152-CT'!$J$8=TH!F2232),"x","")</f>
        <v/>
      </c>
      <c r="Z2232" s="39" t="str">
        <f>IF(AND(OR(LEFT(TH!L2232,2)="15",LEFT(TH!M2232,2)="15"),TK!$E$7=TH!F2232),"x","")</f>
        <v/>
      </c>
      <c r="AA2232" s="39" t="str">
        <f>IF(AND(B2232&lt;=NKC!$N$8,B2232&gt;=NKC!$M$8),"x","")</f>
        <v/>
      </c>
      <c r="AB2232" s="821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ref="B2233:B2296" si="107">IF(C2233&lt;&gt;"",MONTH(C2233),"")</f>
        <v/>
      </c>
      <c r="C2233" s="191"/>
      <c r="D2233" s="191"/>
      <c r="E2233" s="786"/>
      <c r="F2233" s="192"/>
      <c r="G2233" s="468"/>
      <c r="H2233" s="193"/>
      <c r="I2233" s="256"/>
      <c r="J2233" s="256"/>
      <c r="K2233" s="568"/>
      <c r="L2233" s="194"/>
      <c r="M2233" s="194"/>
      <c r="N2233" s="39" t="str">
        <f>IF(AND('331-CT'!$E$7=TH!H2233,OR(L2233="331",M2233="331")),"331",IF(AND(OR(L2233="131",M2233="131"),H2233='131-CT'!$E$7),"131",""))</f>
        <v/>
      </c>
      <c r="O2233" s="902" t="str">
        <f>IF(AND('341-CT'!$E$9=H2233,OR(LEFT(L2233,3)=$O$7,LEFT(M2233,3)=$O$7)),"x","")</f>
        <v/>
      </c>
      <c r="P2233" s="39" t="str">
        <f>IF(AND($B2233&gt;='111'!$N$11,$B2233&lt;='111'!$O$11,OR($L2233=$P$7,$M2233=$P$7)),"x","")</f>
        <v/>
      </c>
      <c r="Q2233" s="39" t="str">
        <f>IF(AND($L2233=$P$7,$B2233&lt;'111'!$N$11),"x","")</f>
        <v/>
      </c>
      <c r="R2233" s="39" t="str">
        <f>IF(AND($M2233=$P$7,$B2233&lt;'111'!$N$11),"x","")</f>
        <v/>
      </c>
      <c r="S2233" s="39" t="str">
        <f>IF(ISERROR(FIND('112'!$M$9,G2233,1)),"",IF((AND(FIND('112'!$M$9,G2233,1)&gt;=1,$B2233&gt;='112'!$N$8,$B2233&lt;='112'!$O$8,OR($L2233='112'!$I$6,$M2233='112'!$I$6))),"x",""))</f>
        <v/>
      </c>
      <c r="T2233" s="39" t="str">
        <f>IF(ISERROR(FIND('112'!$M$9,G2233,1)),"",IF((AND(LEFT(G2233,2)=LEFT('112'!$M$9,2),B2233&lt;'112'!$N$8,$L2233='112'!$I$6)),"x",""))</f>
        <v/>
      </c>
      <c r="U2233" s="39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39" t="str">
        <f>IF(OR(TH!L2233=TH!$W$7,M2233=TH!$W$7),"x","")</f>
        <v/>
      </c>
      <c r="X2233" s="39" t="str">
        <f>IF(AND(B2233&gt;='IN-NX'!$P$3,B2233&lt;='IN-NX'!$Q$3,'IN-NX'!$D$7=D2233,OR(LEFT(L2233,2)="15",AND(LEFT(M2233,2)&lt;&gt;"15",LEFT(M2233,2)&lt;&gt;"33"))),"x","")</f>
        <v/>
      </c>
      <c r="Y2233" s="39" t="str">
        <f>IF(AND(OR(LEFT(TH!L2233,2)="15",LEFT(TH!M2233,2)="15"),'152-CT'!$J$8=TH!F2233),"x","")</f>
        <v/>
      </c>
      <c r="Z2233" s="39" t="str">
        <f>IF(AND(OR(LEFT(TH!L2233,2)="15",LEFT(TH!M2233,2)="15"),TK!$E$7=TH!F2233),"x","")</f>
        <v/>
      </c>
      <c r="AA2233" s="39" t="str">
        <f>IF(AND(B2233&lt;=NKC!$N$8,B2233&gt;=NKC!$M$8),"x","")</f>
        <v/>
      </c>
      <c r="AB2233" s="821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107"/>
        <v/>
      </c>
      <c r="C2234" s="191"/>
      <c r="D2234" s="191"/>
      <c r="E2234" s="786"/>
      <c r="F2234" s="192"/>
      <c r="G2234" s="468"/>
      <c r="H2234" s="193"/>
      <c r="I2234" s="256"/>
      <c r="J2234" s="256"/>
      <c r="K2234" s="568"/>
      <c r="L2234" s="194"/>
      <c r="M2234" s="194"/>
      <c r="N2234" s="39" t="str">
        <f>IF(AND('331-CT'!$E$7=TH!H2234,OR(L2234="331",M2234="331")),"331",IF(AND(OR(L2234="131",M2234="131"),H2234='131-CT'!$E$7),"131",""))</f>
        <v/>
      </c>
      <c r="O2234" s="902" t="str">
        <f>IF(AND('341-CT'!$E$9=H2234,OR(LEFT(L2234,3)=$O$7,LEFT(M2234,3)=$O$7)),"x","")</f>
        <v/>
      </c>
      <c r="P2234" s="39" t="str">
        <f>IF(AND($B2234&gt;='111'!$N$11,$B2234&lt;='111'!$O$11,OR($L2234=$P$7,$M2234=$P$7)),"x","")</f>
        <v/>
      </c>
      <c r="Q2234" s="39" t="str">
        <f>IF(AND($L2234=$P$7,$B2234&lt;'111'!$N$11),"x","")</f>
        <v/>
      </c>
      <c r="R2234" s="39" t="str">
        <f>IF(AND($M2234=$P$7,$B2234&lt;'111'!$N$11),"x","")</f>
        <v/>
      </c>
      <c r="S2234" s="39" t="str">
        <f>IF(ISERROR(FIND('112'!$M$9,G2234,1)),"",IF((AND(FIND('112'!$M$9,G2234,1)&gt;=1,$B2234&gt;='112'!$N$8,$B2234&lt;='112'!$O$8,OR($L2234='112'!$I$6,$M2234='112'!$I$6))),"x",""))</f>
        <v/>
      </c>
      <c r="T2234" s="39" t="str">
        <f>IF(ISERROR(FIND('112'!$M$9,G2234,1)),"",IF((AND(LEFT(G2234,2)=LEFT('112'!$M$9,2),B2234&lt;'112'!$N$8,$L2234='112'!$I$6)),"x",""))</f>
        <v/>
      </c>
      <c r="U2234" s="39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39" t="str">
        <f>IF(OR(TH!L2234=TH!$W$7,M2234=TH!$W$7),"x","")</f>
        <v/>
      </c>
      <c r="X2234" s="39" t="str">
        <f>IF(AND(B2234&gt;='IN-NX'!$P$3,B2234&lt;='IN-NX'!$Q$3,'IN-NX'!$D$7=D2234,OR(LEFT(L2234,2)="15",AND(LEFT(M2234,2)&lt;&gt;"15",LEFT(M2234,2)&lt;&gt;"33"))),"x","")</f>
        <v/>
      </c>
      <c r="Y2234" s="39" t="str">
        <f>IF(AND(OR(LEFT(TH!L2234,2)="15",LEFT(TH!M2234,2)="15"),'152-CT'!$J$8=TH!F2234),"x","")</f>
        <v/>
      </c>
      <c r="Z2234" s="39" t="str">
        <f>IF(AND(OR(LEFT(TH!L2234,2)="15",LEFT(TH!M2234,2)="15"),TK!$E$7=TH!F2234),"x","")</f>
        <v/>
      </c>
      <c r="AA2234" s="39" t="str">
        <f>IF(AND(B2234&lt;=NKC!$N$8,B2234&gt;=NKC!$M$8),"x","")</f>
        <v/>
      </c>
      <c r="AB2234" s="821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107"/>
        <v/>
      </c>
      <c r="C2235" s="191"/>
      <c r="D2235" s="191"/>
      <c r="E2235" s="786"/>
      <c r="F2235" s="192"/>
      <c r="G2235" s="468"/>
      <c r="H2235" s="193"/>
      <c r="I2235" s="256"/>
      <c r="J2235" s="256"/>
      <c r="K2235" s="568"/>
      <c r="L2235" s="194"/>
      <c r="M2235" s="194"/>
      <c r="N2235" s="39" t="str">
        <f>IF(AND('331-CT'!$E$7=TH!H2235,OR(L2235="331",M2235="331")),"331",IF(AND(OR(L2235="131",M2235="131"),H2235='131-CT'!$E$7),"131",""))</f>
        <v/>
      </c>
      <c r="O2235" s="902" t="str">
        <f>IF(AND('341-CT'!$E$9=H2235,OR(LEFT(L2235,3)=$O$7,LEFT(M2235,3)=$O$7)),"x","")</f>
        <v/>
      </c>
      <c r="P2235" s="39" t="str">
        <f>IF(AND($B2235&gt;='111'!$N$11,$B2235&lt;='111'!$O$11,OR($L2235=$P$7,$M2235=$P$7)),"x","")</f>
        <v/>
      </c>
      <c r="Q2235" s="39" t="str">
        <f>IF(AND($L2235=$P$7,$B2235&lt;'111'!$N$11),"x","")</f>
        <v/>
      </c>
      <c r="R2235" s="39" t="str">
        <f>IF(AND($M2235=$P$7,$B2235&lt;'111'!$N$11),"x","")</f>
        <v/>
      </c>
      <c r="S2235" s="39" t="str">
        <f>IF(ISERROR(FIND('112'!$M$9,G2235,1)),"",IF((AND(FIND('112'!$M$9,G2235,1)&gt;=1,$B2235&gt;='112'!$N$8,$B2235&lt;='112'!$O$8,OR($L2235='112'!$I$6,$M2235='112'!$I$6))),"x",""))</f>
        <v/>
      </c>
      <c r="T2235" s="39" t="str">
        <f>IF(ISERROR(FIND('112'!$M$9,G2235,1)),"",IF((AND(LEFT(G2235,2)=LEFT('112'!$M$9,2),B2235&lt;'112'!$N$8,$L2235='112'!$I$6)),"x",""))</f>
        <v/>
      </c>
      <c r="U2235" s="39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39" t="str">
        <f>IF(OR(TH!L2235=TH!$W$7,M2235=TH!$W$7),"x","")</f>
        <v/>
      </c>
      <c r="X2235" s="39" t="str">
        <f>IF(AND(B2235&gt;='IN-NX'!$P$3,B2235&lt;='IN-NX'!$Q$3,'IN-NX'!$D$7=D2235,OR(LEFT(L2235,2)="15",AND(LEFT(M2235,2)&lt;&gt;"15",LEFT(M2235,2)&lt;&gt;"33"))),"x","")</f>
        <v/>
      </c>
      <c r="Y2235" s="39" t="str">
        <f>IF(AND(OR(LEFT(TH!L2235,2)="15",LEFT(TH!M2235,2)="15"),'152-CT'!$J$8=TH!F2235),"x","")</f>
        <v/>
      </c>
      <c r="Z2235" s="39" t="str">
        <f>IF(AND(OR(LEFT(TH!L2235,2)="15",LEFT(TH!M2235,2)="15"),TK!$E$7=TH!F2235),"x","")</f>
        <v/>
      </c>
      <c r="AA2235" s="39" t="str">
        <f>IF(AND(B2235&lt;=NKC!$N$8,B2235&gt;=NKC!$M$8),"x","")</f>
        <v/>
      </c>
      <c r="AB2235" s="821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107"/>
        <v/>
      </c>
      <c r="C2236" s="191"/>
      <c r="D2236" s="191"/>
      <c r="E2236" s="786"/>
      <c r="F2236" s="192"/>
      <c r="G2236" s="468"/>
      <c r="H2236" s="193"/>
      <c r="I2236" s="256"/>
      <c r="J2236" s="256"/>
      <c r="K2236" s="568"/>
      <c r="L2236" s="194"/>
      <c r="M2236" s="194"/>
      <c r="N2236" s="39" t="str">
        <f>IF(AND('331-CT'!$E$7=TH!H2236,OR(L2236="331",M2236="331")),"331",IF(AND(OR(L2236="131",M2236="131"),H2236='131-CT'!$E$7),"131",""))</f>
        <v/>
      </c>
      <c r="O2236" s="902" t="str">
        <f>IF(AND('341-CT'!$E$9=H2236,OR(LEFT(L2236,3)=$O$7,LEFT(M2236,3)=$O$7)),"x","")</f>
        <v/>
      </c>
      <c r="P2236" s="39" t="str">
        <f>IF(AND($B2236&gt;='111'!$N$11,$B2236&lt;='111'!$O$11,OR($L2236=$P$7,$M2236=$P$7)),"x","")</f>
        <v/>
      </c>
      <c r="Q2236" s="39" t="str">
        <f>IF(AND($L2236=$P$7,$B2236&lt;'111'!$N$11),"x","")</f>
        <v/>
      </c>
      <c r="R2236" s="39" t="str">
        <f>IF(AND($M2236=$P$7,$B2236&lt;'111'!$N$11),"x","")</f>
        <v/>
      </c>
      <c r="S2236" s="39" t="str">
        <f>IF(ISERROR(FIND('112'!$M$9,G2236,1)),"",IF((AND(FIND('112'!$M$9,G2236,1)&gt;=1,$B2236&gt;='112'!$N$8,$B2236&lt;='112'!$O$8,OR($L2236='112'!$I$6,$M2236='112'!$I$6))),"x",""))</f>
        <v/>
      </c>
      <c r="T2236" s="39" t="str">
        <f>IF(ISERROR(FIND('112'!$M$9,G2236,1)),"",IF((AND(LEFT(G2236,2)=LEFT('112'!$M$9,2),B2236&lt;'112'!$N$8,$L2236='112'!$I$6)),"x",""))</f>
        <v/>
      </c>
      <c r="U2236" s="39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39" t="str">
        <f>IF(OR(TH!L2236=TH!$W$7,M2236=TH!$W$7),"x","")</f>
        <v/>
      </c>
      <c r="X2236" s="39" t="str">
        <f>IF(AND(B2236&gt;='IN-NX'!$P$3,B2236&lt;='IN-NX'!$Q$3,'IN-NX'!$D$7=D2236,OR(LEFT(L2236,2)="15",AND(LEFT(M2236,2)&lt;&gt;"15",LEFT(M2236,2)&lt;&gt;"33"))),"x","")</f>
        <v/>
      </c>
      <c r="Y2236" s="39" t="str">
        <f>IF(AND(OR(LEFT(TH!L2236,2)="15",LEFT(TH!M2236,2)="15"),'152-CT'!$J$8=TH!F2236),"x","")</f>
        <v/>
      </c>
      <c r="Z2236" s="39" t="str">
        <f>IF(AND(OR(LEFT(TH!L2236,2)="15",LEFT(TH!M2236,2)="15"),TK!$E$7=TH!F2236),"x","")</f>
        <v/>
      </c>
      <c r="AA2236" s="39" t="str">
        <f>IF(AND(B2236&lt;=NKC!$N$8,B2236&gt;=NKC!$M$8),"x","")</f>
        <v/>
      </c>
      <c r="AB2236" s="821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107"/>
        <v/>
      </c>
      <c r="C2237" s="191"/>
      <c r="D2237" s="191"/>
      <c r="E2237" s="786"/>
      <c r="F2237" s="192"/>
      <c r="G2237" s="468"/>
      <c r="H2237" s="193"/>
      <c r="I2237" s="256"/>
      <c r="J2237" s="256"/>
      <c r="K2237" s="568"/>
      <c r="L2237" s="194"/>
      <c r="M2237" s="194"/>
      <c r="N2237" s="39" t="str">
        <f>IF(AND('331-CT'!$E$7=TH!H2237,OR(L2237="331",M2237="331")),"331",IF(AND(OR(L2237="131",M2237="131"),H2237='131-CT'!$E$7),"131",""))</f>
        <v/>
      </c>
      <c r="O2237" s="902" t="str">
        <f>IF(AND('341-CT'!$E$9=H2237,OR(LEFT(L2237,3)=$O$7,LEFT(M2237,3)=$O$7)),"x","")</f>
        <v/>
      </c>
      <c r="P2237" s="39" t="str">
        <f>IF(AND($B2237&gt;='111'!$N$11,$B2237&lt;='111'!$O$11,OR($L2237=$P$7,$M2237=$P$7)),"x","")</f>
        <v/>
      </c>
      <c r="Q2237" s="39" t="str">
        <f>IF(AND($L2237=$P$7,$B2237&lt;'111'!$N$11),"x","")</f>
        <v/>
      </c>
      <c r="R2237" s="39" t="str">
        <f>IF(AND($M2237=$P$7,$B2237&lt;'111'!$N$11),"x","")</f>
        <v/>
      </c>
      <c r="S2237" s="39" t="str">
        <f>IF(ISERROR(FIND('112'!$M$9,G2237,1)),"",IF((AND(FIND('112'!$M$9,G2237,1)&gt;=1,$B2237&gt;='112'!$N$8,$B2237&lt;='112'!$O$8,OR($L2237='112'!$I$6,$M2237='112'!$I$6))),"x",""))</f>
        <v/>
      </c>
      <c r="T2237" s="39" t="str">
        <f>IF(ISERROR(FIND('112'!$M$9,G2237,1)),"",IF((AND(LEFT(G2237,2)=LEFT('112'!$M$9,2),B2237&lt;'112'!$N$8,$L2237='112'!$I$6)),"x",""))</f>
        <v/>
      </c>
      <c r="U2237" s="39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39" t="str">
        <f>IF(OR(TH!L2237=TH!$W$7,M2237=TH!$W$7),"x","")</f>
        <v/>
      </c>
      <c r="X2237" s="39" t="str">
        <f>IF(AND(B2237&gt;='IN-NX'!$P$3,B2237&lt;='IN-NX'!$Q$3,'IN-NX'!$D$7=D2237,OR(LEFT(L2237,2)="15",AND(LEFT(M2237,2)&lt;&gt;"15",LEFT(M2237,2)&lt;&gt;"33"))),"x","")</f>
        <v/>
      </c>
      <c r="Y2237" s="39" t="str">
        <f>IF(AND(OR(LEFT(TH!L2237,2)="15",LEFT(TH!M2237,2)="15"),'152-CT'!$J$8=TH!F2237),"x","")</f>
        <v/>
      </c>
      <c r="Z2237" s="39" t="str">
        <f>IF(AND(OR(LEFT(TH!L2237,2)="15",LEFT(TH!M2237,2)="15"),TK!$E$7=TH!F2237),"x","")</f>
        <v/>
      </c>
      <c r="AA2237" s="39" t="str">
        <f>IF(AND(B2237&lt;=NKC!$N$8,B2237&gt;=NKC!$M$8),"x","")</f>
        <v/>
      </c>
      <c r="AB2237" s="821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107"/>
        <v/>
      </c>
      <c r="C2238" s="191"/>
      <c r="D2238" s="191"/>
      <c r="E2238" s="786"/>
      <c r="F2238" s="192"/>
      <c r="G2238" s="468"/>
      <c r="H2238" s="193"/>
      <c r="I2238" s="256"/>
      <c r="J2238" s="256"/>
      <c r="K2238" s="568"/>
      <c r="L2238" s="194"/>
      <c r="M2238" s="194"/>
      <c r="N2238" s="39" t="str">
        <f>IF(AND('331-CT'!$E$7=TH!H2238,OR(L2238="331",M2238="331")),"331",IF(AND(OR(L2238="131",M2238="131"),H2238='131-CT'!$E$7),"131",""))</f>
        <v/>
      </c>
      <c r="O2238" s="902" t="str">
        <f>IF(AND('341-CT'!$E$9=H2238,OR(LEFT(L2238,3)=$O$7,LEFT(M2238,3)=$O$7)),"x","")</f>
        <v/>
      </c>
      <c r="P2238" s="39" t="str">
        <f>IF(AND($B2238&gt;='111'!$N$11,$B2238&lt;='111'!$O$11,OR($L2238=$P$7,$M2238=$P$7)),"x","")</f>
        <v/>
      </c>
      <c r="Q2238" s="39" t="str">
        <f>IF(AND($L2238=$P$7,$B2238&lt;'111'!$N$11),"x","")</f>
        <v/>
      </c>
      <c r="R2238" s="39" t="str">
        <f>IF(AND($M2238=$P$7,$B2238&lt;'111'!$N$11),"x","")</f>
        <v/>
      </c>
      <c r="S2238" s="39" t="str">
        <f>IF(ISERROR(FIND('112'!$M$9,G2238,1)),"",IF((AND(FIND('112'!$M$9,G2238,1)&gt;=1,$B2238&gt;='112'!$N$8,$B2238&lt;='112'!$O$8,OR($L2238='112'!$I$6,$M2238='112'!$I$6))),"x",""))</f>
        <v/>
      </c>
      <c r="T2238" s="39" t="str">
        <f>IF(ISERROR(FIND('112'!$M$9,G2238,1)),"",IF((AND(LEFT(G2238,2)=LEFT('112'!$M$9,2),B2238&lt;'112'!$N$8,$L2238='112'!$I$6)),"x",""))</f>
        <v/>
      </c>
      <c r="U2238" s="39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39" t="str">
        <f>IF(OR(TH!L2238=TH!$W$7,M2238=TH!$W$7),"x","")</f>
        <v/>
      </c>
      <c r="X2238" s="39" t="str">
        <f>IF(AND(B2238&gt;='IN-NX'!$P$3,B2238&lt;='IN-NX'!$Q$3,'IN-NX'!$D$7=D2238,OR(LEFT(L2238,2)="15",AND(LEFT(M2238,2)&lt;&gt;"15",LEFT(M2238,2)&lt;&gt;"33"))),"x","")</f>
        <v/>
      </c>
      <c r="Y2238" s="39" t="str">
        <f>IF(AND(OR(LEFT(TH!L2238,2)="15",LEFT(TH!M2238,2)="15"),'152-CT'!$J$8=TH!F2238),"x","")</f>
        <v/>
      </c>
      <c r="Z2238" s="39" t="str">
        <f>IF(AND(OR(LEFT(TH!L2238,2)="15",LEFT(TH!M2238,2)="15"),TK!$E$7=TH!F2238),"x","")</f>
        <v/>
      </c>
      <c r="AA2238" s="39" t="str">
        <f>IF(AND(B2238&lt;=NKC!$N$8,B2238&gt;=NKC!$M$8),"x","")</f>
        <v/>
      </c>
      <c r="AB2238" s="821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107"/>
        <v/>
      </c>
      <c r="C2239" s="191"/>
      <c r="D2239" s="191"/>
      <c r="E2239" s="786"/>
      <c r="F2239" s="192"/>
      <c r="G2239" s="468"/>
      <c r="H2239" s="193"/>
      <c r="I2239" s="256"/>
      <c r="J2239" s="256"/>
      <c r="K2239" s="568"/>
      <c r="L2239" s="194"/>
      <c r="M2239" s="194"/>
      <c r="N2239" s="39" t="str">
        <f>IF(AND('331-CT'!$E$7=TH!H2239,OR(L2239="331",M2239="331")),"331",IF(AND(OR(L2239="131",M2239="131"),H2239='131-CT'!$E$7),"131",""))</f>
        <v/>
      </c>
      <c r="O2239" s="902" t="str">
        <f>IF(AND('341-CT'!$E$9=H2239,OR(LEFT(L2239,3)=$O$7,LEFT(M2239,3)=$O$7)),"x","")</f>
        <v/>
      </c>
      <c r="P2239" s="39" t="str">
        <f>IF(AND($B2239&gt;='111'!$N$11,$B2239&lt;='111'!$O$11,OR($L2239=$P$7,$M2239=$P$7)),"x","")</f>
        <v/>
      </c>
      <c r="Q2239" s="39" t="str">
        <f>IF(AND($L2239=$P$7,$B2239&lt;'111'!$N$11),"x","")</f>
        <v/>
      </c>
      <c r="R2239" s="39" t="str">
        <f>IF(AND($M2239=$P$7,$B2239&lt;'111'!$N$11),"x","")</f>
        <v/>
      </c>
      <c r="S2239" s="39" t="str">
        <f>IF(ISERROR(FIND('112'!$M$9,G2239,1)),"",IF((AND(FIND('112'!$M$9,G2239,1)&gt;=1,$B2239&gt;='112'!$N$8,$B2239&lt;='112'!$O$8,OR($L2239='112'!$I$6,$M2239='112'!$I$6))),"x",""))</f>
        <v/>
      </c>
      <c r="T2239" s="39" t="str">
        <f>IF(ISERROR(FIND('112'!$M$9,G2239,1)),"",IF((AND(LEFT(G2239,2)=LEFT('112'!$M$9,2),B2239&lt;'112'!$N$8,$L2239='112'!$I$6)),"x",""))</f>
        <v/>
      </c>
      <c r="U2239" s="39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39" t="str">
        <f>IF(OR(TH!L2239=TH!$W$7,M2239=TH!$W$7),"x","")</f>
        <v/>
      </c>
      <c r="X2239" s="39" t="str">
        <f>IF(AND(B2239&gt;='IN-NX'!$P$3,B2239&lt;='IN-NX'!$Q$3,'IN-NX'!$D$7=D2239,OR(LEFT(L2239,2)="15",AND(LEFT(M2239,2)&lt;&gt;"15",LEFT(M2239,2)&lt;&gt;"33"))),"x","")</f>
        <v/>
      </c>
      <c r="Y2239" s="39" t="str">
        <f>IF(AND(OR(LEFT(TH!L2239,2)="15",LEFT(TH!M2239,2)="15"),'152-CT'!$J$8=TH!F2239),"x","")</f>
        <v/>
      </c>
      <c r="Z2239" s="39" t="str">
        <f>IF(AND(OR(LEFT(TH!L2239,2)="15",LEFT(TH!M2239,2)="15"),TK!$E$7=TH!F2239),"x","")</f>
        <v/>
      </c>
      <c r="AA2239" s="39" t="str">
        <f>IF(AND(B2239&lt;=NKC!$N$8,B2239&gt;=NKC!$M$8),"x","")</f>
        <v/>
      </c>
      <c r="AB2239" s="821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107"/>
        <v/>
      </c>
      <c r="C2240" s="191"/>
      <c r="D2240" s="191"/>
      <c r="E2240" s="786"/>
      <c r="F2240" s="192"/>
      <c r="G2240" s="468"/>
      <c r="H2240" s="193"/>
      <c r="I2240" s="256"/>
      <c r="J2240" s="256"/>
      <c r="K2240" s="568"/>
      <c r="L2240" s="194"/>
      <c r="M2240" s="194"/>
      <c r="N2240" s="39" t="str">
        <f>IF(AND('331-CT'!$E$7=TH!H2240,OR(L2240="331",M2240="331")),"331",IF(AND(OR(L2240="131",M2240="131"),H2240='131-CT'!$E$7),"131",""))</f>
        <v/>
      </c>
      <c r="O2240" s="902" t="str">
        <f>IF(AND('341-CT'!$E$9=H2240,OR(LEFT(L2240,3)=$O$7,LEFT(M2240,3)=$O$7)),"x","")</f>
        <v/>
      </c>
      <c r="P2240" s="39" t="str">
        <f>IF(AND($B2240&gt;='111'!$N$11,$B2240&lt;='111'!$O$11,OR($L2240=$P$7,$M2240=$P$7)),"x","")</f>
        <v/>
      </c>
      <c r="Q2240" s="39" t="str">
        <f>IF(AND($L2240=$P$7,$B2240&lt;'111'!$N$11),"x","")</f>
        <v/>
      </c>
      <c r="R2240" s="39" t="str">
        <f>IF(AND($M2240=$P$7,$B2240&lt;'111'!$N$11),"x","")</f>
        <v/>
      </c>
      <c r="S2240" s="39" t="str">
        <f>IF(ISERROR(FIND('112'!$M$9,G2240,1)),"",IF((AND(FIND('112'!$M$9,G2240,1)&gt;=1,$B2240&gt;='112'!$N$8,$B2240&lt;='112'!$O$8,OR($L2240='112'!$I$6,$M2240='112'!$I$6))),"x",""))</f>
        <v/>
      </c>
      <c r="T2240" s="39" t="str">
        <f>IF(ISERROR(FIND('112'!$M$9,G2240,1)),"",IF((AND(LEFT(G2240,2)=LEFT('112'!$M$9,2),B2240&lt;'112'!$N$8,$L2240='112'!$I$6)),"x",""))</f>
        <v/>
      </c>
      <c r="U2240" s="39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39" t="str">
        <f>IF(OR(TH!L2240=TH!$W$7,M2240=TH!$W$7),"x","")</f>
        <v/>
      </c>
      <c r="X2240" s="39" t="str">
        <f>IF(AND(B2240&gt;='IN-NX'!$P$3,B2240&lt;='IN-NX'!$Q$3,'IN-NX'!$D$7=D2240,OR(LEFT(L2240,2)="15",AND(LEFT(M2240,2)&lt;&gt;"15",LEFT(M2240,2)&lt;&gt;"33"))),"x","")</f>
        <v/>
      </c>
      <c r="Y2240" s="39" t="str">
        <f>IF(AND(OR(LEFT(TH!L2240,2)="15",LEFT(TH!M2240,2)="15"),'152-CT'!$J$8=TH!F2240),"x","")</f>
        <v/>
      </c>
      <c r="Z2240" s="39" t="str">
        <f>IF(AND(OR(LEFT(TH!L2240,2)="15",LEFT(TH!M2240,2)="15"),TK!$E$7=TH!F2240),"x","")</f>
        <v/>
      </c>
      <c r="AA2240" s="39" t="str">
        <f>IF(AND(B2240&lt;=NKC!$N$8,B2240&gt;=NKC!$M$8),"x","")</f>
        <v/>
      </c>
      <c r="AB2240" s="821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107"/>
        <v/>
      </c>
      <c r="C2241" s="191"/>
      <c r="D2241" s="191"/>
      <c r="E2241" s="786"/>
      <c r="F2241" s="192"/>
      <c r="G2241" s="468"/>
      <c r="H2241" s="193"/>
      <c r="I2241" s="256"/>
      <c r="J2241" s="256"/>
      <c r="K2241" s="568"/>
      <c r="L2241" s="194"/>
      <c r="M2241" s="194"/>
      <c r="N2241" s="39" t="str">
        <f>IF(AND('331-CT'!$E$7=TH!H2241,OR(L2241="331",M2241="331")),"331",IF(AND(OR(L2241="131",M2241="131"),H2241='131-CT'!$E$7),"131",""))</f>
        <v/>
      </c>
      <c r="O2241" s="902" t="str">
        <f>IF(AND('341-CT'!$E$9=H2241,OR(LEFT(L2241,3)=$O$7,LEFT(M2241,3)=$O$7)),"x","")</f>
        <v/>
      </c>
      <c r="P2241" s="39" t="str">
        <f>IF(AND($B2241&gt;='111'!$N$11,$B2241&lt;='111'!$O$11,OR($L2241=$P$7,$M2241=$P$7)),"x","")</f>
        <v/>
      </c>
      <c r="Q2241" s="39" t="str">
        <f>IF(AND($L2241=$P$7,$B2241&lt;'111'!$N$11),"x","")</f>
        <v/>
      </c>
      <c r="R2241" s="39" t="str">
        <f>IF(AND($M2241=$P$7,$B2241&lt;'111'!$N$11),"x","")</f>
        <v/>
      </c>
      <c r="S2241" s="39" t="str">
        <f>IF(ISERROR(FIND('112'!$M$9,G2241,1)),"",IF((AND(FIND('112'!$M$9,G2241,1)&gt;=1,$B2241&gt;='112'!$N$8,$B2241&lt;='112'!$O$8,OR($L2241='112'!$I$6,$M2241='112'!$I$6))),"x",""))</f>
        <v/>
      </c>
      <c r="T2241" s="39" t="str">
        <f>IF(ISERROR(FIND('112'!$M$9,G2241,1)),"",IF((AND(LEFT(G2241,2)=LEFT('112'!$M$9,2),B2241&lt;'112'!$N$8,$L2241='112'!$I$6)),"x",""))</f>
        <v/>
      </c>
      <c r="U2241" s="39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39" t="str">
        <f>IF(OR(TH!L2241=TH!$W$7,M2241=TH!$W$7),"x","")</f>
        <v/>
      </c>
      <c r="X2241" s="39" t="str">
        <f>IF(AND(B2241&gt;='IN-NX'!$P$3,B2241&lt;='IN-NX'!$Q$3,'IN-NX'!$D$7=D2241,OR(LEFT(L2241,2)="15",AND(LEFT(M2241,2)&lt;&gt;"15",LEFT(M2241,2)&lt;&gt;"33"))),"x","")</f>
        <v/>
      </c>
      <c r="Y2241" s="39" t="str">
        <f>IF(AND(OR(LEFT(TH!L2241,2)="15",LEFT(TH!M2241,2)="15"),'152-CT'!$J$8=TH!F2241),"x","")</f>
        <v/>
      </c>
      <c r="Z2241" s="39" t="str">
        <f>IF(AND(OR(LEFT(TH!L2241,2)="15",LEFT(TH!M2241,2)="15"),TK!$E$7=TH!F2241),"x","")</f>
        <v/>
      </c>
      <c r="AA2241" s="39" t="str">
        <f>IF(AND(B2241&lt;=NKC!$N$8,B2241&gt;=NKC!$M$8),"x","")</f>
        <v/>
      </c>
      <c r="AB2241" s="821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107"/>
        <v/>
      </c>
      <c r="C2242" s="191"/>
      <c r="D2242" s="191"/>
      <c r="E2242" s="786"/>
      <c r="F2242" s="192"/>
      <c r="G2242" s="468"/>
      <c r="H2242" s="193"/>
      <c r="I2242" s="256"/>
      <c r="J2242" s="256"/>
      <c r="K2242" s="568"/>
      <c r="L2242" s="194"/>
      <c r="M2242" s="194"/>
      <c r="N2242" s="39" t="str">
        <f>IF(AND('331-CT'!$E$7=TH!H2242,OR(L2242="331",M2242="331")),"331",IF(AND(OR(L2242="131",M2242="131"),H2242='131-CT'!$E$7),"131",""))</f>
        <v/>
      </c>
      <c r="O2242" s="902" t="str">
        <f>IF(AND('341-CT'!$E$9=H2242,OR(LEFT(L2242,3)=$O$7,LEFT(M2242,3)=$O$7)),"x","")</f>
        <v/>
      </c>
      <c r="P2242" s="39" t="str">
        <f>IF(AND($B2242&gt;='111'!$N$11,$B2242&lt;='111'!$O$11,OR($L2242=$P$7,$M2242=$P$7)),"x","")</f>
        <v/>
      </c>
      <c r="Q2242" s="39" t="str">
        <f>IF(AND($L2242=$P$7,$B2242&lt;'111'!$N$11),"x","")</f>
        <v/>
      </c>
      <c r="R2242" s="39" t="str">
        <f>IF(AND($M2242=$P$7,$B2242&lt;'111'!$N$11),"x","")</f>
        <v/>
      </c>
      <c r="S2242" s="39" t="str">
        <f>IF(ISERROR(FIND('112'!$M$9,G2242,1)),"",IF((AND(FIND('112'!$M$9,G2242,1)&gt;=1,$B2242&gt;='112'!$N$8,$B2242&lt;='112'!$O$8,OR($L2242='112'!$I$6,$M2242='112'!$I$6))),"x",""))</f>
        <v/>
      </c>
      <c r="T2242" s="39" t="str">
        <f>IF(ISERROR(FIND('112'!$M$9,G2242,1)),"",IF((AND(LEFT(G2242,2)=LEFT('112'!$M$9,2),B2242&lt;'112'!$N$8,$L2242='112'!$I$6)),"x",""))</f>
        <v/>
      </c>
      <c r="U2242" s="39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39" t="str">
        <f>IF(OR(TH!L2242=TH!$W$7,M2242=TH!$W$7),"x","")</f>
        <v/>
      </c>
      <c r="X2242" s="39" t="str">
        <f>IF(AND(B2242&gt;='IN-NX'!$P$3,B2242&lt;='IN-NX'!$Q$3,'IN-NX'!$D$7=D2242,OR(LEFT(L2242,2)="15",AND(LEFT(M2242,2)&lt;&gt;"15",LEFT(M2242,2)&lt;&gt;"33"))),"x","")</f>
        <v/>
      </c>
      <c r="Y2242" s="39" t="str">
        <f>IF(AND(OR(LEFT(TH!L2242,2)="15",LEFT(TH!M2242,2)="15"),'152-CT'!$J$8=TH!F2242),"x","")</f>
        <v/>
      </c>
      <c r="Z2242" s="39" t="str">
        <f>IF(AND(OR(LEFT(TH!L2242,2)="15",LEFT(TH!M2242,2)="15"),TK!$E$7=TH!F2242),"x","")</f>
        <v/>
      </c>
      <c r="AA2242" s="39" t="str">
        <f>IF(AND(B2242&lt;=NKC!$N$8,B2242&gt;=NKC!$M$8),"x","")</f>
        <v/>
      </c>
      <c r="AB2242" s="821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107"/>
        <v/>
      </c>
      <c r="C2243" s="191"/>
      <c r="D2243" s="191"/>
      <c r="E2243" s="786"/>
      <c r="F2243" s="192"/>
      <c r="G2243" s="468"/>
      <c r="H2243" s="193"/>
      <c r="I2243" s="256"/>
      <c r="J2243" s="256"/>
      <c r="K2243" s="568"/>
      <c r="L2243" s="194"/>
      <c r="M2243" s="194"/>
      <c r="N2243" s="39" t="str">
        <f>IF(AND('331-CT'!$E$7=TH!H2243,OR(L2243="331",M2243="331")),"331",IF(AND(OR(L2243="131",M2243="131"),H2243='131-CT'!$E$7),"131",""))</f>
        <v/>
      </c>
      <c r="O2243" s="902" t="str">
        <f>IF(AND('341-CT'!$E$9=H2243,OR(LEFT(L2243,3)=$O$7,LEFT(M2243,3)=$O$7)),"x","")</f>
        <v/>
      </c>
      <c r="P2243" s="39" t="str">
        <f>IF(AND($B2243&gt;='111'!$N$11,$B2243&lt;='111'!$O$11,OR($L2243=$P$7,$M2243=$P$7)),"x","")</f>
        <v/>
      </c>
      <c r="Q2243" s="39" t="str">
        <f>IF(AND($L2243=$P$7,$B2243&lt;'111'!$N$11),"x","")</f>
        <v/>
      </c>
      <c r="R2243" s="39" t="str">
        <f>IF(AND($M2243=$P$7,$B2243&lt;'111'!$N$11),"x","")</f>
        <v/>
      </c>
      <c r="S2243" s="39" t="str">
        <f>IF(ISERROR(FIND('112'!$M$9,G2243,1)),"",IF((AND(FIND('112'!$M$9,G2243,1)&gt;=1,$B2243&gt;='112'!$N$8,$B2243&lt;='112'!$O$8,OR($L2243='112'!$I$6,$M2243='112'!$I$6))),"x",""))</f>
        <v/>
      </c>
      <c r="T2243" s="39" t="str">
        <f>IF(ISERROR(FIND('112'!$M$9,G2243,1)),"",IF((AND(LEFT(G2243,2)=LEFT('112'!$M$9,2),B2243&lt;'112'!$N$8,$L2243='112'!$I$6)),"x",""))</f>
        <v/>
      </c>
      <c r="U2243" s="39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39" t="str">
        <f>IF(OR(TH!L2243=TH!$W$7,M2243=TH!$W$7),"x","")</f>
        <v/>
      </c>
      <c r="X2243" s="39" t="str">
        <f>IF(AND(B2243&gt;='IN-NX'!$P$3,B2243&lt;='IN-NX'!$Q$3,'IN-NX'!$D$7=D2243,OR(LEFT(L2243,2)="15",AND(LEFT(M2243,2)&lt;&gt;"15",LEFT(M2243,2)&lt;&gt;"33"))),"x","")</f>
        <v/>
      </c>
      <c r="Y2243" s="39" t="str">
        <f>IF(AND(OR(LEFT(TH!L2243,2)="15",LEFT(TH!M2243,2)="15"),'152-CT'!$J$8=TH!F2243),"x","")</f>
        <v/>
      </c>
      <c r="Z2243" s="39" t="str">
        <f>IF(AND(OR(LEFT(TH!L2243,2)="15",LEFT(TH!M2243,2)="15"),TK!$E$7=TH!F2243),"x","")</f>
        <v/>
      </c>
      <c r="AA2243" s="39" t="str">
        <f>IF(AND(B2243&lt;=NKC!$N$8,B2243&gt;=NKC!$M$8),"x","")</f>
        <v/>
      </c>
      <c r="AB2243" s="821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107"/>
        <v/>
      </c>
      <c r="C2244" s="191"/>
      <c r="D2244" s="191"/>
      <c r="E2244" s="786"/>
      <c r="F2244" s="192"/>
      <c r="G2244" s="468"/>
      <c r="H2244" s="193"/>
      <c r="I2244" s="256"/>
      <c r="J2244" s="256"/>
      <c r="K2244" s="568"/>
      <c r="L2244" s="194"/>
      <c r="M2244" s="194"/>
      <c r="N2244" s="39" t="str">
        <f>IF(AND('331-CT'!$E$7=TH!H2244,OR(L2244="331",M2244="331")),"331",IF(AND(OR(L2244="131",M2244="131"),H2244='131-CT'!$E$7),"131",""))</f>
        <v/>
      </c>
      <c r="O2244" s="902" t="str">
        <f>IF(AND('341-CT'!$E$9=H2244,OR(LEFT(L2244,3)=$O$7,LEFT(M2244,3)=$O$7)),"x","")</f>
        <v/>
      </c>
      <c r="P2244" s="39" t="str">
        <f>IF(AND($B2244&gt;='111'!$N$11,$B2244&lt;='111'!$O$11,OR($L2244=$P$7,$M2244=$P$7)),"x","")</f>
        <v/>
      </c>
      <c r="Q2244" s="39" t="str">
        <f>IF(AND($L2244=$P$7,$B2244&lt;'111'!$N$11),"x","")</f>
        <v/>
      </c>
      <c r="R2244" s="39" t="str">
        <f>IF(AND($M2244=$P$7,$B2244&lt;'111'!$N$11),"x","")</f>
        <v/>
      </c>
      <c r="S2244" s="39" t="str">
        <f>IF(ISERROR(FIND('112'!$M$9,G2244,1)),"",IF((AND(FIND('112'!$M$9,G2244,1)&gt;=1,$B2244&gt;='112'!$N$8,$B2244&lt;='112'!$O$8,OR($L2244='112'!$I$6,$M2244='112'!$I$6))),"x",""))</f>
        <v/>
      </c>
      <c r="T2244" s="39" t="str">
        <f>IF(ISERROR(FIND('112'!$M$9,G2244,1)),"",IF((AND(LEFT(G2244,2)=LEFT('112'!$M$9,2),B2244&lt;'112'!$N$8,$L2244='112'!$I$6)),"x",""))</f>
        <v/>
      </c>
      <c r="U2244" s="39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39" t="str">
        <f>IF(OR(TH!L2244=TH!$W$7,M2244=TH!$W$7),"x","")</f>
        <v/>
      </c>
      <c r="X2244" s="39" t="str">
        <f>IF(AND(B2244&gt;='IN-NX'!$P$3,B2244&lt;='IN-NX'!$Q$3,'IN-NX'!$D$7=D2244,OR(LEFT(L2244,2)="15",AND(LEFT(M2244,2)&lt;&gt;"15",LEFT(M2244,2)&lt;&gt;"33"))),"x","")</f>
        <v/>
      </c>
      <c r="Y2244" s="39" t="str">
        <f>IF(AND(OR(LEFT(TH!L2244,2)="15",LEFT(TH!M2244,2)="15"),'152-CT'!$J$8=TH!F2244),"x","")</f>
        <v/>
      </c>
      <c r="Z2244" s="39" t="str">
        <f>IF(AND(OR(LEFT(TH!L2244,2)="15",LEFT(TH!M2244,2)="15"),TK!$E$7=TH!F2244),"x","")</f>
        <v/>
      </c>
      <c r="AA2244" s="39" t="str">
        <f>IF(AND(B2244&lt;=NKC!$N$8,B2244&gt;=NKC!$M$8),"x","")</f>
        <v/>
      </c>
      <c r="AB2244" s="821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107"/>
        <v/>
      </c>
      <c r="C2245" s="191"/>
      <c r="D2245" s="191"/>
      <c r="E2245" s="786"/>
      <c r="F2245" s="192"/>
      <c r="G2245" s="468"/>
      <c r="H2245" s="193"/>
      <c r="I2245" s="256"/>
      <c r="J2245" s="256"/>
      <c r="K2245" s="568"/>
      <c r="L2245" s="194"/>
      <c r="M2245" s="194"/>
      <c r="N2245" s="39" t="str">
        <f>IF(AND('331-CT'!$E$7=TH!H2245,OR(L2245="331",M2245="331")),"331",IF(AND(OR(L2245="131",M2245="131"),H2245='131-CT'!$E$7),"131",""))</f>
        <v/>
      </c>
      <c r="O2245" s="902" t="str">
        <f>IF(AND('341-CT'!$E$9=H2245,OR(LEFT(L2245,3)=$O$7,LEFT(M2245,3)=$O$7)),"x","")</f>
        <v/>
      </c>
      <c r="P2245" s="39" t="str">
        <f>IF(AND($B2245&gt;='111'!$N$11,$B2245&lt;='111'!$O$11,OR($L2245=$P$7,$M2245=$P$7)),"x","")</f>
        <v/>
      </c>
      <c r="Q2245" s="39" t="str">
        <f>IF(AND($L2245=$P$7,$B2245&lt;'111'!$N$11),"x","")</f>
        <v/>
      </c>
      <c r="R2245" s="39" t="str">
        <f>IF(AND($M2245=$P$7,$B2245&lt;'111'!$N$11),"x","")</f>
        <v/>
      </c>
      <c r="S2245" s="39" t="str">
        <f>IF(ISERROR(FIND('112'!$M$9,G2245,1)),"",IF((AND(FIND('112'!$M$9,G2245,1)&gt;=1,$B2245&gt;='112'!$N$8,$B2245&lt;='112'!$O$8,OR($L2245='112'!$I$6,$M2245='112'!$I$6))),"x",""))</f>
        <v/>
      </c>
      <c r="T2245" s="39" t="str">
        <f>IF(ISERROR(FIND('112'!$M$9,G2245,1)),"",IF((AND(LEFT(G2245,2)=LEFT('112'!$M$9,2),B2245&lt;'112'!$N$8,$L2245='112'!$I$6)),"x",""))</f>
        <v/>
      </c>
      <c r="U2245" s="39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39" t="str">
        <f>IF(OR(TH!L2245=TH!$W$7,M2245=TH!$W$7),"x","")</f>
        <v/>
      </c>
      <c r="X2245" s="39" t="str">
        <f>IF(AND(B2245&gt;='IN-NX'!$P$3,B2245&lt;='IN-NX'!$Q$3,'IN-NX'!$D$7=D2245,OR(LEFT(L2245,2)="15",AND(LEFT(M2245,2)&lt;&gt;"15",LEFT(M2245,2)&lt;&gt;"33"))),"x","")</f>
        <v/>
      </c>
      <c r="Y2245" s="39" t="str">
        <f>IF(AND(OR(LEFT(TH!L2245,2)="15",LEFT(TH!M2245,2)="15"),'152-CT'!$J$8=TH!F2245),"x","")</f>
        <v/>
      </c>
      <c r="Z2245" s="39" t="str">
        <f>IF(AND(OR(LEFT(TH!L2245,2)="15",LEFT(TH!M2245,2)="15"),TK!$E$7=TH!F2245),"x","")</f>
        <v/>
      </c>
      <c r="AA2245" s="39" t="str">
        <f>IF(AND(B2245&lt;=NKC!$N$8,B2245&gt;=NKC!$M$8),"x","")</f>
        <v/>
      </c>
      <c r="AB2245" s="821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107"/>
        <v/>
      </c>
      <c r="C2246" s="191"/>
      <c r="D2246" s="191"/>
      <c r="E2246" s="786"/>
      <c r="F2246" s="192"/>
      <c r="G2246" s="468"/>
      <c r="H2246" s="193"/>
      <c r="I2246" s="256"/>
      <c r="J2246" s="256"/>
      <c r="K2246" s="568"/>
      <c r="L2246" s="194"/>
      <c r="M2246" s="194"/>
      <c r="N2246" s="39" t="str">
        <f>IF(AND('331-CT'!$E$7=TH!H2246,OR(L2246="331",M2246="331")),"331",IF(AND(OR(L2246="131",M2246="131"),H2246='131-CT'!$E$7),"131",""))</f>
        <v/>
      </c>
      <c r="O2246" s="902" t="str">
        <f>IF(AND('341-CT'!$E$9=H2246,OR(LEFT(L2246,3)=$O$7,LEFT(M2246,3)=$O$7)),"x","")</f>
        <v/>
      </c>
      <c r="P2246" s="39" t="str">
        <f>IF(AND($B2246&gt;='111'!$N$11,$B2246&lt;='111'!$O$11,OR($L2246=$P$7,$M2246=$P$7)),"x","")</f>
        <v/>
      </c>
      <c r="Q2246" s="39" t="str">
        <f>IF(AND($L2246=$P$7,$B2246&lt;'111'!$N$11),"x","")</f>
        <v/>
      </c>
      <c r="R2246" s="39" t="str">
        <f>IF(AND($M2246=$P$7,$B2246&lt;'111'!$N$11),"x","")</f>
        <v/>
      </c>
      <c r="S2246" s="39" t="str">
        <f>IF(ISERROR(FIND('112'!$M$9,G2246,1)),"",IF((AND(FIND('112'!$M$9,G2246,1)&gt;=1,$B2246&gt;='112'!$N$8,$B2246&lt;='112'!$O$8,OR($L2246='112'!$I$6,$M2246='112'!$I$6))),"x",""))</f>
        <v/>
      </c>
      <c r="T2246" s="39" t="str">
        <f>IF(ISERROR(FIND('112'!$M$9,G2246,1)),"",IF((AND(LEFT(G2246,2)=LEFT('112'!$M$9,2),B2246&lt;'112'!$N$8,$L2246='112'!$I$6)),"x",""))</f>
        <v/>
      </c>
      <c r="U2246" s="39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39" t="str">
        <f>IF(OR(TH!L2246=TH!$W$7,M2246=TH!$W$7),"x","")</f>
        <v/>
      </c>
      <c r="X2246" s="39" t="str">
        <f>IF(AND(B2246&gt;='IN-NX'!$P$3,B2246&lt;='IN-NX'!$Q$3,'IN-NX'!$D$7=D2246,OR(LEFT(L2246,2)="15",AND(LEFT(M2246,2)&lt;&gt;"15",LEFT(M2246,2)&lt;&gt;"33"))),"x","")</f>
        <v/>
      </c>
      <c r="Y2246" s="39" t="str">
        <f>IF(AND(OR(LEFT(TH!L2246,2)="15",LEFT(TH!M2246,2)="15"),'152-CT'!$J$8=TH!F2246),"x","")</f>
        <v/>
      </c>
      <c r="Z2246" s="39" t="str">
        <f>IF(AND(OR(LEFT(TH!L2246,2)="15",LEFT(TH!M2246,2)="15"),TK!$E$7=TH!F2246),"x","")</f>
        <v/>
      </c>
      <c r="AA2246" s="39" t="str">
        <f>IF(AND(B2246&lt;=NKC!$N$8,B2246&gt;=NKC!$M$8),"x","")</f>
        <v/>
      </c>
      <c r="AB2246" s="821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107"/>
        <v/>
      </c>
      <c r="C2247" s="191"/>
      <c r="D2247" s="191"/>
      <c r="E2247" s="786"/>
      <c r="F2247" s="192"/>
      <c r="G2247" s="468"/>
      <c r="H2247" s="193"/>
      <c r="I2247" s="256"/>
      <c r="J2247" s="256"/>
      <c r="K2247" s="568"/>
      <c r="L2247" s="194"/>
      <c r="M2247" s="194"/>
      <c r="N2247" s="39" t="str">
        <f>IF(AND('331-CT'!$E$7=TH!H2247,OR(L2247="331",M2247="331")),"331",IF(AND(OR(L2247="131",M2247="131"),H2247='131-CT'!$E$7),"131",""))</f>
        <v/>
      </c>
      <c r="O2247" s="902" t="str">
        <f>IF(AND('341-CT'!$E$9=H2247,OR(LEFT(L2247,3)=$O$7,LEFT(M2247,3)=$O$7)),"x","")</f>
        <v/>
      </c>
      <c r="P2247" s="39" t="str">
        <f>IF(AND($B2247&gt;='111'!$N$11,$B2247&lt;='111'!$O$11,OR($L2247=$P$7,$M2247=$P$7)),"x","")</f>
        <v/>
      </c>
      <c r="Q2247" s="39" t="str">
        <f>IF(AND($L2247=$P$7,$B2247&lt;'111'!$N$11),"x","")</f>
        <v/>
      </c>
      <c r="R2247" s="39" t="str">
        <f>IF(AND($M2247=$P$7,$B2247&lt;'111'!$N$11),"x","")</f>
        <v/>
      </c>
      <c r="S2247" s="39" t="str">
        <f>IF(ISERROR(FIND('112'!$M$9,G2247,1)),"",IF((AND(FIND('112'!$M$9,G2247,1)&gt;=1,$B2247&gt;='112'!$N$8,$B2247&lt;='112'!$O$8,OR($L2247='112'!$I$6,$M2247='112'!$I$6))),"x",""))</f>
        <v/>
      </c>
      <c r="T2247" s="39" t="str">
        <f>IF(ISERROR(FIND('112'!$M$9,G2247,1)),"",IF((AND(LEFT(G2247,2)=LEFT('112'!$M$9,2),B2247&lt;'112'!$N$8,$L2247='112'!$I$6)),"x",""))</f>
        <v/>
      </c>
      <c r="U2247" s="39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39" t="str">
        <f>IF(OR(TH!L2247=TH!$W$7,M2247=TH!$W$7),"x","")</f>
        <v/>
      </c>
      <c r="X2247" s="39" t="str">
        <f>IF(AND(B2247&gt;='IN-NX'!$P$3,B2247&lt;='IN-NX'!$Q$3,'IN-NX'!$D$7=D2247,OR(LEFT(L2247,2)="15",AND(LEFT(M2247,2)&lt;&gt;"15",LEFT(M2247,2)&lt;&gt;"33"))),"x","")</f>
        <v/>
      </c>
      <c r="Y2247" s="39" t="str">
        <f>IF(AND(OR(LEFT(TH!L2247,2)="15",LEFT(TH!M2247,2)="15"),'152-CT'!$J$8=TH!F2247),"x","")</f>
        <v/>
      </c>
      <c r="Z2247" s="39" t="str">
        <f>IF(AND(OR(LEFT(TH!L2247,2)="15",LEFT(TH!M2247,2)="15"),TK!$E$7=TH!F2247),"x","")</f>
        <v/>
      </c>
      <c r="AA2247" s="39" t="str">
        <f>IF(AND(B2247&lt;=NKC!$N$8,B2247&gt;=NKC!$M$8),"x","")</f>
        <v/>
      </c>
      <c r="AB2247" s="821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107"/>
        <v/>
      </c>
      <c r="C2248" s="191"/>
      <c r="D2248" s="191"/>
      <c r="E2248" s="786"/>
      <c r="F2248" s="192"/>
      <c r="G2248" s="468"/>
      <c r="H2248" s="193"/>
      <c r="I2248" s="256"/>
      <c r="J2248" s="256"/>
      <c r="K2248" s="568"/>
      <c r="L2248" s="194"/>
      <c r="M2248" s="194"/>
      <c r="N2248" s="39" t="str">
        <f>IF(AND('331-CT'!$E$7=TH!H2248,OR(L2248="331",M2248="331")),"331",IF(AND(OR(L2248="131",M2248="131"),H2248='131-CT'!$E$7),"131",""))</f>
        <v/>
      </c>
      <c r="O2248" s="902" t="str">
        <f>IF(AND('341-CT'!$E$9=H2248,OR(LEFT(L2248,3)=$O$7,LEFT(M2248,3)=$O$7)),"x","")</f>
        <v/>
      </c>
      <c r="P2248" s="39" t="str">
        <f>IF(AND($B2248&gt;='111'!$N$11,$B2248&lt;='111'!$O$11,OR($L2248=$P$7,$M2248=$P$7)),"x","")</f>
        <v/>
      </c>
      <c r="Q2248" s="39" t="str">
        <f>IF(AND($L2248=$P$7,$B2248&lt;'111'!$N$11),"x","")</f>
        <v/>
      </c>
      <c r="R2248" s="39" t="str">
        <f>IF(AND($M2248=$P$7,$B2248&lt;'111'!$N$11),"x","")</f>
        <v/>
      </c>
      <c r="S2248" s="39" t="str">
        <f>IF(ISERROR(FIND('112'!$M$9,G2248,1)),"",IF((AND(FIND('112'!$M$9,G2248,1)&gt;=1,$B2248&gt;='112'!$N$8,$B2248&lt;='112'!$O$8,OR($L2248='112'!$I$6,$M2248='112'!$I$6))),"x",""))</f>
        <v/>
      </c>
      <c r="T2248" s="39" t="str">
        <f>IF(ISERROR(FIND('112'!$M$9,G2248,1)),"",IF((AND(LEFT(G2248,2)=LEFT('112'!$M$9,2),B2248&lt;'112'!$N$8,$L2248='112'!$I$6)),"x",""))</f>
        <v/>
      </c>
      <c r="U2248" s="39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39" t="str">
        <f>IF(OR(TH!L2248=TH!$W$7,M2248=TH!$W$7),"x","")</f>
        <v/>
      </c>
      <c r="X2248" s="39" t="str">
        <f>IF(AND(B2248&gt;='IN-NX'!$P$3,B2248&lt;='IN-NX'!$Q$3,'IN-NX'!$D$7=D2248,OR(LEFT(L2248,2)="15",AND(LEFT(M2248,2)&lt;&gt;"15",LEFT(M2248,2)&lt;&gt;"33"))),"x","")</f>
        <v/>
      </c>
      <c r="Y2248" s="39" t="str">
        <f>IF(AND(OR(LEFT(TH!L2248,2)="15",LEFT(TH!M2248,2)="15"),'152-CT'!$J$8=TH!F2248),"x","")</f>
        <v/>
      </c>
      <c r="Z2248" s="39" t="str">
        <f>IF(AND(OR(LEFT(TH!L2248,2)="15",LEFT(TH!M2248,2)="15"),TK!$E$7=TH!F2248),"x","")</f>
        <v/>
      </c>
      <c r="AA2248" s="39" t="str">
        <f>IF(AND(B2248&lt;=NKC!$N$8,B2248&gt;=NKC!$M$8),"x","")</f>
        <v/>
      </c>
      <c r="AB2248" s="821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107"/>
        <v/>
      </c>
      <c r="C2249" s="191"/>
      <c r="D2249" s="191"/>
      <c r="E2249" s="786"/>
      <c r="F2249" s="192"/>
      <c r="G2249" s="468"/>
      <c r="H2249" s="193"/>
      <c r="I2249" s="256"/>
      <c r="J2249" s="256"/>
      <c r="K2249" s="568"/>
      <c r="L2249" s="194"/>
      <c r="M2249" s="194"/>
      <c r="N2249" s="39" t="str">
        <f>IF(AND('331-CT'!$E$7=TH!H2249,OR(L2249="331",M2249="331")),"331",IF(AND(OR(L2249="131",M2249="131"),H2249='131-CT'!$E$7),"131",""))</f>
        <v/>
      </c>
      <c r="O2249" s="902" t="str">
        <f>IF(AND('341-CT'!$E$9=H2249,OR(LEFT(L2249,3)=$O$7,LEFT(M2249,3)=$O$7)),"x","")</f>
        <v/>
      </c>
      <c r="P2249" s="39" t="str">
        <f>IF(AND($B2249&gt;='111'!$N$11,$B2249&lt;='111'!$O$11,OR($L2249=$P$7,$M2249=$P$7)),"x","")</f>
        <v/>
      </c>
      <c r="Q2249" s="39" t="str">
        <f>IF(AND($L2249=$P$7,$B2249&lt;'111'!$N$11),"x","")</f>
        <v/>
      </c>
      <c r="R2249" s="39" t="str">
        <f>IF(AND($M2249=$P$7,$B2249&lt;'111'!$N$11),"x","")</f>
        <v/>
      </c>
      <c r="S2249" s="39" t="str">
        <f>IF(ISERROR(FIND('112'!$M$9,G2249,1)),"",IF((AND(FIND('112'!$M$9,G2249,1)&gt;=1,$B2249&gt;='112'!$N$8,$B2249&lt;='112'!$O$8,OR($L2249='112'!$I$6,$M2249='112'!$I$6))),"x",""))</f>
        <v/>
      </c>
      <c r="T2249" s="39" t="str">
        <f>IF(ISERROR(FIND('112'!$M$9,G2249,1)),"",IF((AND(LEFT(G2249,2)=LEFT('112'!$M$9,2),B2249&lt;'112'!$N$8,$L2249='112'!$I$6)),"x",""))</f>
        <v/>
      </c>
      <c r="U2249" s="39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39" t="str">
        <f>IF(OR(TH!L2249=TH!$W$7,M2249=TH!$W$7),"x","")</f>
        <v/>
      </c>
      <c r="X2249" s="39" t="str">
        <f>IF(AND(B2249&gt;='IN-NX'!$P$3,B2249&lt;='IN-NX'!$Q$3,'IN-NX'!$D$7=D2249,OR(LEFT(L2249,2)="15",AND(LEFT(M2249,2)&lt;&gt;"15",LEFT(M2249,2)&lt;&gt;"33"))),"x","")</f>
        <v/>
      </c>
      <c r="Y2249" s="39" t="str">
        <f>IF(AND(OR(LEFT(TH!L2249,2)="15",LEFT(TH!M2249,2)="15"),'152-CT'!$J$8=TH!F2249),"x","")</f>
        <v/>
      </c>
      <c r="Z2249" s="39" t="str">
        <f>IF(AND(OR(LEFT(TH!L2249,2)="15",LEFT(TH!M2249,2)="15"),TK!$E$7=TH!F2249),"x","")</f>
        <v/>
      </c>
      <c r="AA2249" s="39" t="str">
        <f>IF(AND(B2249&lt;=NKC!$N$8,B2249&gt;=NKC!$M$8),"x","")</f>
        <v/>
      </c>
      <c r="AB2249" s="821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107"/>
        <v/>
      </c>
      <c r="C2250" s="191"/>
      <c r="D2250" s="191"/>
      <c r="E2250" s="786"/>
      <c r="F2250" s="192"/>
      <c r="G2250" s="468"/>
      <c r="H2250" s="193"/>
      <c r="I2250" s="256"/>
      <c r="J2250" s="256"/>
      <c r="K2250" s="568"/>
      <c r="L2250" s="194"/>
      <c r="M2250" s="194"/>
      <c r="N2250" s="39" t="str">
        <f>IF(AND('331-CT'!$E$7=TH!H2250,OR(L2250="331",M2250="331")),"331",IF(AND(OR(L2250="131",M2250="131"),H2250='131-CT'!$E$7),"131",""))</f>
        <v/>
      </c>
      <c r="O2250" s="902" t="str">
        <f>IF(AND('341-CT'!$E$9=H2250,OR(LEFT(L2250,3)=$O$7,LEFT(M2250,3)=$O$7)),"x","")</f>
        <v/>
      </c>
      <c r="P2250" s="39" t="str">
        <f>IF(AND($B2250&gt;='111'!$N$11,$B2250&lt;='111'!$O$11,OR($L2250=$P$7,$M2250=$P$7)),"x","")</f>
        <v/>
      </c>
      <c r="Q2250" s="39" t="str">
        <f>IF(AND($L2250=$P$7,$B2250&lt;'111'!$N$11),"x","")</f>
        <v/>
      </c>
      <c r="R2250" s="39" t="str">
        <f>IF(AND($M2250=$P$7,$B2250&lt;'111'!$N$11),"x","")</f>
        <v/>
      </c>
      <c r="S2250" s="39" t="str">
        <f>IF(ISERROR(FIND('112'!$M$9,G2250,1)),"",IF((AND(FIND('112'!$M$9,G2250,1)&gt;=1,$B2250&gt;='112'!$N$8,$B2250&lt;='112'!$O$8,OR($L2250='112'!$I$6,$M2250='112'!$I$6))),"x",""))</f>
        <v/>
      </c>
      <c r="T2250" s="39" t="str">
        <f>IF(ISERROR(FIND('112'!$M$9,G2250,1)),"",IF((AND(LEFT(G2250,2)=LEFT('112'!$M$9,2),B2250&lt;'112'!$N$8,$L2250='112'!$I$6)),"x",""))</f>
        <v/>
      </c>
      <c r="U2250" s="39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39" t="str">
        <f>IF(OR(TH!L2250=TH!$W$7,M2250=TH!$W$7),"x","")</f>
        <v/>
      </c>
      <c r="X2250" s="39" t="str">
        <f>IF(AND(B2250&gt;='IN-NX'!$P$3,B2250&lt;='IN-NX'!$Q$3,'IN-NX'!$D$7=D2250,OR(LEFT(L2250,2)="15",AND(LEFT(M2250,2)&lt;&gt;"15",LEFT(M2250,2)&lt;&gt;"33"))),"x","")</f>
        <v/>
      </c>
      <c r="Y2250" s="39" t="str">
        <f>IF(AND(OR(LEFT(TH!L2250,2)="15",LEFT(TH!M2250,2)="15"),'152-CT'!$J$8=TH!F2250),"x","")</f>
        <v/>
      </c>
      <c r="Z2250" s="39" t="str">
        <f>IF(AND(OR(LEFT(TH!L2250,2)="15",LEFT(TH!M2250,2)="15"),TK!$E$7=TH!F2250),"x","")</f>
        <v/>
      </c>
      <c r="AA2250" s="39" t="str">
        <f>IF(AND(B2250&lt;=NKC!$N$8,B2250&gt;=NKC!$M$8),"x","")</f>
        <v/>
      </c>
      <c r="AB2250" s="821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107"/>
        <v/>
      </c>
      <c r="C2251" s="191"/>
      <c r="D2251" s="191"/>
      <c r="E2251" s="786"/>
      <c r="F2251" s="192"/>
      <c r="G2251" s="468"/>
      <c r="H2251" s="193"/>
      <c r="I2251" s="256"/>
      <c r="J2251" s="256"/>
      <c r="K2251" s="568"/>
      <c r="L2251" s="194"/>
      <c r="M2251" s="194"/>
      <c r="N2251" s="39" t="str">
        <f>IF(AND('331-CT'!$E$7=TH!H2251,OR(L2251="331",M2251="331")),"331",IF(AND(OR(L2251="131",M2251="131"),H2251='131-CT'!$E$7),"131",""))</f>
        <v/>
      </c>
      <c r="O2251" s="902" t="str">
        <f>IF(AND('341-CT'!$E$9=H2251,OR(LEFT(L2251,3)=$O$7,LEFT(M2251,3)=$O$7)),"x","")</f>
        <v/>
      </c>
      <c r="P2251" s="39" t="str">
        <f>IF(AND($B2251&gt;='111'!$N$11,$B2251&lt;='111'!$O$11,OR($L2251=$P$7,$M2251=$P$7)),"x","")</f>
        <v/>
      </c>
      <c r="Q2251" s="39" t="str">
        <f>IF(AND($L2251=$P$7,$B2251&lt;'111'!$N$11),"x","")</f>
        <v/>
      </c>
      <c r="R2251" s="39" t="str">
        <f>IF(AND($M2251=$P$7,$B2251&lt;'111'!$N$11),"x","")</f>
        <v/>
      </c>
      <c r="S2251" s="39" t="str">
        <f>IF(ISERROR(FIND('112'!$M$9,G2251,1)),"",IF((AND(FIND('112'!$M$9,G2251,1)&gt;=1,$B2251&gt;='112'!$N$8,$B2251&lt;='112'!$O$8,OR($L2251='112'!$I$6,$M2251='112'!$I$6))),"x",""))</f>
        <v/>
      </c>
      <c r="T2251" s="39" t="str">
        <f>IF(ISERROR(FIND('112'!$M$9,G2251,1)),"",IF((AND(LEFT(G2251,2)=LEFT('112'!$M$9,2),B2251&lt;'112'!$N$8,$L2251='112'!$I$6)),"x",""))</f>
        <v/>
      </c>
      <c r="U2251" s="39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39" t="str">
        <f>IF(OR(TH!L2251=TH!$W$7,M2251=TH!$W$7),"x","")</f>
        <v/>
      </c>
      <c r="X2251" s="39" t="str">
        <f>IF(AND(B2251&gt;='IN-NX'!$P$3,B2251&lt;='IN-NX'!$Q$3,'IN-NX'!$D$7=D2251,OR(LEFT(L2251,2)="15",AND(LEFT(M2251,2)&lt;&gt;"15",LEFT(M2251,2)&lt;&gt;"33"))),"x","")</f>
        <v/>
      </c>
      <c r="Y2251" s="39" t="str">
        <f>IF(AND(OR(LEFT(TH!L2251,2)="15",LEFT(TH!M2251,2)="15"),'152-CT'!$J$8=TH!F2251),"x","")</f>
        <v/>
      </c>
      <c r="Z2251" s="39" t="str">
        <f>IF(AND(OR(LEFT(TH!L2251,2)="15",LEFT(TH!M2251,2)="15"),TK!$E$7=TH!F2251),"x","")</f>
        <v/>
      </c>
      <c r="AA2251" s="39" t="str">
        <f>IF(AND(B2251&lt;=NKC!$N$8,B2251&gt;=NKC!$M$8),"x","")</f>
        <v/>
      </c>
      <c r="AB2251" s="821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107"/>
        <v/>
      </c>
      <c r="C2252" s="191"/>
      <c r="D2252" s="191"/>
      <c r="E2252" s="786"/>
      <c r="F2252" s="192"/>
      <c r="G2252" s="468"/>
      <c r="H2252" s="193"/>
      <c r="I2252" s="256"/>
      <c r="J2252" s="256"/>
      <c r="K2252" s="568"/>
      <c r="L2252" s="194"/>
      <c r="M2252" s="194"/>
      <c r="N2252" s="39" t="str">
        <f>IF(AND('331-CT'!$E$7=TH!H2252,OR(L2252="331",M2252="331")),"331",IF(AND(OR(L2252="131",M2252="131"),H2252='131-CT'!$E$7),"131",""))</f>
        <v/>
      </c>
      <c r="O2252" s="902" t="str">
        <f>IF(AND('341-CT'!$E$9=H2252,OR(LEFT(L2252,3)=$O$7,LEFT(M2252,3)=$O$7)),"x","")</f>
        <v/>
      </c>
      <c r="P2252" s="39" t="str">
        <f>IF(AND($B2252&gt;='111'!$N$11,$B2252&lt;='111'!$O$11,OR($L2252=$P$7,$M2252=$P$7)),"x","")</f>
        <v/>
      </c>
      <c r="Q2252" s="39" t="str">
        <f>IF(AND($L2252=$P$7,$B2252&lt;'111'!$N$11),"x","")</f>
        <v/>
      </c>
      <c r="R2252" s="39" t="str">
        <f>IF(AND($M2252=$P$7,$B2252&lt;'111'!$N$11),"x","")</f>
        <v/>
      </c>
      <c r="S2252" s="39" t="str">
        <f>IF(ISERROR(FIND('112'!$M$9,G2252,1)),"",IF((AND(FIND('112'!$M$9,G2252,1)&gt;=1,$B2252&gt;='112'!$N$8,$B2252&lt;='112'!$O$8,OR($L2252='112'!$I$6,$M2252='112'!$I$6))),"x",""))</f>
        <v/>
      </c>
      <c r="T2252" s="39" t="str">
        <f>IF(ISERROR(FIND('112'!$M$9,G2252,1)),"",IF((AND(LEFT(G2252,2)=LEFT('112'!$M$9,2),B2252&lt;'112'!$N$8,$L2252='112'!$I$6)),"x",""))</f>
        <v/>
      </c>
      <c r="U2252" s="39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39" t="str">
        <f>IF(OR(TH!L2252=TH!$W$7,M2252=TH!$W$7),"x","")</f>
        <v/>
      </c>
      <c r="X2252" s="39" t="str">
        <f>IF(AND(B2252&gt;='IN-NX'!$P$3,B2252&lt;='IN-NX'!$Q$3,'IN-NX'!$D$7=D2252,OR(LEFT(L2252,2)="15",AND(LEFT(M2252,2)&lt;&gt;"15",LEFT(M2252,2)&lt;&gt;"33"))),"x","")</f>
        <v/>
      </c>
      <c r="Y2252" s="39" t="str">
        <f>IF(AND(OR(LEFT(TH!L2252,2)="15",LEFT(TH!M2252,2)="15"),'152-CT'!$J$8=TH!F2252),"x","")</f>
        <v/>
      </c>
      <c r="Z2252" s="39" t="str">
        <f>IF(AND(OR(LEFT(TH!L2252,2)="15",LEFT(TH!M2252,2)="15"),TK!$E$7=TH!F2252),"x","")</f>
        <v/>
      </c>
      <c r="AA2252" s="39" t="str">
        <f>IF(AND(B2252&lt;=NKC!$N$8,B2252&gt;=NKC!$M$8),"x","")</f>
        <v/>
      </c>
      <c r="AB2252" s="821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107"/>
        <v/>
      </c>
      <c r="C2253" s="191"/>
      <c r="D2253" s="191"/>
      <c r="E2253" s="786"/>
      <c r="F2253" s="192"/>
      <c r="G2253" s="468"/>
      <c r="H2253" s="193"/>
      <c r="I2253" s="256"/>
      <c r="J2253" s="256"/>
      <c r="K2253" s="568"/>
      <c r="L2253" s="194"/>
      <c r="M2253" s="194"/>
      <c r="N2253" s="39" t="str">
        <f>IF(AND('331-CT'!$E$7=TH!H2253,OR(L2253="331",M2253="331")),"331",IF(AND(OR(L2253="131",M2253="131"),H2253='131-CT'!$E$7),"131",""))</f>
        <v/>
      </c>
      <c r="O2253" s="902" t="str">
        <f>IF(AND('341-CT'!$E$9=H2253,OR(LEFT(L2253,3)=$O$7,LEFT(M2253,3)=$O$7)),"x","")</f>
        <v/>
      </c>
      <c r="P2253" s="39" t="str">
        <f>IF(AND($B2253&gt;='111'!$N$11,$B2253&lt;='111'!$O$11,OR($L2253=$P$7,$M2253=$P$7)),"x","")</f>
        <v/>
      </c>
      <c r="Q2253" s="39" t="str">
        <f>IF(AND($L2253=$P$7,$B2253&lt;'111'!$N$11),"x","")</f>
        <v/>
      </c>
      <c r="R2253" s="39" t="str">
        <f>IF(AND($M2253=$P$7,$B2253&lt;'111'!$N$11),"x","")</f>
        <v/>
      </c>
      <c r="S2253" s="39" t="str">
        <f>IF(ISERROR(FIND('112'!$M$9,G2253,1)),"",IF((AND(FIND('112'!$M$9,G2253,1)&gt;=1,$B2253&gt;='112'!$N$8,$B2253&lt;='112'!$O$8,OR($L2253='112'!$I$6,$M2253='112'!$I$6))),"x",""))</f>
        <v/>
      </c>
      <c r="T2253" s="39" t="str">
        <f>IF(ISERROR(FIND('112'!$M$9,G2253,1)),"",IF((AND(LEFT(G2253,2)=LEFT('112'!$M$9,2),B2253&lt;'112'!$N$8,$L2253='112'!$I$6)),"x",""))</f>
        <v/>
      </c>
      <c r="U2253" s="39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39" t="str">
        <f>IF(OR(TH!L2253=TH!$W$7,M2253=TH!$W$7),"x","")</f>
        <v/>
      </c>
      <c r="X2253" s="39" t="str">
        <f>IF(AND(B2253&gt;='IN-NX'!$P$3,B2253&lt;='IN-NX'!$Q$3,'IN-NX'!$D$7=D2253,OR(LEFT(L2253,2)="15",AND(LEFT(M2253,2)&lt;&gt;"15",LEFT(M2253,2)&lt;&gt;"33"))),"x","")</f>
        <v/>
      </c>
      <c r="Y2253" s="39" t="str">
        <f>IF(AND(OR(LEFT(TH!L2253,2)="15",LEFT(TH!M2253,2)="15"),'152-CT'!$J$8=TH!F2253),"x","")</f>
        <v/>
      </c>
      <c r="Z2253" s="39" t="str">
        <f>IF(AND(OR(LEFT(TH!L2253,2)="15",LEFT(TH!M2253,2)="15"),TK!$E$7=TH!F2253),"x","")</f>
        <v/>
      </c>
      <c r="AA2253" s="39" t="str">
        <f>IF(AND(B2253&lt;=NKC!$N$8,B2253&gt;=NKC!$M$8),"x","")</f>
        <v/>
      </c>
      <c r="AB2253" s="821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107"/>
        <v/>
      </c>
      <c r="C2254" s="191"/>
      <c r="D2254" s="191"/>
      <c r="E2254" s="786"/>
      <c r="F2254" s="192"/>
      <c r="G2254" s="468"/>
      <c r="H2254" s="193"/>
      <c r="I2254" s="256"/>
      <c r="J2254" s="256"/>
      <c r="K2254" s="568"/>
      <c r="L2254" s="194"/>
      <c r="M2254" s="194"/>
      <c r="N2254" s="39" t="str">
        <f>IF(AND('331-CT'!$E$7=TH!H2254,OR(L2254="331",M2254="331")),"331",IF(AND(OR(L2254="131",M2254="131"),H2254='131-CT'!$E$7),"131",""))</f>
        <v/>
      </c>
      <c r="O2254" s="902" t="str">
        <f>IF(AND('341-CT'!$E$9=H2254,OR(LEFT(L2254,3)=$O$7,LEFT(M2254,3)=$O$7)),"x","")</f>
        <v/>
      </c>
      <c r="P2254" s="39" t="str">
        <f>IF(AND($B2254&gt;='111'!$N$11,$B2254&lt;='111'!$O$11,OR($L2254=$P$7,$M2254=$P$7)),"x","")</f>
        <v/>
      </c>
      <c r="Q2254" s="39" t="str">
        <f>IF(AND($L2254=$P$7,$B2254&lt;'111'!$N$11),"x","")</f>
        <v/>
      </c>
      <c r="R2254" s="39" t="str">
        <f>IF(AND($M2254=$P$7,$B2254&lt;'111'!$N$11),"x","")</f>
        <v/>
      </c>
      <c r="S2254" s="39" t="str">
        <f>IF(ISERROR(FIND('112'!$M$9,G2254,1)),"",IF((AND(FIND('112'!$M$9,G2254,1)&gt;=1,$B2254&gt;='112'!$N$8,$B2254&lt;='112'!$O$8,OR($L2254='112'!$I$6,$M2254='112'!$I$6))),"x",""))</f>
        <v/>
      </c>
      <c r="T2254" s="39" t="str">
        <f>IF(ISERROR(FIND('112'!$M$9,G2254,1)),"",IF((AND(LEFT(G2254,2)=LEFT('112'!$M$9,2),B2254&lt;'112'!$N$8,$L2254='112'!$I$6)),"x",""))</f>
        <v/>
      </c>
      <c r="U2254" s="39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39" t="str">
        <f>IF(OR(TH!L2254=TH!$W$7,M2254=TH!$W$7),"x","")</f>
        <v/>
      </c>
      <c r="X2254" s="39" t="str">
        <f>IF(AND(B2254&gt;='IN-NX'!$P$3,B2254&lt;='IN-NX'!$Q$3,'IN-NX'!$D$7=D2254,OR(LEFT(L2254,2)="15",AND(LEFT(M2254,2)&lt;&gt;"15",LEFT(M2254,2)&lt;&gt;"33"))),"x","")</f>
        <v/>
      </c>
      <c r="Y2254" s="39" t="str">
        <f>IF(AND(OR(LEFT(TH!L2254,2)="15",LEFT(TH!M2254,2)="15"),'152-CT'!$J$8=TH!F2254),"x","")</f>
        <v/>
      </c>
      <c r="Z2254" s="39" t="str">
        <f>IF(AND(OR(LEFT(TH!L2254,2)="15",LEFT(TH!M2254,2)="15"),TK!$E$7=TH!F2254),"x","")</f>
        <v/>
      </c>
      <c r="AA2254" s="39" t="str">
        <f>IF(AND(B2254&lt;=NKC!$N$8,B2254&gt;=NKC!$M$8),"x","")</f>
        <v/>
      </c>
      <c r="AB2254" s="821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107"/>
        <v/>
      </c>
      <c r="C2255" s="191"/>
      <c r="D2255" s="191"/>
      <c r="E2255" s="786"/>
      <c r="F2255" s="192"/>
      <c r="G2255" s="468"/>
      <c r="H2255" s="193"/>
      <c r="I2255" s="256"/>
      <c r="J2255" s="256"/>
      <c r="K2255" s="568"/>
      <c r="L2255" s="194"/>
      <c r="M2255" s="194"/>
      <c r="N2255" s="39" t="str">
        <f>IF(AND('331-CT'!$E$7=TH!H2255,OR(L2255="331",M2255="331")),"331",IF(AND(OR(L2255="131",M2255="131"),H2255='131-CT'!$E$7),"131",""))</f>
        <v/>
      </c>
      <c r="O2255" s="902" t="str">
        <f>IF(AND('341-CT'!$E$9=H2255,OR(LEFT(L2255,3)=$O$7,LEFT(M2255,3)=$O$7)),"x","")</f>
        <v/>
      </c>
      <c r="P2255" s="39" t="str">
        <f>IF(AND($B2255&gt;='111'!$N$11,$B2255&lt;='111'!$O$11,OR($L2255=$P$7,$M2255=$P$7)),"x","")</f>
        <v/>
      </c>
      <c r="Q2255" s="39" t="str">
        <f>IF(AND($L2255=$P$7,$B2255&lt;'111'!$N$11),"x","")</f>
        <v/>
      </c>
      <c r="R2255" s="39" t="str">
        <f>IF(AND($M2255=$P$7,$B2255&lt;'111'!$N$11),"x","")</f>
        <v/>
      </c>
      <c r="S2255" s="39" t="str">
        <f>IF(ISERROR(FIND('112'!$M$9,G2255,1)),"",IF((AND(FIND('112'!$M$9,G2255,1)&gt;=1,$B2255&gt;='112'!$N$8,$B2255&lt;='112'!$O$8,OR($L2255='112'!$I$6,$M2255='112'!$I$6))),"x",""))</f>
        <v/>
      </c>
      <c r="T2255" s="39" t="str">
        <f>IF(ISERROR(FIND('112'!$M$9,G2255,1)),"",IF((AND(LEFT(G2255,2)=LEFT('112'!$M$9,2),B2255&lt;'112'!$N$8,$L2255='112'!$I$6)),"x",""))</f>
        <v/>
      </c>
      <c r="U2255" s="39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39" t="str">
        <f>IF(OR(TH!L2255=TH!$W$7,M2255=TH!$W$7),"x","")</f>
        <v/>
      </c>
      <c r="X2255" s="39" t="str">
        <f>IF(AND(B2255&gt;='IN-NX'!$P$3,B2255&lt;='IN-NX'!$Q$3,'IN-NX'!$D$7=D2255,OR(LEFT(L2255,2)="15",AND(LEFT(M2255,2)&lt;&gt;"15",LEFT(M2255,2)&lt;&gt;"33"))),"x","")</f>
        <v/>
      </c>
      <c r="Y2255" s="39" t="str">
        <f>IF(AND(OR(LEFT(TH!L2255,2)="15",LEFT(TH!M2255,2)="15"),'152-CT'!$J$8=TH!F2255),"x","")</f>
        <v/>
      </c>
      <c r="Z2255" s="39" t="str">
        <f>IF(AND(OR(LEFT(TH!L2255,2)="15",LEFT(TH!M2255,2)="15"),TK!$E$7=TH!F2255),"x","")</f>
        <v/>
      </c>
      <c r="AA2255" s="39" t="str">
        <f>IF(AND(B2255&lt;=NKC!$N$8,B2255&gt;=NKC!$M$8),"x","")</f>
        <v/>
      </c>
      <c r="AB2255" s="821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107"/>
        <v/>
      </c>
      <c r="C2256" s="191"/>
      <c r="D2256" s="191"/>
      <c r="E2256" s="786"/>
      <c r="F2256" s="192"/>
      <c r="G2256" s="468"/>
      <c r="H2256" s="193"/>
      <c r="I2256" s="256"/>
      <c r="J2256" s="256"/>
      <c r="K2256" s="568"/>
      <c r="L2256" s="194"/>
      <c r="M2256" s="194"/>
      <c r="N2256" s="39" t="str">
        <f>IF(AND('331-CT'!$E$7=TH!H2256,OR(L2256="331",M2256="331")),"331",IF(AND(OR(L2256="131",M2256="131"),H2256='131-CT'!$E$7),"131",""))</f>
        <v/>
      </c>
      <c r="O2256" s="902" t="str">
        <f>IF(AND('341-CT'!$E$9=H2256,OR(LEFT(L2256,3)=$O$7,LEFT(M2256,3)=$O$7)),"x","")</f>
        <v/>
      </c>
      <c r="P2256" s="39" t="str">
        <f>IF(AND($B2256&gt;='111'!$N$11,$B2256&lt;='111'!$O$11,OR($L2256=$P$7,$M2256=$P$7)),"x","")</f>
        <v/>
      </c>
      <c r="Q2256" s="39" t="str">
        <f>IF(AND($L2256=$P$7,$B2256&lt;'111'!$N$11),"x","")</f>
        <v/>
      </c>
      <c r="R2256" s="39" t="str">
        <f>IF(AND($M2256=$P$7,$B2256&lt;'111'!$N$11),"x","")</f>
        <v/>
      </c>
      <c r="S2256" s="39" t="str">
        <f>IF(ISERROR(FIND('112'!$M$9,G2256,1)),"",IF((AND(FIND('112'!$M$9,G2256,1)&gt;=1,$B2256&gt;='112'!$N$8,$B2256&lt;='112'!$O$8,OR($L2256='112'!$I$6,$M2256='112'!$I$6))),"x",""))</f>
        <v/>
      </c>
      <c r="T2256" s="39" t="str">
        <f>IF(ISERROR(FIND('112'!$M$9,G2256,1)),"",IF((AND(LEFT(G2256,2)=LEFT('112'!$M$9,2),B2256&lt;'112'!$N$8,$L2256='112'!$I$6)),"x",""))</f>
        <v/>
      </c>
      <c r="U2256" s="39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39" t="str">
        <f>IF(OR(TH!L2256=TH!$W$7,M2256=TH!$W$7),"x","")</f>
        <v/>
      </c>
      <c r="X2256" s="39" t="str">
        <f>IF(AND(B2256&gt;='IN-NX'!$P$3,B2256&lt;='IN-NX'!$Q$3,'IN-NX'!$D$7=D2256,OR(LEFT(L2256,2)="15",AND(LEFT(M2256,2)&lt;&gt;"15",LEFT(M2256,2)&lt;&gt;"33"))),"x","")</f>
        <v/>
      </c>
      <c r="Y2256" s="39" t="str">
        <f>IF(AND(OR(LEFT(TH!L2256,2)="15",LEFT(TH!M2256,2)="15"),'152-CT'!$J$8=TH!F2256),"x","")</f>
        <v/>
      </c>
      <c r="Z2256" s="39" t="str">
        <f>IF(AND(OR(LEFT(TH!L2256,2)="15",LEFT(TH!M2256,2)="15"),TK!$E$7=TH!F2256),"x","")</f>
        <v/>
      </c>
      <c r="AA2256" s="39" t="str">
        <f>IF(AND(B2256&lt;=NKC!$N$8,B2256&gt;=NKC!$M$8),"x","")</f>
        <v/>
      </c>
      <c r="AB2256" s="821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107"/>
        <v/>
      </c>
      <c r="C2257" s="191"/>
      <c r="D2257" s="37"/>
      <c r="E2257" s="729"/>
      <c r="F2257" s="40"/>
      <c r="G2257" s="40"/>
      <c r="H2257" s="7"/>
      <c r="I2257" s="256"/>
      <c r="J2257" s="256"/>
      <c r="K2257" s="56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902" t="str">
        <f>IF(AND('341-CT'!$E$9=H2257,OR(LEFT(L2257,3)=$O$7,LEFT(M2257,3)=$O$7)),"x","")</f>
        <v/>
      </c>
      <c r="P2257" s="39" t="str">
        <f>IF(AND($B2257&gt;='111'!$N$11,$B2257&lt;='111'!$O$11,OR($L2257=$P$7,$M2257=$P$7)),"x","")</f>
        <v/>
      </c>
      <c r="Q2257" s="39" t="str">
        <f>IF(AND($L2257=$P$7,$B2257&lt;'111'!$N$11),"x","")</f>
        <v/>
      </c>
      <c r="R2257" s="39" t="str">
        <f>IF(AND($M2257=$P$7,$B2257&lt;'111'!$N$11),"x","")</f>
        <v/>
      </c>
      <c r="S2257" s="39" t="str">
        <f>IF(ISERROR(FIND('112'!$M$9,G2257,1)),"",IF((AND(FIND('112'!$M$9,G2257,1)&gt;=1,$B2257&gt;='112'!$N$8,$B2257&lt;='112'!$O$8,OR($L2257='112'!$I$6,$M2257='112'!$I$6))),"x",""))</f>
        <v/>
      </c>
      <c r="T2257" s="39" t="str">
        <f>IF(ISERROR(FIND('112'!$M$9,G2257,1)),"",IF((AND(LEFT(G2257,2)=LEFT('112'!$M$9,2),B2257&lt;'112'!$N$8,$L2257='112'!$I$6)),"x",""))</f>
        <v/>
      </c>
      <c r="U2257" s="39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39" t="str">
        <f>IF(OR(TH!L2257=TH!$W$7,M2257=TH!$W$7),"x","")</f>
        <v/>
      </c>
      <c r="X2257" s="39" t="str">
        <f>IF(AND(B2257&gt;='IN-NX'!$P$3,B2257&lt;='IN-NX'!$Q$3,'IN-NX'!$D$7=D2257,OR(LEFT(L2257,2)="15",AND(LEFT(M2257,2)&lt;&gt;"15",LEFT(M2257,2)&lt;&gt;"33"))),"x","")</f>
        <v/>
      </c>
      <c r="Y2257" s="39" t="str">
        <f>IF(AND(OR(LEFT(TH!L2257,2)="15",LEFT(TH!M2257,2)="15"),'152-CT'!$J$8=TH!F2257),"x","")</f>
        <v/>
      </c>
      <c r="Z2257" s="39" t="str">
        <f>IF(AND(OR(LEFT(TH!L2257,2)="15",LEFT(TH!M2257,2)="15"),TK!$E$7=TH!F2257),"x","")</f>
        <v/>
      </c>
      <c r="AA2257" s="39" t="str">
        <f>IF(AND(B2257&lt;=NKC!$N$8,B2257&gt;=NKC!$M$8),"x","")</f>
        <v/>
      </c>
      <c r="AB2257" s="821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107"/>
        <v/>
      </c>
      <c r="C2258" s="191"/>
      <c r="D2258" s="37"/>
      <c r="E2258" s="729"/>
      <c r="F2258" s="40"/>
      <c r="G2258" s="40"/>
      <c r="H2258" s="7"/>
      <c r="I2258" s="256"/>
      <c r="J2258" s="256"/>
      <c r="K2258" s="56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902" t="str">
        <f>IF(AND('341-CT'!$E$9=H2258,OR(LEFT(L2258,3)=$O$7,LEFT(M2258,3)=$O$7)),"x","")</f>
        <v/>
      </c>
      <c r="P2258" s="39" t="str">
        <f>IF(AND($B2258&gt;='111'!$N$11,$B2258&lt;='111'!$O$11,OR($L2258=$P$7,$M2258=$P$7)),"x","")</f>
        <v/>
      </c>
      <c r="Q2258" s="39" t="str">
        <f>IF(AND($L2258=$P$7,$B2258&lt;'111'!$N$11),"x","")</f>
        <v/>
      </c>
      <c r="R2258" s="39" t="str">
        <f>IF(AND($M2258=$P$7,$B2258&lt;'111'!$N$11),"x","")</f>
        <v/>
      </c>
      <c r="S2258" s="39" t="str">
        <f>IF(ISERROR(FIND('112'!$M$9,G2258,1)),"",IF((AND(FIND('112'!$M$9,G2258,1)&gt;=1,$B2258&gt;='112'!$N$8,$B2258&lt;='112'!$O$8,OR($L2258='112'!$I$6,$M2258='112'!$I$6))),"x",""))</f>
        <v/>
      </c>
      <c r="T2258" s="39" t="str">
        <f>IF(ISERROR(FIND('112'!$M$9,G2258,1)),"",IF((AND(LEFT(G2258,2)=LEFT('112'!$M$9,2),B2258&lt;'112'!$N$8,$L2258='112'!$I$6)),"x",""))</f>
        <v/>
      </c>
      <c r="U2258" s="39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39" t="str">
        <f>IF(OR(TH!L2258=TH!$W$7,M2258=TH!$W$7),"x","")</f>
        <v/>
      </c>
      <c r="X2258" s="39" t="str">
        <f>IF(AND(B2258&gt;='IN-NX'!$P$3,B2258&lt;='IN-NX'!$Q$3,'IN-NX'!$D$7=D2258,OR(LEFT(L2258,2)="15",AND(LEFT(M2258,2)&lt;&gt;"15",LEFT(M2258,2)&lt;&gt;"33"))),"x","")</f>
        <v/>
      </c>
      <c r="Y2258" s="39" t="str">
        <f>IF(AND(OR(LEFT(TH!L2258,2)="15",LEFT(TH!M2258,2)="15"),'152-CT'!$J$8=TH!F2258),"x","")</f>
        <v/>
      </c>
      <c r="Z2258" s="39" t="str">
        <f>IF(AND(OR(LEFT(TH!L2258,2)="15",LEFT(TH!M2258,2)="15"),TK!$E$7=TH!F2258),"x","")</f>
        <v/>
      </c>
      <c r="AA2258" s="39" t="str">
        <f>IF(AND(B2258&lt;=NKC!$N$8,B2258&gt;=NKC!$M$8),"x","")</f>
        <v/>
      </c>
      <c r="AB2258" s="821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107"/>
        <v/>
      </c>
      <c r="C2259" s="191"/>
      <c r="D2259" s="37"/>
      <c r="E2259" s="729"/>
      <c r="F2259" s="40"/>
      <c r="G2259" s="40"/>
      <c r="H2259" s="7"/>
      <c r="I2259" s="256"/>
      <c r="J2259" s="256"/>
      <c r="K2259" s="56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902" t="str">
        <f>IF(AND('341-CT'!$E$9=H2259,OR(LEFT(L2259,3)=$O$7,LEFT(M2259,3)=$O$7)),"x","")</f>
        <v/>
      </c>
      <c r="P2259" s="39" t="str">
        <f>IF(AND($B2259&gt;='111'!$N$11,$B2259&lt;='111'!$O$11,OR($L2259=$P$7,$M2259=$P$7)),"x","")</f>
        <v/>
      </c>
      <c r="Q2259" s="39" t="str">
        <f>IF(AND($L2259=$P$7,$B2259&lt;'111'!$N$11),"x","")</f>
        <v/>
      </c>
      <c r="R2259" s="39" t="str">
        <f>IF(AND($M2259=$P$7,$B2259&lt;'111'!$N$11),"x","")</f>
        <v/>
      </c>
      <c r="S2259" s="39" t="str">
        <f>IF(ISERROR(FIND('112'!$M$9,G2259,1)),"",IF((AND(FIND('112'!$M$9,G2259,1)&gt;=1,$B2259&gt;='112'!$N$8,$B2259&lt;='112'!$O$8,OR($L2259='112'!$I$6,$M2259='112'!$I$6))),"x",""))</f>
        <v/>
      </c>
      <c r="T2259" s="39" t="str">
        <f>IF(ISERROR(FIND('112'!$M$9,G2259,1)),"",IF((AND(LEFT(G2259,2)=LEFT('112'!$M$9,2),B2259&lt;'112'!$N$8,$L2259='112'!$I$6)),"x",""))</f>
        <v/>
      </c>
      <c r="U2259" s="39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39" t="str">
        <f>IF(OR(TH!L2259=TH!$W$7,M2259=TH!$W$7),"x","")</f>
        <v/>
      </c>
      <c r="X2259" s="39" t="str">
        <f>IF(AND(B2259&gt;='IN-NX'!$P$3,B2259&lt;='IN-NX'!$Q$3,'IN-NX'!$D$7=D2259,OR(LEFT(L2259,2)="15",AND(LEFT(M2259,2)&lt;&gt;"15",LEFT(M2259,2)&lt;&gt;"33"))),"x","")</f>
        <v/>
      </c>
      <c r="Y2259" s="39" t="str">
        <f>IF(AND(OR(LEFT(TH!L2259,2)="15",LEFT(TH!M2259,2)="15"),'152-CT'!$J$8=TH!F2259),"x","")</f>
        <v/>
      </c>
      <c r="Z2259" s="39" t="str">
        <f>IF(AND(OR(LEFT(TH!L2259,2)="15",LEFT(TH!M2259,2)="15"),TK!$E$7=TH!F2259),"x","")</f>
        <v/>
      </c>
      <c r="AA2259" s="39" t="str">
        <f>IF(AND(B2259&lt;=NKC!$N$8,B2259&gt;=NKC!$M$8),"x","")</f>
        <v/>
      </c>
      <c r="AB2259" s="821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107"/>
        <v/>
      </c>
      <c r="C2260" s="191"/>
      <c r="D2260" s="37"/>
      <c r="E2260" s="729"/>
      <c r="F2260" s="40"/>
      <c r="G2260" s="40"/>
      <c r="H2260" s="7"/>
      <c r="I2260" s="256"/>
      <c r="J2260" s="256"/>
      <c r="K2260" s="56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902" t="str">
        <f>IF(AND('341-CT'!$E$9=H2260,OR(LEFT(L2260,3)=$O$7,LEFT(M2260,3)=$O$7)),"x","")</f>
        <v/>
      </c>
      <c r="P2260" s="39" t="str">
        <f>IF(AND($B2260&gt;='111'!$N$11,$B2260&lt;='111'!$O$11,OR($L2260=$P$7,$M2260=$P$7)),"x","")</f>
        <v/>
      </c>
      <c r="Q2260" s="39" t="str">
        <f>IF(AND($L2260=$P$7,$B2260&lt;'111'!$N$11),"x","")</f>
        <v/>
      </c>
      <c r="R2260" s="39" t="str">
        <f>IF(AND($M2260=$P$7,$B2260&lt;'111'!$N$11),"x","")</f>
        <v/>
      </c>
      <c r="S2260" s="39" t="str">
        <f>IF(ISERROR(FIND('112'!$M$9,G2260,1)),"",IF((AND(FIND('112'!$M$9,G2260,1)&gt;=1,$B2260&gt;='112'!$N$8,$B2260&lt;='112'!$O$8,OR($L2260='112'!$I$6,$M2260='112'!$I$6))),"x",""))</f>
        <v/>
      </c>
      <c r="T2260" s="39" t="str">
        <f>IF(ISERROR(FIND('112'!$M$9,G2260,1)),"",IF((AND(LEFT(G2260,2)=LEFT('112'!$M$9,2),B2260&lt;'112'!$N$8,$L2260='112'!$I$6)),"x",""))</f>
        <v/>
      </c>
      <c r="U2260" s="39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39" t="str">
        <f>IF(OR(TH!L2260=TH!$W$7,M2260=TH!$W$7),"x","")</f>
        <v/>
      </c>
      <c r="X2260" s="39" t="str">
        <f>IF(AND(B2260&gt;='IN-NX'!$P$3,B2260&lt;='IN-NX'!$Q$3,'IN-NX'!$D$7=D2260,OR(LEFT(L2260,2)="15",AND(LEFT(M2260,2)&lt;&gt;"15",LEFT(M2260,2)&lt;&gt;"33"))),"x","")</f>
        <v/>
      </c>
      <c r="Y2260" s="39" t="str">
        <f>IF(AND(OR(LEFT(TH!L2260,2)="15",LEFT(TH!M2260,2)="15"),'152-CT'!$J$8=TH!F2260),"x","")</f>
        <v/>
      </c>
      <c r="Z2260" s="39" t="str">
        <f>IF(AND(OR(LEFT(TH!L2260,2)="15",LEFT(TH!M2260,2)="15"),TK!$E$7=TH!F2260),"x","")</f>
        <v/>
      </c>
      <c r="AA2260" s="39" t="str">
        <f>IF(AND(B2260&lt;=NKC!$N$8,B2260&gt;=NKC!$M$8),"x","")</f>
        <v/>
      </c>
      <c r="AB2260" s="821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107"/>
        <v/>
      </c>
      <c r="C2261" s="191"/>
      <c r="D2261" s="37"/>
      <c r="E2261" s="729"/>
      <c r="F2261" s="40"/>
      <c r="G2261" s="40"/>
      <c r="H2261" s="7"/>
      <c r="I2261" s="256"/>
      <c r="J2261" s="256"/>
      <c r="K2261" s="56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902" t="str">
        <f>IF(AND('341-CT'!$E$9=H2261,OR(LEFT(L2261,3)=$O$7,LEFT(M2261,3)=$O$7)),"x","")</f>
        <v/>
      </c>
      <c r="P2261" s="39" t="str">
        <f>IF(AND($B2261&gt;='111'!$N$11,$B2261&lt;='111'!$O$11,OR($L2261=$P$7,$M2261=$P$7)),"x","")</f>
        <v/>
      </c>
      <c r="Q2261" s="39" t="str">
        <f>IF(AND($L2261=$P$7,$B2261&lt;'111'!$N$11),"x","")</f>
        <v/>
      </c>
      <c r="R2261" s="39" t="str">
        <f>IF(AND($M2261=$P$7,$B2261&lt;'111'!$N$11),"x","")</f>
        <v/>
      </c>
      <c r="S2261" s="39" t="str">
        <f>IF(ISERROR(FIND('112'!$M$9,G2261,1)),"",IF((AND(FIND('112'!$M$9,G2261,1)&gt;=1,$B2261&gt;='112'!$N$8,$B2261&lt;='112'!$O$8,OR($L2261='112'!$I$6,$M2261='112'!$I$6))),"x",""))</f>
        <v/>
      </c>
      <c r="T2261" s="39" t="str">
        <f>IF(ISERROR(FIND('112'!$M$9,G2261,1)),"",IF((AND(LEFT(G2261,2)=LEFT('112'!$M$9,2),B2261&lt;'112'!$N$8,$L2261='112'!$I$6)),"x",""))</f>
        <v/>
      </c>
      <c r="U2261" s="39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39" t="str">
        <f>IF(OR(TH!L2261=TH!$W$7,M2261=TH!$W$7),"x","")</f>
        <v/>
      </c>
      <c r="X2261" s="39" t="str">
        <f>IF(AND(B2261&gt;='IN-NX'!$P$3,B2261&lt;='IN-NX'!$Q$3,'IN-NX'!$D$7=D2261,OR(LEFT(L2261,2)="15",AND(LEFT(M2261,2)&lt;&gt;"15",LEFT(M2261,2)&lt;&gt;"33"))),"x","")</f>
        <v/>
      </c>
      <c r="Y2261" s="39" t="str">
        <f>IF(AND(OR(LEFT(TH!L2261,2)="15",LEFT(TH!M2261,2)="15"),'152-CT'!$J$8=TH!F2261),"x","")</f>
        <v/>
      </c>
      <c r="Z2261" s="39" t="str">
        <f>IF(AND(OR(LEFT(TH!L2261,2)="15",LEFT(TH!M2261,2)="15"),TK!$E$7=TH!F2261),"x","")</f>
        <v/>
      </c>
      <c r="AA2261" s="39" t="str">
        <f>IF(AND(B2261&lt;=NKC!$N$8,B2261&gt;=NKC!$M$8),"x","")</f>
        <v/>
      </c>
      <c r="AB2261" s="821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107"/>
        <v/>
      </c>
      <c r="C2262" s="191"/>
      <c r="D2262" s="37"/>
      <c r="E2262" s="729"/>
      <c r="F2262" s="40"/>
      <c r="G2262" s="40"/>
      <c r="H2262" s="7"/>
      <c r="I2262" s="256"/>
      <c r="J2262" s="256"/>
      <c r="K2262" s="56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902" t="str">
        <f>IF(AND('341-CT'!$E$9=H2262,OR(LEFT(L2262,3)=$O$7,LEFT(M2262,3)=$O$7)),"x","")</f>
        <v/>
      </c>
      <c r="P2262" s="39" t="str">
        <f>IF(AND($B2262&gt;='111'!$N$11,$B2262&lt;='111'!$O$11,OR($L2262=$P$7,$M2262=$P$7)),"x","")</f>
        <v/>
      </c>
      <c r="Q2262" s="39" t="str">
        <f>IF(AND($L2262=$P$7,$B2262&lt;'111'!$N$11),"x","")</f>
        <v/>
      </c>
      <c r="R2262" s="39" t="str">
        <f>IF(AND($M2262=$P$7,$B2262&lt;'111'!$N$11),"x","")</f>
        <v/>
      </c>
      <c r="S2262" s="39" t="str">
        <f>IF(ISERROR(FIND('112'!$M$9,G2262,1)),"",IF((AND(FIND('112'!$M$9,G2262,1)&gt;=1,$B2262&gt;='112'!$N$8,$B2262&lt;='112'!$O$8,OR($L2262='112'!$I$6,$M2262='112'!$I$6))),"x",""))</f>
        <v/>
      </c>
      <c r="T2262" s="39" t="str">
        <f>IF(ISERROR(FIND('112'!$M$9,G2262,1)),"",IF((AND(LEFT(G2262,2)=LEFT('112'!$M$9,2),B2262&lt;'112'!$N$8,$L2262='112'!$I$6)),"x",""))</f>
        <v/>
      </c>
      <c r="U2262" s="39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39" t="str">
        <f>IF(OR(TH!L2262=TH!$W$7,M2262=TH!$W$7),"x","")</f>
        <v/>
      </c>
      <c r="X2262" s="39" t="str">
        <f>IF(AND(B2262&gt;='IN-NX'!$P$3,B2262&lt;='IN-NX'!$Q$3,'IN-NX'!$D$7=D2262,OR(LEFT(L2262,2)="15",AND(LEFT(M2262,2)&lt;&gt;"15",LEFT(M2262,2)&lt;&gt;"33"))),"x","")</f>
        <v/>
      </c>
      <c r="Y2262" s="39" t="str">
        <f>IF(AND(OR(LEFT(TH!L2262,2)="15",LEFT(TH!M2262,2)="15"),'152-CT'!$J$8=TH!F2262),"x","")</f>
        <v/>
      </c>
      <c r="Z2262" s="39" t="str">
        <f>IF(AND(OR(LEFT(TH!L2262,2)="15",LEFT(TH!M2262,2)="15"),TK!$E$7=TH!F2262),"x","")</f>
        <v/>
      </c>
      <c r="AA2262" s="39" t="str">
        <f>IF(AND(B2262&lt;=NKC!$N$8,B2262&gt;=NKC!$M$8),"x","")</f>
        <v/>
      </c>
      <c r="AB2262" s="821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107"/>
        <v/>
      </c>
      <c r="C2263" s="191"/>
      <c r="D2263" s="37"/>
      <c r="E2263" s="729"/>
      <c r="F2263" s="40"/>
      <c r="G2263" s="40"/>
      <c r="H2263" s="7"/>
      <c r="I2263" s="256"/>
      <c r="J2263" s="256"/>
      <c r="K2263" s="56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902" t="str">
        <f>IF(AND('341-CT'!$E$9=H2263,OR(LEFT(L2263,3)=$O$7,LEFT(M2263,3)=$O$7)),"x","")</f>
        <v/>
      </c>
      <c r="P2263" s="39" t="str">
        <f>IF(AND($B2263&gt;='111'!$N$11,$B2263&lt;='111'!$O$11,OR($L2263=$P$7,$M2263=$P$7)),"x","")</f>
        <v/>
      </c>
      <c r="Q2263" s="39" t="str">
        <f>IF(AND($L2263=$P$7,$B2263&lt;'111'!$N$11),"x","")</f>
        <v/>
      </c>
      <c r="R2263" s="39" t="str">
        <f>IF(AND($M2263=$P$7,$B2263&lt;'111'!$N$11),"x","")</f>
        <v/>
      </c>
      <c r="S2263" s="39" t="str">
        <f>IF(ISERROR(FIND('112'!$M$9,G2263,1)),"",IF((AND(FIND('112'!$M$9,G2263,1)&gt;=1,$B2263&gt;='112'!$N$8,$B2263&lt;='112'!$O$8,OR($L2263='112'!$I$6,$M2263='112'!$I$6))),"x",""))</f>
        <v/>
      </c>
      <c r="T2263" s="39" t="str">
        <f>IF(ISERROR(FIND('112'!$M$9,G2263,1)),"",IF((AND(LEFT(G2263,2)=LEFT('112'!$M$9,2),B2263&lt;'112'!$N$8,$L2263='112'!$I$6)),"x",""))</f>
        <v/>
      </c>
      <c r="U2263" s="39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39" t="str">
        <f>IF(OR(TH!L2263=TH!$W$7,M2263=TH!$W$7),"x","")</f>
        <v/>
      </c>
      <c r="X2263" s="39" t="str">
        <f>IF(AND(B2263&gt;='IN-NX'!$P$3,B2263&lt;='IN-NX'!$Q$3,'IN-NX'!$D$7=D2263,OR(LEFT(L2263,2)="15",AND(LEFT(M2263,2)&lt;&gt;"15",LEFT(M2263,2)&lt;&gt;"33"))),"x","")</f>
        <v/>
      </c>
      <c r="Y2263" s="39" t="str">
        <f>IF(AND(OR(LEFT(TH!L2263,2)="15",LEFT(TH!M2263,2)="15"),'152-CT'!$J$8=TH!F2263),"x","")</f>
        <v/>
      </c>
      <c r="Z2263" s="39" t="str">
        <f>IF(AND(OR(LEFT(TH!L2263,2)="15",LEFT(TH!M2263,2)="15"),TK!$E$7=TH!F2263),"x","")</f>
        <v/>
      </c>
      <c r="AA2263" s="39" t="str">
        <f>IF(AND(B2263&lt;=NKC!$N$8,B2263&gt;=NKC!$M$8),"x","")</f>
        <v/>
      </c>
      <c r="AB2263" s="821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107"/>
        <v/>
      </c>
      <c r="C2264" s="191"/>
      <c r="D2264" s="37"/>
      <c r="E2264" s="729"/>
      <c r="F2264" s="40"/>
      <c r="G2264" s="40"/>
      <c r="H2264" s="7"/>
      <c r="I2264" s="256"/>
      <c r="J2264" s="256"/>
      <c r="K2264" s="568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902" t="str">
        <f>IF(AND('341-CT'!$E$9=H2264,OR(LEFT(L2264,3)=$O$7,LEFT(M2264,3)=$O$7)),"x","")</f>
        <v/>
      </c>
      <c r="P2264" s="39" t="str">
        <f>IF(AND($B2264&gt;='111'!$N$11,$B2264&lt;='111'!$O$11,OR($L2264=$P$7,$M2264=$P$7)),"x","")</f>
        <v/>
      </c>
      <c r="Q2264" s="39" t="str">
        <f>IF(AND($L2264=$P$7,$B2264&lt;'111'!$N$11),"x","")</f>
        <v/>
      </c>
      <c r="R2264" s="39" t="str">
        <f>IF(AND($M2264=$P$7,$B2264&lt;'111'!$N$11),"x","")</f>
        <v/>
      </c>
      <c r="S2264" s="39" t="str">
        <f>IF(ISERROR(FIND('112'!$M$9,G2264,1)),"",IF((AND(FIND('112'!$M$9,G2264,1)&gt;=1,$B2264&gt;='112'!$N$8,$B2264&lt;='112'!$O$8,OR($L2264='112'!$I$6,$M2264='112'!$I$6))),"x",""))</f>
        <v/>
      </c>
      <c r="T2264" s="39" t="str">
        <f>IF(ISERROR(FIND('112'!$M$9,G2264,1)),"",IF((AND(LEFT(G2264,2)=LEFT('112'!$M$9,2),B2264&lt;'112'!$N$8,$L2264='112'!$I$6)),"x",""))</f>
        <v/>
      </c>
      <c r="U2264" s="39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39" t="str">
        <f>IF(OR(TH!L2264=TH!$W$7,M2264=TH!$W$7),"x","")</f>
        <v/>
      </c>
      <c r="X2264" s="39" t="str">
        <f>IF(AND(B2264&gt;='IN-NX'!$P$3,B2264&lt;='IN-NX'!$Q$3,'IN-NX'!$D$7=D2264,OR(LEFT(L2264,2)="15",AND(LEFT(M2264,2)&lt;&gt;"15",LEFT(M2264,2)&lt;&gt;"33"))),"x","")</f>
        <v/>
      </c>
      <c r="Y2264" s="39" t="str">
        <f>IF(AND(OR(LEFT(TH!L2264,2)="15",LEFT(TH!M2264,2)="15"),'152-CT'!$J$8=TH!F2264),"x","")</f>
        <v/>
      </c>
      <c r="Z2264" s="39" t="str">
        <f>IF(AND(OR(LEFT(TH!L2264,2)="15",LEFT(TH!M2264,2)="15"),TK!$E$7=TH!F2264),"x","")</f>
        <v/>
      </c>
      <c r="AA2264" s="39" t="str">
        <f>IF(AND(B2264&lt;=NKC!$N$8,B2264&gt;=NKC!$M$8),"x","")</f>
        <v/>
      </c>
      <c r="AB2264" s="821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si="107"/>
        <v/>
      </c>
      <c r="C2265" s="191"/>
      <c r="D2265" s="37"/>
      <c r="E2265" s="729"/>
      <c r="F2265" s="40"/>
      <c r="G2265" s="40"/>
      <c r="H2265" s="7"/>
      <c r="I2265" s="256"/>
      <c r="J2265" s="256"/>
      <c r="K2265" s="568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902" t="str">
        <f>IF(AND('341-CT'!$E$9=H2265,OR(LEFT(L2265,3)=$O$7,LEFT(M2265,3)=$O$7)),"x","")</f>
        <v/>
      </c>
      <c r="P2265" s="39" t="str">
        <f>IF(AND($B2265&gt;='111'!$N$11,$B2265&lt;='111'!$O$11,OR($L2265=$P$7,$M2265=$P$7)),"x","")</f>
        <v/>
      </c>
      <c r="Q2265" s="39" t="str">
        <f>IF(AND($L2265=$P$7,$B2265&lt;'111'!$N$11),"x","")</f>
        <v/>
      </c>
      <c r="R2265" s="39" t="str">
        <f>IF(AND($M2265=$P$7,$B2265&lt;'111'!$N$11),"x","")</f>
        <v/>
      </c>
      <c r="S2265" s="39" t="str">
        <f>IF(ISERROR(FIND('112'!$M$9,G2265,1)),"",IF((AND(FIND('112'!$M$9,G2265,1)&gt;=1,$B2265&gt;='112'!$N$8,$B2265&lt;='112'!$O$8,OR($L2265='112'!$I$6,$M2265='112'!$I$6))),"x",""))</f>
        <v/>
      </c>
      <c r="T2265" s="39" t="str">
        <f>IF(ISERROR(FIND('112'!$M$9,G2265,1)),"",IF((AND(LEFT(G2265,2)=LEFT('112'!$M$9,2),B2265&lt;'112'!$N$8,$L2265='112'!$I$6)),"x",""))</f>
        <v/>
      </c>
      <c r="U2265" s="39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39" t="str">
        <f>IF(OR(TH!L2265=TH!$W$7,M2265=TH!$W$7),"x","")</f>
        <v/>
      </c>
      <c r="X2265" s="39" t="str">
        <f>IF(AND(B2265&gt;='IN-NX'!$P$3,B2265&lt;='IN-NX'!$Q$3,'IN-NX'!$D$7=D2265,OR(LEFT(L2265,2)="15",AND(LEFT(M2265,2)&lt;&gt;"15",LEFT(M2265,2)&lt;&gt;"33"))),"x","")</f>
        <v/>
      </c>
      <c r="Y2265" s="39" t="str">
        <f>IF(AND(OR(LEFT(TH!L2265,2)="15",LEFT(TH!M2265,2)="15"),'152-CT'!$J$8=TH!F2265),"x","")</f>
        <v/>
      </c>
      <c r="Z2265" s="39" t="str">
        <f>IF(AND(OR(LEFT(TH!L2265,2)="15",LEFT(TH!M2265,2)="15"),TK!$E$7=TH!F2265),"x","")</f>
        <v/>
      </c>
      <c r="AA2265" s="39" t="str">
        <f>IF(AND(B2265&lt;=NKC!$N$8,B2265&gt;=NKC!$M$8),"x","")</f>
        <v/>
      </c>
      <c r="AB2265" s="821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107"/>
        <v/>
      </c>
      <c r="C2266" s="191"/>
      <c r="D2266" s="37"/>
      <c r="E2266" s="729"/>
      <c r="F2266" s="40"/>
      <c r="G2266" s="40"/>
      <c r="H2266" s="7"/>
      <c r="I2266" s="256"/>
      <c r="J2266" s="256"/>
      <c r="K2266" s="568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902" t="str">
        <f>IF(AND('341-CT'!$E$9=H2266,OR(LEFT(L2266,3)=$O$7,LEFT(M2266,3)=$O$7)),"x","")</f>
        <v/>
      </c>
      <c r="P2266" s="39" t="str">
        <f>IF(AND($B2266&gt;='111'!$N$11,$B2266&lt;='111'!$O$11,OR($L2266=$P$7,$M2266=$P$7)),"x","")</f>
        <v/>
      </c>
      <c r="Q2266" s="39" t="str">
        <f>IF(AND($L2266=$P$7,$B2266&lt;'111'!$N$11),"x","")</f>
        <v/>
      </c>
      <c r="R2266" s="39" t="str">
        <f>IF(AND($M2266=$P$7,$B2266&lt;'111'!$N$11),"x","")</f>
        <v/>
      </c>
      <c r="S2266" s="39" t="str">
        <f>IF(ISERROR(FIND('112'!$M$9,G2266,1)),"",IF((AND(FIND('112'!$M$9,G2266,1)&gt;=1,$B2266&gt;='112'!$N$8,$B2266&lt;='112'!$O$8,OR($L2266='112'!$I$6,$M2266='112'!$I$6))),"x",""))</f>
        <v/>
      </c>
      <c r="T2266" s="39" t="str">
        <f>IF(ISERROR(FIND('112'!$M$9,G2266,1)),"",IF((AND(LEFT(G2266,2)=LEFT('112'!$M$9,2),B2266&lt;'112'!$N$8,$L2266='112'!$I$6)),"x",""))</f>
        <v/>
      </c>
      <c r="U2266" s="39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39" t="str">
        <f>IF(OR(TH!L2266=TH!$W$7,M2266=TH!$W$7),"x","")</f>
        <v/>
      </c>
      <c r="X2266" s="39" t="str">
        <f>IF(AND(B2266&gt;='IN-NX'!$P$3,B2266&lt;='IN-NX'!$Q$3,'IN-NX'!$D$7=D2266,OR(LEFT(L2266,2)="15",AND(LEFT(M2266,2)&lt;&gt;"15",LEFT(M2266,2)&lt;&gt;"33"))),"x","")</f>
        <v/>
      </c>
      <c r="Y2266" s="39" t="str">
        <f>IF(AND(OR(LEFT(TH!L2266,2)="15",LEFT(TH!M2266,2)="15"),'152-CT'!$J$8=TH!F2266),"x","")</f>
        <v/>
      </c>
      <c r="Z2266" s="39" t="str">
        <f>IF(AND(OR(LEFT(TH!L2266,2)="15",LEFT(TH!M2266,2)="15"),TK!$E$7=TH!F2266),"x","")</f>
        <v/>
      </c>
      <c r="AA2266" s="39" t="str">
        <f>IF(AND(B2266&lt;=NKC!$N$8,B2266&gt;=NKC!$M$8),"x","")</f>
        <v/>
      </c>
      <c r="AB2266" s="821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107"/>
        <v/>
      </c>
      <c r="C2267" s="191"/>
      <c r="D2267" s="37"/>
      <c r="E2267" s="729"/>
      <c r="F2267" s="40"/>
      <c r="G2267" s="40"/>
      <c r="H2267" s="7"/>
      <c r="I2267" s="256"/>
      <c r="J2267" s="256"/>
      <c r="K2267" s="568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902" t="str">
        <f>IF(AND('341-CT'!$E$9=H2267,OR(LEFT(L2267,3)=$O$7,LEFT(M2267,3)=$O$7)),"x","")</f>
        <v/>
      </c>
      <c r="P2267" s="39" t="str">
        <f>IF(AND($B2267&gt;='111'!$N$11,$B2267&lt;='111'!$O$11,OR($L2267=$P$7,$M2267=$P$7)),"x","")</f>
        <v/>
      </c>
      <c r="Q2267" s="39" t="str">
        <f>IF(AND($L2267=$P$7,$B2267&lt;'111'!$N$11),"x","")</f>
        <v/>
      </c>
      <c r="R2267" s="39" t="str">
        <f>IF(AND($M2267=$P$7,$B2267&lt;'111'!$N$11),"x","")</f>
        <v/>
      </c>
      <c r="S2267" s="39" t="str">
        <f>IF(ISERROR(FIND('112'!$M$9,G2267,1)),"",IF((AND(FIND('112'!$M$9,G2267,1)&gt;=1,$B2267&gt;='112'!$N$8,$B2267&lt;='112'!$O$8,OR($L2267='112'!$I$6,$M2267='112'!$I$6))),"x",""))</f>
        <v/>
      </c>
      <c r="T2267" s="39" t="str">
        <f>IF(ISERROR(FIND('112'!$M$9,G2267,1)),"",IF((AND(LEFT(G2267,2)=LEFT('112'!$M$9,2),B2267&lt;'112'!$N$8,$L2267='112'!$I$6)),"x",""))</f>
        <v/>
      </c>
      <c r="U2267" s="39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39" t="str">
        <f>IF(OR(TH!L2267=TH!$W$7,M2267=TH!$W$7),"x","")</f>
        <v/>
      </c>
      <c r="X2267" s="39" t="str">
        <f>IF(AND(B2267&gt;='IN-NX'!$P$3,B2267&lt;='IN-NX'!$Q$3,'IN-NX'!$D$7=D2267,OR(LEFT(L2267,2)="15",AND(LEFT(M2267,2)&lt;&gt;"15",LEFT(M2267,2)&lt;&gt;"33"))),"x","")</f>
        <v/>
      </c>
      <c r="Y2267" s="39" t="str">
        <f>IF(AND(OR(LEFT(TH!L2267,2)="15",LEFT(TH!M2267,2)="15"),'152-CT'!$J$8=TH!F2267),"x","")</f>
        <v/>
      </c>
      <c r="Z2267" s="39" t="str">
        <f>IF(AND(OR(LEFT(TH!L2267,2)="15",LEFT(TH!M2267,2)="15"),TK!$E$7=TH!F2267),"x","")</f>
        <v/>
      </c>
      <c r="AA2267" s="39" t="str">
        <f>IF(AND(B2267&lt;=NKC!$N$8,B2267&gt;=NKC!$M$8),"x","")</f>
        <v/>
      </c>
      <c r="AB2267" s="821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107"/>
        <v/>
      </c>
      <c r="C2268" s="191"/>
      <c r="D2268" s="37"/>
      <c r="E2268" s="729"/>
      <c r="F2268" s="40"/>
      <c r="G2268" s="40"/>
      <c r="H2268" s="7"/>
      <c r="I2268" s="256"/>
      <c r="J2268" s="256"/>
      <c r="K2268" s="568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902" t="str">
        <f>IF(AND('341-CT'!$E$9=H2268,OR(LEFT(L2268,3)=$O$7,LEFT(M2268,3)=$O$7)),"x","")</f>
        <v/>
      </c>
      <c r="P2268" s="39" t="str">
        <f>IF(AND($B2268&gt;='111'!$N$11,$B2268&lt;='111'!$O$11,OR($L2268=$P$7,$M2268=$P$7)),"x","")</f>
        <v/>
      </c>
      <c r="Q2268" s="39" t="str">
        <f>IF(AND($L2268=$P$7,$B2268&lt;'111'!$N$11),"x","")</f>
        <v/>
      </c>
      <c r="R2268" s="39" t="str">
        <f>IF(AND($M2268=$P$7,$B2268&lt;'111'!$N$11),"x","")</f>
        <v/>
      </c>
      <c r="S2268" s="39" t="str">
        <f>IF(ISERROR(FIND('112'!$M$9,G2268,1)),"",IF((AND(FIND('112'!$M$9,G2268,1)&gt;=1,$B2268&gt;='112'!$N$8,$B2268&lt;='112'!$O$8,OR($L2268='112'!$I$6,$M2268='112'!$I$6))),"x",""))</f>
        <v/>
      </c>
      <c r="T2268" s="39" t="str">
        <f>IF(ISERROR(FIND('112'!$M$9,G2268,1)),"",IF((AND(LEFT(G2268,2)=LEFT('112'!$M$9,2),B2268&lt;'112'!$N$8,$L2268='112'!$I$6)),"x",""))</f>
        <v/>
      </c>
      <c r="U2268" s="39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39" t="str">
        <f>IF(OR(TH!L2268=TH!$W$7,M2268=TH!$W$7),"x","")</f>
        <v/>
      </c>
      <c r="X2268" s="39" t="str">
        <f>IF(AND(B2268&gt;='IN-NX'!$P$3,B2268&lt;='IN-NX'!$Q$3,'IN-NX'!$D$7=D2268,OR(LEFT(L2268,2)="15",AND(LEFT(M2268,2)&lt;&gt;"15",LEFT(M2268,2)&lt;&gt;"33"))),"x","")</f>
        <v/>
      </c>
      <c r="Y2268" s="39" t="str">
        <f>IF(AND(OR(LEFT(TH!L2268,2)="15",LEFT(TH!M2268,2)="15"),'152-CT'!$J$8=TH!F2268),"x","")</f>
        <v/>
      </c>
      <c r="Z2268" s="39" t="str">
        <f>IF(AND(OR(LEFT(TH!L2268,2)="15",LEFT(TH!M2268,2)="15"),TK!$E$7=TH!F2268),"x","")</f>
        <v/>
      </c>
      <c r="AA2268" s="39" t="str">
        <f>IF(AND(B2268&lt;=NKC!$N$8,B2268&gt;=NKC!$M$8),"x","")</f>
        <v/>
      </c>
      <c r="AB2268" s="821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107"/>
        <v/>
      </c>
      <c r="C2269" s="191"/>
      <c r="D2269" s="37"/>
      <c r="E2269" s="729"/>
      <c r="F2269" s="40"/>
      <c r="G2269" s="40"/>
      <c r="H2269" s="7"/>
      <c r="I2269" s="256"/>
      <c r="J2269" s="256"/>
      <c r="K2269" s="568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902" t="str">
        <f>IF(AND('341-CT'!$E$9=H2269,OR(LEFT(L2269,3)=$O$7,LEFT(M2269,3)=$O$7)),"x","")</f>
        <v/>
      </c>
      <c r="P2269" s="39" t="str">
        <f>IF(AND($B2269&gt;='111'!$N$11,$B2269&lt;='111'!$O$11,OR($L2269=$P$7,$M2269=$P$7)),"x","")</f>
        <v/>
      </c>
      <c r="Q2269" s="39" t="str">
        <f>IF(AND($L2269=$P$7,$B2269&lt;'111'!$N$11),"x","")</f>
        <v/>
      </c>
      <c r="R2269" s="39" t="str">
        <f>IF(AND($M2269=$P$7,$B2269&lt;'111'!$N$11),"x","")</f>
        <v/>
      </c>
      <c r="S2269" s="39" t="str">
        <f>IF(ISERROR(FIND('112'!$M$9,G2269,1)),"",IF((AND(FIND('112'!$M$9,G2269,1)&gt;=1,$B2269&gt;='112'!$N$8,$B2269&lt;='112'!$O$8,OR($L2269='112'!$I$6,$M2269='112'!$I$6))),"x",""))</f>
        <v/>
      </c>
      <c r="T2269" s="39" t="str">
        <f>IF(ISERROR(FIND('112'!$M$9,G2269,1)),"",IF((AND(LEFT(G2269,2)=LEFT('112'!$M$9,2),B2269&lt;'112'!$N$8,$L2269='112'!$I$6)),"x",""))</f>
        <v/>
      </c>
      <c r="U2269" s="39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39" t="str">
        <f>IF(OR(TH!L2269=TH!$W$7,M2269=TH!$W$7),"x","")</f>
        <v/>
      </c>
      <c r="X2269" s="39" t="str">
        <f>IF(AND(B2269&gt;='IN-NX'!$P$3,B2269&lt;='IN-NX'!$Q$3,'IN-NX'!$D$7=D2269,OR(LEFT(L2269,2)="15",AND(LEFT(M2269,2)&lt;&gt;"15",LEFT(M2269,2)&lt;&gt;"33"))),"x","")</f>
        <v/>
      </c>
      <c r="Y2269" s="39" t="str">
        <f>IF(AND(OR(LEFT(TH!L2269,2)="15",LEFT(TH!M2269,2)="15"),'152-CT'!$J$8=TH!F2269),"x","")</f>
        <v/>
      </c>
      <c r="Z2269" s="39" t="str">
        <f>IF(AND(OR(LEFT(TH!L2269,2)="15",LEFT(TH!M2269,2)="15"),TK!$E$7=TH!F2269),"x","")</f>
        <v/>
      </c>
      <c r="AA2269" s="39" t="str">
        <f>IF(AND(B2269&lt;=NKC!$N$8,B2269&gt;=NKC!$M$8),"x","")</f>
        <v/>
      </c>
      <c r="AB2269" s="821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107"/>
        <v/>
      </c>
      <c r="C2270" s="191"/>
      <c r="D2270" s="37"/>
      <c r="E2270" s="729"/>
      <c r="F2270" s="40"/>
      <c r="G2270" s="40"/>
      <c r="H2270" s="7"/>
      <c r="I2270" s="256"/>
      <c r="J2270" s="256"/>
      <c r="K2270" s="568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902" t="str">
        <f>IF(AND('341-CT'!$E$9=H2270,OR(LEFT(L2270,3)=$O$7,LEFT(M2270,3)=$O$7)),"x","")</f>
        <v/>
      </c>
      <c r="P2270" s="39" t="str">
        <f>IF(AND($B2270&gt;='111'!$N$11,$B2270&lt;='111'!$O$11,OR($L2270=$P$7,$M2270=$P$7)),"x","")</f>
        <v/>
      </c>
      <c r="Q2270" s="39" t="str">
        <f>IF(AND($L2270=$P$7,$B2270&lt;'111'!$N$11),"x","")</f>
        <v/>
      </c>
      <c r="R2270" s="39" t="str">
        <f>IF(AND($M2270=$P$7,$B2270&lt;'111'!$N$11),"x","")</f>
        <v/>
      </c>
      <c r="S2270" s="39" t="str">
        <f>IF(ISERROR(FIND('112'!$M$9,G2270,1)),"",IF((AND(FIND('112'!$M$9,G2270,1)&gt;=1,$B2270&gt;='112'!$N$8,$B2270&lt;='112'!$O$8,OR($L2270='112'!$I$6,$M2270='112'!$I$6))),"x",""))</f>
        <v/>
      </c>
      <c r="T2270" s="39" t="str">
        <f>IF(ISERROR(FIND('112'!$M$9,G2270,1)),"",IF((AND(LEFT(G2270,2)=LEFT('112'!$M$9,2),B2270&lt;'112'!$N$8,$L2270='112'!$I$6)),"x",""))</f>
        <v/>
      </c>
      <c r="U2270" s="39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39" t="str">
        <f>IF(OR(TH!L2270=TH!$W$7,M2270=TH!$W$7),"x","")</f>
        <v/>
      </c>
      <c r="X2270" s="39" t="str">
        <f>IF(AND(B2270&gt;='IN-NX'!$P$3,B2270&lt;='IN-NX'!$Q$3,'IN-NX'!$D$7=D2270,OR(LEFT(L2270,2)="15",AND(LEFT(M2270,2)&lt;&gt;"15",LEFT(M2270,2)&lt;&gt;"33"))),"x","")</f>
        <v/>
      </c>
      <c r="Y2270" s="39" t="str">
        <f>IF(AND(OR(LEFT(TH!L2270,2)="15",LEFT(TH!M2270,2)="15"),'152-CT'!$J$8=TH!F2270),"x","")</f>
        <v/>
      </c>
      <c r="Z2270" s="39" t="str">
        <f>IF(AND(OR(LEFT(TH!L2270,2)="15",LEFT(TH!M2270,2)="15"),TK!$E$7=TH!F2270),"x","")</f>
        <v/>
      </c>
      <c r="AA2270" s="39" t="str">
        <f>IF(AND(B2270&lt;=NKC!$N$8,B2270&gt;=NKC!$M$8),"x","")</f>
        <v/>
      </c>
      <c r="AB2270" s="821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si="107"/>
        <v/>
      </c>
      <c r="C2271" s="191"/>
      <c r="D2271" s="37"/>
      <c r="E2271" s="729"/>
      <c r="F2271" s="40"/>
      <c r="G2271" s="40"/>
      <c r="H2271" s="7"/>
      <c r="I2271" s="256"/>
      <c r="J2271" s="256"/>
      <c r="K2271" s="568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902" t="str">
        <f>IF(AND('341-CT'!$E$9=H2271,OR(LEFT(L2271,3)=$O$7,LEFT(M2271,3)=$O$7)),"x","")</f>
        <v/>
      </c>
      <c r="P2271" s="39" t="str">
        <f>IF(AND($B2271&gt;='111'!$N$11,$B2271&lt;='111'!$O$11,OR($L2271=$P$7,$M2271=$P$7)),"x","")</f>
        <v/>
      </c>
      <c r="Q2271" s="39" t="str">
        <f>IF(AND($L2271=$P$7,$B2271&lt;'111'!$N$11),"x","")</f>
        <v/>
      </c>
      <c r="R2271" s="39" t="str">
        <f>IF(AND($M2271=$P$7,$B2271&lt;'111'!$N$11),"x","")</f>
        <v/>
      </c>
      <c r="S2271" s="39" t="str">
        <f>IF(ISERROR(FIND('112'!$M$9,G2271,1)),"",IF((AND(FIND('112'!$M$9,G2271,1)&gt;=1,$B2271&gt;='112'!$N$8,$B2271&lt;='112'!$O$8,OR($L2271='112'!$I$6,$M2271='112'!$I$6))),"x",""))</f>
        <v/>
      </c>
      <c r="T2271" s="39" t="str">
        <f>IF(ISERROR(FIND('112'!$M$9,G2271,1)),"",IF((AND(LEFT(G2271,2)=LEFT('112'!$M$9,2),B2271&lt;'112'!$N$8,$L2271='112'!$I$6)),"x",""))</f>
        <v/>
      </c>
      <c r="U2271" s="39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39" t="str">
        <f>IF(OR(TH!L2271=TH!$W$7,M2271=TH!$W$7),"x","")</f>
        <v/>
      </c>
      <c r="X2271" s="39" t="str">
        <f>IF(AND(B2271&gt;='IN-NX'!$P$3,B2271&lt;='IN-NX'!$Q$3,'IN-NX'!$D$7=D2271,OR(LEFT(L2271,2)="15",AND(LEFT(M2271,2)&lt;&gt;"15",LEFT(M2271,2)&lt;&gt;"33"))),"x","")</f>
        <v/>
      </c>
      <c r="Y2271" s="39" t="str">
        <f>IF(AND(OR(LEFT(TH!L2271,2)="15",LEFT(TH!M2271,2)="15"),'152-CT'!$J$8=TH!F2271),"x","")</f>
        <v/>
      </c>
      <c r="Z2271" s="39" t="str">
        <f>IF(AND(OR(LEFT(TH!L2271,2)="15",LEFT(TH!M2271,2)="15"),TK!$E$7=TH!F2271),"x","")</f>
        <v/>
      </c>
      <c r="AA2271" s="39" t="str">
        <f>IF(AND(B2271&lt;=NKC!$N$8,B2271&gt;=NKC!$M$8),"x","")</f>
        <v/>
      </c>
      <c r="AB2271" s="821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107"/>
        <v/>
      </c>
      <c r="C2272" s="191"/>
      <c r="D2272" s="37"/>
      <c r="E2272" s="729"/>
      <c r="F2272" s="40"/>
      <c r="G2272" s="40"/>
      <c r="H2272" s="7"/>
      <c r="I2272" s="256"/>
      <c r="J2272" s="256"/>
      <c r="K2272" s="568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902" t="str">
        <f>IF(AND('341-CT'!$E$9=H2272,OR(LEFT(L2272,3)=$O$7,LEFT(M2272,3)=$O$7)),"x","")</f>
        <v/>
      </c>
      <c r="P2272" s="39" t="str">
        <f>IF(AND($B2272&gt;='111'!$N$11,$B2272&lt;='111'!$O$11,OR($L2272=$P$7,$M2272=$P$7)),"x","")</f>
        <v/>
      </c>
      <c r="Q2272" s="39" t="str">
        <f>IF(AND($L2272=$P$7,$B2272&lt;'111'!$N$11),"x","")</f>
        <v/>
      </c>
      <c r="R2272" s="39" t="str">
        <f>IF(AND($M2272=$P$7,$B2272&lt;'111'!$N$11),"x","")</f>
        <v/>
      </c>
      <c r="S2272" s="39" t="str">
        <f>IF(ISERROR(FIND('112'!$M$9,G2272,1)),"",IF((AND(FIND('112'!$M$9,G2272,1)&gt;=1,$B2272&gt;='112'!$N$8,$B2272&lt;='112'!$O$8,OR($L2272='112'!$I$6,$M2272='112'!$I$6))),"x",""))</f>
        <v/>
      </c>
      <c r="T2272" s="39" t="str">
        <f>IF(ISERROR(FIND('112'!$M$9,G2272,1)),"",IF((AND(LEFT(G2272,2)=LEFT('112'!$M$9,2),B2272&lt;'112'!$N$8,$L2272='112'!$I$6)),"x",""))</f>
        <v/>
      </c>
      <c r="U2272" s="39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39" t="str">
        <f>IF(OR(TH!L2272=TH!$W$7,M2272=TH!$W$7),"x","")</f>
        <v/>
      </c>
      <c r="X2272" s="39" t="str">
        <f>IF(AND(B2272&gt;='IN-NX'!$P$3,B2272&lt;='IN-NX'!$Q$3,'IN-NX'!$D$7=D2272,OR(LEFT(L2272,2)="15",AND(LEFT(M2272,2)&lt;&gt;"15",LEFT(M2272,2)&lt;&gt;"33"))),"x","")</f>
        <v/>
      </c>
      <c r="Y2272" s="39" t="str">
        <f>IF(AND(OR(LEFT(TH!L2272,2)="15",LEFT(TH!M2272,2)="15"),'152-CT'!$J$8=TH!F2272),"x","")</f>
        <v/>
      </c>
      <c r="Z2272" s="39" t="str">
        <f>IF(AND(OR(LEFT(TH!L2272,2)="15",LEFT(TH!M2272,2)="15"),TK!$E$7=TH!F2272),"x","")</f>
        <v/>
      </c>
      <c r="AA2272" s="39" t="str">
        <f>IF(AND(B2272&lt;=NKC!$N$8,B2272&gt;=NKC!$M$8),"x","")</f>
        <v/>
      </c>
      <c r="AB2272" s="821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107"/>
        <v/>
      </c>
      <c r="C2273" s="191"/>
      <c r="D2273" s="37"/>
      <c r="E2273" s="729"/>
      <c r="F2273" s="40"/>
      <c r="G2273" s="40"/>
      <c r="H2273" s="7"/>
      <c r="I2273" s="256"/>
      <c r="J2273" s="256"/>
      <c r="K2273" s="568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902" t="str">
        <f>IF(AND('341-CT'!$E$9=H2273,OR(LEFT(L2273,3)=$O$7,LEFT(M2273,3)=$O$7)),"x","")</f>
        <v/>
      </c>
      <c r="P2273" s="39" t="str">
        <f>IF(AND($B2273&gt;='111'!$N$11,$B2273&lt;='111'!$O$11,OR($L2273=$P$7,$M2273=$P$7)),"x","")</f>
        <v/>
      </c>
      <c r="Q2273" s="39" t="str">
        <f>IF(AND($L2273=$P$7,$B2273&lt;'111'!$N$11),"x","")</f>
        <v/>
      </c>
      <c r="R2273" s="39" t="str">
        <f>IF(AND($M2273=$P$7,$B2273&lt;'111'!$N$11),"x","")</f>
        <v/>
      </c>
      <c r="S2273" s="39" t="str">
        <f>IF(ISERROR(FIND('112'!$M$9,G2273,1)),"",IF((AND(FIND('112'!$M$9,G2273,1)&gt;=1,$B2273&gt;='112'!$N$8,$B2273&lt;='112'!$O$8,OR($L2273='112'!$I$6,$M2273='112'!$I$6))),"x",""))</f>
        <v/>
      </c>
      <c r="T2273" s="39" t="str">
        <f>IF(ISERROR(FIND('112'!$M$9,G2273,1)),"",IF((AND(LEFT(G2273,2)=LEFT('112'!$M$9,2),B2273&lt;'112'!$N$8,$L2273='112'!$I$6)),"x",""))</f>
        <v/>
      </c>
      <c r="U2273" s="39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39" t="str">
        <f>IF(OR(TH!L2273=TH!$W$7,M2273=TH!$W$7),"x","")</f>
        <v/>
      </c>
      <c r="X2273" s="39" t="str">
        <f>IF(AND(B2273&gt;='IN-NX'!$P$3,B2273&lt;='IN-NX'!$Q$3,'IN-NX'!$D$7=D2273,OR(LEFT(L2273,2)="15",AND(LEFT(M2273,2)&lt;&gt;"15",LEFT(M2273,2)&lt;&gt;"33"))),"x","")</f>
        <v/>
      </c>
      <c r="Y2273" s="39" t="str">
        <f>IF(AND(OR(LEFT(TH!L2273,2)="15",LEFT(TH!M2273,2)="15"),'152-CT'!$J$8=TH!F2273),"x","")</f>
        <v/>
      </c>
      <c r="Z2273" s="39" t="str">
        <f>IF(AND(OR(LEFT(TH!L2273,2)="15",LEFT(TH!M2273,2)="15"),TK!$E$7=TH!F2273),"x","")</f>
        <v/>
      </c>
      <c r="AA2273" s="39" t="str">
        <f>IF(AND(B2273&lt;=NKC!$N$8,B2273&gt;=NKC!$M$8),"x","")</f>
        <v/>
      </c>
      <c r="AB2273" s="821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107"/>
        <v/>
      </c>
      <c r="C2274" s="191"/>
      <c r="D2274" s="37"/>
      <c r="E2274" s="729"/>
      <c r="F2274" s="40"/>
      <c r="G2274" s="40"/>
      <c r="H2274" s="7"/>
      <c r="I2274" s="256"/>
      <c r="J2274" s="256"/>
      <c r="K2274" s="568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902" t="str">
        <f>IF(AND('341-CT'!$E$9=H2274,OR(LEFT(L2274,3)=$O$7,LEFT(M2274,3)=$O$7)),"x","")</f>
        <v/>
      </c>
      <c r="P2274" s="39" t="str">
        <f>IF(AND($B2274&gt;='111'!$N$11,$B2274&lt;='111'!$O$11,OR($L2274=$P$7,$M2274=$P$7)),"x","")</f>
        <v/>
      </c>
      <c r="Q2274" s="39" t="str">
        <f>IF(AND($L2274=$P$7,$B2274&lt;'111'!$N$11),"x","")</f>
        <v/>
      </c>
      <c r="R2274" s="39" t="str">
        <f>IF(AND($M2274=$P$7,$B2274&lt;'111'!$N$11),"x","")</f>
        <v/>
      </c>
      <c r="S2274" s="39" t="str">
        <f>IF(ISERROR(FIND('112'!$M$9,G2274,1)),"",IF((AND(FIND('112'!$M$9,G2274,1)&gt;=1,$B2274&gt;='112'!$N$8,$B2274&lt;='112'!$O$8,OR($L2274='112'!$I$6,$M2274='112'!$I$6))),"x",""))</f>
        <v/>
      </c>
      <c r="T2274" s="39" t="str">
        <f>IF(ISERROR(FIND('112'!$M$9,G2274,1)),"",IF((AND(LEFT(G2274,2)=LEFT('112'!$M$9,2),B2274&lt;'112'!$N$8,$L2274='112'!$I$6)),"x",""))</f>
        <v/>
      </c>
      <c r="U2274" s="39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39" t="str">
        <f>IF(OR(TH!L2274=TH!$W$7,M2274=TH!$W$7),"x","")</f>
        <v/>
      </c>
      <c r="X2274" s="39" t="str">
        <f>IF(AND(B2274&gt;='IN-NX'!$P$3,B2274&lt;='IN-NX'!$Q$3,'IN-NX'!$D$7=D2274,OR(LEFT(L2274,2)="15",AND(LEFT(M2274,2)&lt;&gt;"15",LEFT(M2274,2)&lt;&gt;"33"))),"x","")</f>
        <v/>
      </c>
      <c r="Y2274" s="39" t="str">
        <f>IF(AND(OR(LEFT(TH!L2274,2)="15",LEFT(TH!M2274,2)="15"),'152-CT'!$J$8=TH!F2274),"x","")</f>
        <v/>
      </c>
      <c r="Z2274" s="39" t="str">
        <f>IF(AND(OR(LEFT(TH!L2274,2)="15",LEFT(TH!M2274,2)="15"),TK!$E$7=TH!F2274),"x","")</f>
        <v/>
      </c>
      <c r="AA2274" s="39" t="str">
        <f>IF(AND(B2274&lt;=NKC!$N$8,B2274&gt;=NKC!$M$8),"x","")</f>
        <v/>
      </c>
      <c r="AB2274" s="821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107"/>
        <v/>
      </c>
      <c r="C2275" s="191"/>
      <c r="D2275" s="37"/>
      <c r="E2275" s="729"/>
      <c r="F2275" s="40"/>
      <c r="G2275" s="40"/>
      <c r="H2275" s="7"/>
      <c r="I2275" s="256"/>
      <c r="J2275" s="256"/>
      <c r="K2275" s="568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902" t="str">
        <f>IF(AND('341-CT'!$E$9=H2275,OR(LEFT(L2275,3)=$O$7,LEFT(M2275,3)=$O$7)),"x","")</f>
        <v/>
      </c>
      <c r="P2275" s="39" t="str">
        <f>IF(AND($B2275&gt;='111'!$N$11,$B2275&lt;='111'!$O$11,OR($L2275=$P$7,$M2275=$P$7)),"x","")</f>
        <v/>
      </c>
      <c r="Q2275" s="39" t="str">
        <f>IF(AND($L2275=$P$7,$B2275&lt;'111'!$N$11),"x","")</f>
        <v/>
      </c>
      <c r="R2275" s="39" t="str">
        <f>IF(AND($M2275=$P$7,$B2275&lt;'111'!$N$11),"x","")</f>
        <v/>
      </c>
      <c r="S2275" s="39" t="str">
        <f>IF(ISERROR(FIND('112'!$M$9,G2275,1)),"",IF((AND(FIND('112'!$M$9,G2275,1)&gt;=1,$B2275&gt;='112'!$N$8,$B2275&lt;='112'!$O$8,OR($L2275='112'!$I$6,$M2275='112'!$I$6))),"x",""))</f>
        <v/>
      </c>
      <c r="T2275" s="39" t="str">
        <f>IF(ISERROR(FIND('112'!$M$9,G2275,1)),"",IF((AND(LEFT(G2275,2)=LEFT('112'!$M$9,2),B2275&lt;'112'!$N$8,$L2275='112'!$I$6)),"x",""))</f>
        <v/>
      </c>
      <c r="U2275" s="39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39" t="str">
        <f>IF(OR(TH!L2275=TH!$W$7,M2275=TH!$W$7),"x","")</f>
        <v/>
      </c>
      <c r="X2275" s="39" t="str">
        <f>IF(AND(B2275&gt;='IN-NX'!$P$3,B2275&lt;='IN-NX'!$Q$3,'IN-NX'!$D$7=D2275,OR(LEFT(L2275,2)="15",AND(LEFT(M2275,2)&lt;&gt;"15",LEFT(M2275,2)&lt;&gt;"33"))),"x","")</f>
        <v/>
      </c>
      <c r="Y2275" s="39" t="str">
        <f>IF(AND(OR(LEFT(TH!L2275,2)="15",LEFT(TH!M2275,2)="15"),'152-CT'!$J$8=TH!F2275),"x","")</f>
        <v/>
      </c>
      <c r="Z2275" s="39" t="str">
        <f>IF(AND(OR(LEFT(TH!L2275,2)="15",LEFT(TH!M2275,2)="15"),TK!$E$7=TH!F2275),"x","")</f>
        <v/>
      </c>
      <c r="AA2275" s="39" t="str">
        <f>IF(AND(B2275&lt;=NKC!$N$8,B2275&gt;=NKC!$M$8),"x","")</f>
        <v/>
      </c>
      <c r="AB2275" s="821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107"/>
        <v/>
      </c>
      <c r="C2276" s="191"/>
      <c r="D2276" s="37"/>
      <c r="E2276" s="729"/>
      <c r="F2276" s="40"/>
      <c r="G2276" s="40"/>
      <c r="H2276" s="7"/>
      <c r="I2276" s="256"/>
      <c r="J2276" s="256"/>
      <c r="K2276" s="568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902" t="str">
        <f>IF(AND('341-CT'!$E$9=H2276,OR(LEFT(L2276,3)=$O$7,LEFT(M2276,3)=$O$7)),"x","")</f>
        <v/>
      </c>
      <c r="P2276" s="39" t="str">
        <f>IF(AND($B2276&gt;='111'!$N$11,$B2276&lt;='111'!$O$11,OR($L2276=$P$7,$M2276=$P$7)),"x","")</f>
        <v/>
      </c>
      <c r="Q2276" s="39" t="str">
        <f>IF(AND($L2276=$P$7,$B2276&lt;'111'!$N$11),"x","")</f>
        <v/>
      </c>
      <c r="R2276" s="39" t="str">
        <f>IF(AND($M2276=$P$7,$B2276&lt;'111'!$N$11),"x","")</f>
        <v/>
      </c>
      <c r="S2276" s="39" t="str">
        <f>IF(ISERROR(FIND('112'!$M$9,G2276,1)),"",IF((AND(FIND('112'!$M$9,G2276,1)&gt;=1,$B2276&gt;='112'!$N$8,$B2276&lt;='112'!$O$8,OR($L2276='112'!$I$6,$M2276='112'!$I$6))),"x",""))</f>
        <v/>
      </c>
      <c r="T2276" s="39" t="str">
        <f>IF(ISERROR(FIND('112'!$M$9,G2276,1)),"",IF((AND(LEFT(G2276,2)=LEFT('112'!$M$9,2),B2276&lt;'112'!$N$8,$L2276='112'!$I$6)),"x",""))</f>
        <v/>
      </c>
      <c r="U2276" s="39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39" t="str">
        <f>IF(OR(TH!L2276=TH!$W$7,M2276=TH!$W$7),"x","")</f>
        <v/>
      </c>
      <c r="X2276" s="39" t="str">
        <f>IF(AND(B2276&gt;='IN-NX'!$P$3,B2276&lt;='IN-NX'!$Q$3,'IN-NX'!$D$7=D2276,OR(LEFT(L2276,2)="15",AND(LEFT(M2276,2)&lt;&gt;"15",LEFT(M2276,2)&lt;&gt;"33"))),"x","")</f>
        <v/>
      </c>
      <c r="Y2276" s="39" t="str">
        <f>IF(AND(OR(LEFT(TH!L2276,2)="15",LEFT(TH!M2276,2)="15"),'152-CT'!$J$8=TH!F2276),"x","")</f>
        <v/>
      </c>
      <c r="Z2276" s="39" t="str">
        <f>IF(AND(OR(LEFT(TH!L2276,2)="15",LEFT(TH!M2276,2)="15"),TK!$E$7=TH!F2276),"x","")</f>
        <v/>
      </c>
      <c r="AA2276" s="39" t="str">
        <f>IF(AND(B2276&lt;=NKC!$N$8,B2276&gt;=NKC!$M$8),"x","")</f>
        <v/>
      </c>
      <c r="AB2276" s="821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107"/>
        <v/>
      </c>
      <c r="C2277" s="191"/>
      <c r="D2277" s="37"/>
      <c r="E2277" s="729"/>
      <c r="F2277" s="40"/>
      <c r="G2277" s="40"/>
      <c r="H2277" s="7"/>
      <c r="I2277" s="256"/>
      <c r="J2277" s="256"/>
      <c r="K2277" s="568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902" t="str">
        <f>IF(AND('341-CT'!$E$9=H2277,OR(LEFT(L2277,3)=$O$7,LEFT(M2277,3)=$O$7)),"x","")</f>
        <v/>
      </c>
      <c r="P2277" s="39" t="str">
        <f>IF(AND($B2277&gt;='111'!$N$11,$B2277&lt;='111'!$O$11,OR($L2277=$P$7,$M2277=$P$7)),"x","")</f>
        <v/>
      </c>
      <c r="Q2277" s="39" t="str">
        <f>IF(AND($L2277=$P$7,$B2277&lt;'111'!$N$11),"x","")</f>
        <v/>
      </c>
      <c r="R2277" s="39" t="str">
        <f>IF(AND($M2277=$P$7,$B2277&lt;'111'!$N$11),"x","")</f>
        <v/>
      </c>
      <c r="S2277" s="39" t="str">
        <f>IF(ISERROR(FIND('112'!$M$9,G2277,1)),"",IF((AND(FIND('112'!$M$9,G2277,1)&gt;=1,$B2277&gt;='112'!$N$8,$B2277&lt;='112'!$O$8,OR($L2277='112'!$I$6,$M2277='112'!$I$6))),"x",""))</f>
        <v/>
      </c>
      <c r="T2277" s="39" t="str">
        <f>IF(ISERROR(FIND('112'!$M$9,G2277,1)),"",IF((AND(LEFT(G2277,2)=LEFT('112'!$M$9,2),B2277&lt;'112'!$N$8,$L2277='112'!$I$6)),"x",""))</f>
        <v/>
      </c>
      <c r="U2277" s="39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39" t="str">
        <f>IF(OR(TH!L2277=TH!$W$7,M2277=TH!$W$7),"x","")</f>
        <v/>
      </c>
      <c r="X2277" s="39" t="str">
        <f>IF(AND(B2277&gt;='IN-NX'!$P$3,B2277&lt;='IN-NX'!$Q$3,'IN-NX'!$D$7=D2277,OR(LEFT(L2277,2)="15",AND(LEFT(M2277,2)&lt;&gt;"15",LEFT(M2277,2)&lt;&gt;"33"))),"x","")</f>
        <v/>
      </c>
      <c r="Y2277" s="39" t="str">
        <f>IF(AND(OR(LEFT(TH!L2277,2)="15",LEFT(TH!M2277,2)="15"),'152-CT'!$J$8=TH!F2277),"x","")</f>
        <v/>
      </c>
      <c r="Z2277" s="39" t="str">
        <f>IF(AND(OR(LEFT(TH!L2277,2)="15",LEFT(TH!M2277,2)="15"),TK!$E$7=TH!F2277),"x","")</f>
        <v/>
      </c>
      <c r="AA2277" s="39" t="str">
        <f>IF(AND(B2277&lt;=NKC!$N$8,B2277&gt;=NKC!$M$8),"x","")</f>
        <v/>
      </c>
      <c r="AB2277" s="821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107"/>
        <v/>
      </c>
      <c r="C2278" s="191"/>
      <c r="D2278" s="37"/>
      <c r="E2278" s="729"/>
      <c r="F2278" s="40"/>
      <c r="G2278" s="40"/>
      <c r="H2278" s="7"/>
      <c r="I2278" s="256"/>
      <c r="J2278" s="256"/>
      <c r="K2278" s="568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902" t="str">
        <f>IF(AND('341-CT'!$E$9=H2278,OR(LEFT(L2278,3)=$O$7,LEFT(M2278,3)=$O$7)),"x","")</f>
        <v/>
      </c>
      <c r="P2278" s="39" t="str">
        <f>IF(AND($B2278&gt;='111'!$N$11,$B2278&lt;='111'!$O$11,OR($L2278=$P$7,$M2278=$P$7)),"x","")</f>
        <v/>
      </c>
      <c r="Q2278" s="39" t="str">
        <f>IF(AND($L2278=$P$7,$B2278&lt;'111'!$N$11),"x","")</f>
        <v/>
      </c>
      <c r="R2278" s="39" t="str">
        <f>IF(AND($M2278=$P$7,$B2278&lt;'111'!$N$11),"x","")</f>
        <v/>
      </c>
      <c r="S2278" s="39" t="str">
        <f>IF(ISERROR(FIND('112'!$M$9,G2278,1)),"",IF((AND(FIND('112'!$M$9,G2278,1)&gt;=1,$B2278&gt;='112'!$N$8,$B2278&lt;='112'!$O$8,OR($L2278='112'!$I$6,$M2278='112'!$I$6))),"x",""))</f>
        <v/>
      </c>
      <c r="T2278" s="39" t="str">
        <f>IF(ISERROR(FIND('112'!$M$9,G2278,1)),"",IF((AND(LEFT(G2278,2)=LEFT('112'!$M$9,2),B2278&lt;'112'!$N$8,$L2278='112'!$I$6)),"x",""))</f>
        <v/>
      </c>
      <c r="U2278" s="39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39" t="str">
        <f>IF(OR(TH!L2278=TH!$W$7,M2278=TH!$W$7),"x","")</f>
        <v/>
      </c>
      <c r="X2278" s="39" t="str">
        <f>IF(AND(B2278&gt;='IN-NX'!$P$3,B2278&lt;='IN-NX'!$Q$3,'IN-NX'!$D$7=D2278,OR(LEFT(L2278,2)="15",AND(LEFT(M2278,2)&lt;&gt;"15",LEFT(M2278,2)&lt;&gt;"33"))),"x","")</f>
        <v/>
      </c>
      <c r="Y2278" s="39" t="str">
        <f>IF(AND(OR(LEFT(TH!L2278,2)="15",LEFT(TH!M2278,2)="15"),'152-CT'!$J$8=TH!F2278),"x","")</f>
        <v/>
      </c>
      <c r="Z2278" s="39" t="str">
        <f>IF(AND(OR(LEFT(TH!L2278,2)="15",LEFT(TH!M2278,2)="15"),TK!$E$7=TH!F2278),"x","")</f>
        <v/>
      </c>
      <c r="AA2278" s="39" t="str">
        <f>IF(AND(B2278&lt;=NKC!$N$8,B2278&gt;=NKC!$M$8),"x","")</f>
        <v/>
      </c>
      <c r="AB2278" s="821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107"/>
        <v/>
      </c>
      <c r="C2279" s="191"/>
      <c r="D2279" s="37"/>
      <c r="E2279" s="729"/>
      <c r="F2279" s="40"/>
      <c r="G2279" s="40"/>
      <c r="H2279" s="7"/>
      <c r="I2279" s="256"/>
      <c r="J2279" s="256"/>
      <c r="K2279" s="568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902" t="str">
        <f>IF(AND('341-CT'!$E$9=H2279,OR(LEFT(L2279,3)=$O$7,LEFT(M2279,3)=$O$7)),"x","")</f>
        <v/>
      </c>
      <c r="P2279" s="39" t="str">
        <f>IF(AND($B2279&gt;='111'!$N$11,$B2279&lt;='111'!$O$11,OR($L2279=$P$7,$M2279=$P$7)),"x","")</f>
        <v/>
      </c>
      <c r="Q2279" s="39" t="str">
        <f>IF(AND($L2279=$P$7,$B2279&lt;'111'!$N$11),"x","")</f>
        <v/>
      </c>
      <c r="R2279" s="39" t="str">
        <f>IF(AND($M2279=$P$7,$B2279&lt;'111'!$N$11),"x","")</f>
        <v/>
      </c>
      <c r="S2279" s="39" t="str">
        <f>IF(ISERROR(FIND('112'!$M$9,G2279,1)),"",IF((AND(FIND('112'!$M$9,G2279,1)&gt;=1,$B2279&gt;='112'!$N$8,$B2279&lt;='112'!$O$8,OR($L2279='112'!$I$6,$M2279='112'!$I$6))),"x",""))</f>
        <v/>
      </c>
      <c r="T2279" s="39" t="str">
        <f>IF(ISERROR(FIND('112'!$M$9,G2279,1)),"",IF((AND(LEFT(G2279,2)=LEFT('112'!$M$9,2),B2279&lt;'112'!$N$8,$L2279='112'!$I$6)),"x",""))</f>
        <v/>
      </c>
      <c r="U2279" s="39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39" t="str">
        <f>IF(OR(TH!L2279=TH!$W$7,M2279=TH!$W$7),"x","")</f>
        <v/>
      </c>
      <c r="X2279" s="39" t="str">
        <f>IF(AND(B2279&gt;='IN-NX'!$P$3,B2279&lt;='IN-NX'!$Q$3,'IN-NX'!$D$7=D2279,OR(LEFT(L2279,2)="15",AND(LEFT(M2279,2)&lt;&gt;"15",LEFT(M2279,2)&lt;&gt;"33"))),"x","")</f>
        <v/>
      </c>
      <c r="Y2279" s="39" t="str">
        <f>IF(AND(OR(LEFT(TH!L2279,2)="15",LEFT(TH!M2279,2)="15"),'152-CT'!$J$8=TH!F2279),"x","")</f>
        <v/>
      </c>
      <c r="Z2279" s="39" t="str">
        <f>IF(AND(OR(LEFT(TH!L2279,2)="15",LEFT(TH!M2279,2)="15"),TK!$E$7=TH!F2279),"x","")</f>
        <v/>
      </c>
      <c r="AA2279" s="39" t="str">
        <f>IF(AND(B2279&lt;=NKC!$N$8,B2279&gt;=NKC!$M$8),"x","")</f>
        <v/>
      </c>
      <c r="AB2279" s="821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107"/>
        <v/>
      </c>
      <c r="C2280" s="191"/>
      <c r="D2280" s="37"/>
      <c r="E2280" s="729"/>
      <c r="F2280" s="40"/>
      <c r="G2280" s="40"/>
      <c r="H2280" s="7"/>
      <c r="I2280" s="256"/>
      <c r="J2280" s="256"/>
      <c r="K2280" s="568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902" t="str">
        <f>IF(AND('341-CT'!$E$9=H2280,OR(LEFT(L2280,3)=$O$7,LEFT(M2280,3)=$O$7)),"x","")</f>
        <v/>
      </c>
      <c r="P2280" s="39" t="str">
        <f>IF(AND($B2280&gt;='111'!$N$11,$B2280&lt;='111'!$O$11,OR($L2280=$P$7,$M2280=$P$7)),"x","")</f>
        <v/>
      </c>
      <c r="Q2280" s="39" t="str">
        <f>IF(AND($L2280=$P$7,$B2280&lt;'111'!$N$11),"x","")</f>
        <v/>
      </c>
      <c r="R2280" s="39" t="str">
        <f>IF(AND($M2280=$P$7,$B2280&lt;'111'!$N$11),"x","")</f>
        <v/>
      </c>
      <c r="S2280" s="39" t="str">
        <f>IF(ISERROR(FIND('112'!$M$9,G2280,1)),"",IF((AND(FIND('112'!$M$9,G2280,1)&gt;=1,$B2280&gt;='112'!$N$8,$B2280&lt;='112'!$O$8,OR($L2280='112'!$I$6,$M2280='112'!$I$6))),"x",""))</f>
        <v/>
      </c>
      <c r="T2280" s="39" t="str">
        <f>IF(ISERROR(FIND('112'!$M$9,G2280,1)),"",IF((AND(LEFT(G2280,2)=LEFT('112'!$M$9,2),B2280&lt;'112'!$N$8,$L2280='112'!$I$6)),"x",""))</f>
        <v/>
      </c>
      <c r="U2280" s="39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39" t="str">
        <f>IF(OR(TH!L2280=TH!$W$7,M2280=TH!$W$7),"x","")</f>
        <v/>
      </c>
      <c r="X2280" s="39" t="str">
        <f>IF(AND(B2280&gt;='IN-NX'!$P$3,B2280&lt;='IN-NX'!$Q$3,'IN-NX'!$D$7=D2280,OR(LEFT(L2280,2)="15",AND(LEFT(M2280,2)&lt;&gt;"15",LEFT(M2280,2)&lt;&gt;"33"))),"x","")</f>
        <v/>
      </c>
      <c r="Y2280" s="39" t="str">
        <f>IF(AND(OR(LEFT(TH!L2280,2)="15",LEFT(TH!M2280,2)="15"),'152-CT'!$J$8=TH!F2280),"x","")</f>
        <v/>
      </c>
      <c r="Z2280" s="39" t="str">
        <f>IF(AND(OR(LEFT(TH!L2280,2)="15",LEFT(TH!M2280,2)="15"),TK!$E$7=TH!F2280),"x","")</f>
        <v/>
      </c>
      <c r="AA2280" s="39" t="str">
        <f>IF(AND(B2280&lt;=NKC!$N$8,B2280&gt;=NKC!$M$8),"x","")</f>
        <v/>
      </c>
      <c r="AB2280" s="821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107"/>
        <v/>
      </c>
      <c r="C2281" s="191"/>
      <c r="D2281" s="37"/>
      <c r="E2281" s="729"/>
      <c r="F2281" s="40"/>
      <c r="G2281" s="40"/>
      <c r="H2281" s="7"/>
      <c r="I2281" s="256"/>
      <c r="J2281" s="256"/>
      <c r="K2281" s="568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902" t="str">
        <f>IF(AND('341-CT'!$E$9=H2281,OR(LEFT(L2281,3)=$O$7,LEFT(M2281,3)=$O$7)),"x","")</f>
        <v/>
      </c>
      <c r="P2281" s="39" t="str">
        <f>IF(AND($B2281&gt;='111'!$N$11,$B2281&lt;='111'!$O$11,OR($L2281=$P$7,$M2281=$P$7)),"x","")</f>
        <v/>
      </c>
      <c r="Q2281" s="39" t="str">
        <f>IF(AND($L2281=$P$7,$B2281&lt;'111'!$N$11),"x","")</f>
        <v/>
      </c>
      <c r="R2281" s="39" t="str">
        <f>IF(AND($M2281=$P$7,$B2281&lt;'111'!$N$11),"x","")</f>
        <v/>
      </c>
      <c r="S2281" s="39" t="str">
        <f>IF(ISERROR(FIND('112'!$M$9,G2281,1)),"",IF((AND(FIND('112'!$M$9,G2281,1)&gt;=1,$B2281&gt;='112'!$N$8,$B2281&lt;='112'!$O$8,OR($L2281='112'!$I$6,$M2281='112'!$I$6))),"x",""))</f>
        <v/>
      </c>
      <c r="T2281" s="39" t="str">
        <f>IF(ISERROR(FIND('112'!$M$9,G2281,1)),"",IF((AND(LEFT(G2281,2)=LEFT('112'!$M$9,2),B2281&lt;'112'!$N$8,$L2281='112'!$I$6)),"x",""))</f>
        <v/>
      </c>
      <c r="U2281" s="39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39" t="str">
        <f>IF(OR(TH!L2281=TH!$W$7,M2281=TH!$W$7),"x","")</f>
        <v/>
      </c>
      <c r="X2281" s="39" t="str">
        <f>IF(AND(B2281&gt;='IN-NX'!$P$3,B2281&lt;='IN-NX'!$Q$3,'IN-NX'!$D$7=D2281,OR(LEFT(L2281,2)="15",AND(LEFT(M2281,2)&lt;&gt;"15",LEFT(M2281,2)&lt;&gt;"33"))),"x","")</f>
        <v/>
      </c>
      <c r="Y2281" s="39" t="str">
        <f>IF(AND(OR(LEFT(TH!L2281,2)="15",LEFT(TH!M2281,2)="15"),'152-CT'!$J$8=TH!F2281),"x","")</f>
        <v/>
      </c>
      <c r="Z2281" s="39" t="str">
        <f>IF(AND(OR(LEFT(TH!L2281,2)="15",LEFT(TH!M2281,2)="15"),TK!$E$7=TH!F2281),"x","")</f>
        <v/>
      </c>
      <c r="AA2281" s="39" t="str">
        <f>IF(AND(B2281&lt;=NKC!$N$8,B2281&gt;=NKC!$M$8),"x","")</f>
        <v/>
      </c>
      <c r="AB2281" s="821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107"/>
        <v/>
      </c>
      <c r="C2282" s="191"/>
      <c r="D2282" s="37"/>
      <c r="E2282" s="729"/>
      <c r="F2282" s="40"/>
      <c r="G2282" s="40"/>
      <c r="H2282" s="7"/>
      <c r="I2282" s="256"/>
      <c r="J2282" s="256"/>
      <c r="K2282" s="568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902" t="str">
        <f>IF(AND('341-CT'!$E$9=H2282,OR(LEFT(L2282,3)=$O$7,LEFT(M2282,3)=$O$7)),"x","")</f>
        <v/>
      </c>
      <c r="P2282" s="39" t="str">
        <f>IF(AND($B2282&gt;='111'!$N$11,$B2282&lt;='111'!$O$11,OR($L2282=$P$7,$M2282=$P$7)),"x","")</f>
        <v/>
      </c>
      <c r="Q2282" s="39" t="str">
        <f>IF(AND($L2282=$P$7,$B2282&lt;'111'!$N$11),"x","")</f>
        <v/>
      </c>
      <c r="R2282" s="39" t="str">
        <f>IF(AND($M2282=$P$7,$B2282&lt;'111'!$N$11),"x","")</f>
        <v/>
      </c>
      <c r="S2282" s="39" t="str">
        <f>IF(ISERROR(FIND('112'!$M$9,G2282,1)),"",IF((AND(FIND('112'!$M$9,G2282,1)&gt;=1,$B2282&gt;='112'!$N$8,$B2282&lt;='112'!$O$8,OR($L2282='112'!$I$6,$M2282='112'!$I$6))),"x",""))</f>
        <v/>
      </c>
      <c r="T2282" s="39" t="str">
        <f>IF(ISERROR(FIND('112'!$M$9,G2282,1)),"",IF((AND(LEFT(G2282,2)=LEFT('112'!$M$9,2),B2282&lt;'112'!$N$8,$L2282='112'!$I$6)),"x",""))</f>
        <v/>
      </c>
      <c r="U2282" s="39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39" t="str">
        <f>IF(OR(TH!L2282=TH!$W$7,M2282=TH!$W$7),"x","")</f>
        <v/>
      </c>
      <c r="X2282" s="39" t="str">
        <f>IF(AND(B2282&gt;='IN-NX'!$P$3,B2282&lt;='IN-NX'!$Q$3,'IN-NX'!$D$7=D2282,OR(LEFT(L2282,2)="15",AND(LEFT(M2282,2)&lt;&gt;"15",LEFT(M2282,2)&lt;&gt;"33"))),"x","")</f>
        <v/>
      </c>
      <c r="Y2282" s="39" t="str">
        <f>IF(AND(OR(LEFT(TH!L2282,2)="15",LEFT(TH!M2282,2)="15"),'152-CT'!$J$8=TH!F2282),"x","")</f>
        <v/>
      </c>
      <c r="Z2282" s="39" t="str">
        <f>IF(AND(OR(LEFT(TH!L2282,2)="15",LEFT(TH!M2282,2)="15"),TK!$E$7=TH!F2282),"x","")</f>
        <v/>
      </c>
      <c r="AA2282" s="39" t="str">
        <f>IF(AND(B2282&lt;=NKC!$N$8,B2282&gt;=NKC!$M$8),"x","")</f>
        <v/>
      </c>
      <c r="AB2282" s="821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107"/>
        <v/>
      </c>
      <c r="C2283" s="191"/>
      <c r="D2283" s="37"/>
      <c r="E2283" s="729"/>
      <c r="F2283" s="40"/>
      <c r="G2283" s="40"/>
      <c r="H2283" s="7"/>
      <c r="I2283" s="256"/>
      <c r="J2283" s="256"/>
      <c r="K2283" s="568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902" t="str">
        <f>IF(AND('341-CT'!$E$9=H2283,OR(LEFT(L2283,3)=$O$7,LEFT(M2283,3)=$O$7)),"x","")</f>
        <v/>
      </c>
      <c r="P2283" s="39" t="str">
        <f>IF(AND($B2283&gt;='111'!$N$11,$B2283&lt;='111'!$O$11,OR($L2283=$P$7,$M2283=$P$7)),"x","")</f>
        <v/>
      </c>
      <c r="Q2283" s="39" t="str">
        <f>IF(AND($L2283=$P$7,$B2283&lt;'111'!$N$11),"x","")</f>
        <v/>
      </c>
      <c r="R2283" s="39" t="str">
        <f>IF(AND($M2283=$P$7,$B2283&lt;'111'!$N$11),"x","")</f>
        <v/>
      </c>
      <c r="S2283" s="39" t="str">
        <f>IF(ISERROR(FIND('112'!$M$9,G2283,1)),"",IF((AND(FIND('112'!$M$9,G2283,1)&gt;=1,$B2283&gt;='112'!$N$8,$B2283&lt;='112'!$O$8,OR($L2283='112'!$I$6,$M2283='112'!$I$6))),"x",""))</f>
        <v/>
      </c>
      <c r="T2283" s="39" t="str">
        <f>IF(ISERROR(FIND('112'!$M$9,G2283,1)),"",IF((AND(LEFT(G2283,2)=LEFT('112'!$M$9,2),B2283&lt;'112'!$N$8,$L2283='112'!$I$6)),"x",""))</f>
        <v/>
      </c>
      <c r="U2283" s="39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39" t="str">
        <f>IF(OR(TH!L2283=TH!$W$7,M2283=TH!$W$7),"x","")</f>
        <v/>
      </c>
      <c r="X2283" s="39" t="str">
        <f>IF(AND(B2283&gt;='IN-NX'!$P$3,B2283&lt;='IN-NX'!$Q$3,'IN-NX'!$D$7=D2283,OR(LEFT(L2283,2)="15",AND(LEFT(M2283,2)&lt;&gt;"15",LEFT(M2283,2)&lt;&gt;"33"))),"x","")</f>
        <v/>
      </c>
      <c r="Y2283" s="39" t="str">
        <f>IF(AND(OR(LEFT(TH!L2283,2)="15",LEFT(TH!M2283,2)="15"),'152-CT'!$J$8=TH!F2283),"x","")</f>
        <v/>
      </c>
      <c r="Z2283" s="39" t="str">
        <f>IF(AND(OR(LEFT(TH!L2283,2)="15",LEFT(TH!M2283,2)="15"),TK!$E$7=TH!F2283),"x","")</f>
        <v/>
      </c>
      <c r="AA2283" s="39" t="str">
        <f>IF(AND(B2283&lt;=NKC!$N$8,B2283&gt;=NKC!$M$8),"x","")</f>
        <v/>
      </c>
      <c r="AB2283" s="821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107"/>
        <v/>
      </c>
      <c r="C2284" s="191"/>
      <c r="D2284" s="37"/>
      <c r="E2284" s="729"/>
      <c r="F2284" s="443"/>
      <c r="G2284" s="40"/>
      <c r="H2284" s="7"/>
      <c r="I2284" s="256"/>
      <c r="J2284" s="256"/>
      <c r="K2284" s="568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902" t="str">
        <f>IF(AND('341-CT'!$E$9=H2284,OR(LEFT(L2284,3)=$O$7,LEFT(M2284,3)=$O$7)),"x","")</f>
        <v/>
      </c>
      <c r="P2284" s="39" t="str">
        <f>IF(AND($B2284&gt;='111'!$N$11,$B2284&lt;='111'!$O$11,OR($L2284=$P$7,$M2284=$P$7)),"x","")</f>
        <v/>
      </c>
      <c r="Q2284" s="39" t="str">
        <f>IF(AND($L2284=$P$7,$B2284&lt;'111'!$N$11),"x","")</f>
        <v/>
      </c>
      <c r="R2284" s="39" t="str">
        <f>IF(AND($M2284=$P$7,$B2284&lt;'111'!$N$11),"x","")</f>
        <v/>
      </c>
      <c r="S2284" s="39" t="str">
        <f>IF(ISERROR(FIND('112'!$M$9,G2284,1)),"",IF((AND(FIND('112'!$M$9,G2284,1)&gt;=1,$B2284&gt;='112'!$N$8,$B2284&lt;='112'!$O$8,OR($L2284='112'!$I$6,$M2284='112'!$I$6))),"x",""))</f>
        <v/>
      </c>
      <c r="T2284" s="39" t="str">
        <f>IF(ISERROR(FIND('112'!$M$9,G2284,1)),"",IF((AND(LEFT(G2284,2)=LEFT('112'!$M$9,2),B2284&lt;'112'!$N$8,$L2284='112'!$I$6)),"x",""))</f>
        <v/>
      </c>
      <c r="U2284" s="39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39" t="str">
        <f>IF(OR(TH!L2284=TH!$W$7,M2284=TH!$W$7),"x","")</f>
        <v/>
      </c>
      <c r="X2284" s="39" t="str">
        <f>IF(AND(B2284&gt;='IN-NX'!$P$3,B2284&lt;='IN-NX'!$Q$3,'IN-NX'!$D$7=D2284,OR(LEFT(L2284,2)="15",AND(LEFT(M2284,2)&lt;&gt;"15",LEFT(M2284,2)&lt;&gt;"33"))),"x","")</f>
        <v/>
      </c>
      <c r="Y2284" s="39" t="str">
        <f>IF(AND(OR(LEFT(TH!L2284,2)="15",LEFT(TH!M2284,2)="15"),'152-CT'!$J$8=TH!F2284),"x","")</f>
        <v/>
      </c>
      <c r="Z2284" s="39" t="str">
        <f>IF(AND(OR(LEFT(TH!L2284,2)="15",LEFT(TH!M2284,2)="15"),TK!$E$7=TH!F2284),"x","")</f>
        <v/>
      </c>
      <c r="AA2284" s="39" t="str">
        <f>IF(AND(B2284&lt;=NKC!$N$8,B2284&gt;=NKC!$M$8),"x","")</f>
        <v/>
      </c>
      <c r="AB2284" s="821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107"/>
        <v/>
      </c>
      <c r="C2285" s="191"/>
      <c r="D2285" s="37"/>
      <c r="E2285" s="729"/>
      <c r="F2285" s="40"/>
      <c r="G2285" s="40"/>
      <c r="H2285" s="7"/>
      <c r="I2285" s="256"/>
      <c r="J2285" s="256"/>
      <c r="K2285" s="568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902" t="str">
        <f>IF(AND('341-CT'!$E$9=H2285,OR(LEFT(L2285,3)=$O$7,LEFT(M2285,3)=$O$7)),"x","")</f>
        <v/>
      </c>
      <c r="P2285" s="39" t="str">
        <f>IF(AND($B2285&gt;='111'!$N$11,$B2285&lt;='111'!$O$11,OR($L2285=$P$7,$M2285=$P$7)),"x","")</f>
        <v/>
      </c>
      <c r="Q2285" s="39" t="str">
        <f>IF(AND($L2285=$P$7,$B2285&lt;'111'!$N$11),"x","")</f>
        <v/>
      </c>
      <c r="R2285" s="39" t="str">
        <f>IF(AND($M2285=$P$7,$B2285&lt;'111'!$N$11),"x","")</f>
        <v/>
      </c>
      <c r="S2285" s="39" t="str">
        <f>IF(ISERROR(FIND('112'!$M$9,G2285,1)),"",IF((AND(FIND('112'!$M$9,G2285,1)&gt;=1,$B2285&gt;='112'!$N$8,$B2285&lt;='112'!$O$8,OR($L2285='112'!$I$6,$M2285='112'!$I$6))),"x",""))</f>
        <v/>
      </c>
      <c r="T2285" s="39" t="str">
        <f>IF(ISERROR(FIND('112'!$M$9,G2285,1)),"",IF((AND(LEFT(G2285,2)=LEFT('112'!$M$9,2),B2285&lt;'112'!$N$8,$L2285='112'!$I$6)),"x",""))</f>
        <v/>
      </c>
      <c r="U2285" s="39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39" t="str">
        <f>IF(OR(TH!L2285=TH!$W$7,M2285=TH!$W$7),"x","")</f>
        <v/>
      </c>
      <c r="X2285" s="39" t="str">
        <f>IF(AND(B2285&gt;='IN-NX'!$P$3,B2285&lt;='IN-NX'!$Q$3,'IN-NX'!$D$7=D2285,OR(LEFT(L2285,2)="15",AND(LEFT(M2285,2)&lt;&gt;"15",LEFT(M2285,2)&lt;&gt;"33"))),"x","")</f>
        <v/>
      </c>
      <c r="Y2285" s="39" t="str">
        <f>IF(AND(OR(LEFT(TH!L2285,2)="15",LEFT(TH!M2285,2)="15"),'152-CT'!$J$8=TH!F2285),"x","")</f>
        <v/>
      </c>
      <c r="Z2285" s="39" t="str">
        <f>IF(AND(OR(LEFT(TH!L2285,2)="15",LEFT(TH!M2285,2)="15"),TK!$E$7=TH!F2285),"x","")</f>
        <v/>
      </c>
      <c r="AA2285" s="39" t="str">
        <f>IF(AND(B2285&lt;=NKC!$N$8,B2285&gt;=NKC!$M$8),"x","")</f>
        <v/>
      </c>
      <c r="AB2285" s="821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107"/>
        <v/>
      </c>
      <c r="C2286" s="191"/>
      <c r="D2286" s="37"/>
      <c r="E2286" s="729"/>
      <c r="F2286" s="40"/>
      <c r="G2286" s="40"/>
      <c r="H2286" s="7"/>
      <c r="I2286" s="256"/>
      <c r="J2286" s="256"/>
      <c r="K2286" s="568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902" t="str">
        <f>IF(AND('341-CT'!$E$9=H2286,OR(LEFT(L2286,3)=$O$7,LEFT(M2286,3)=$O$7)),"x","")</f>
        <v/>
      </c>
      <c r="P2286" s="39" t="str">
        <f>IF(AND($B2286&gt;='111'!$N$11,$B2286&lt;='111'!$O$11,OR($L2286=$P$7,$M2286=$P$7)),"x","")</f>
        <v/>
      </c>
      <c r="Q2286" s="39" t="str">
        <f>IF(AND($L2286=$P$7,$B2286&lt;'111'!$N$11),"x","")</f>
        <v/>
      </c>
      <c r="R2286" s="39" t="str">
        <f>IF(AND($M2286=$P$7,$B2286&lt;'111'!$N$11),"x","")</f>
        <v/>
      </c>
      <c r="S2286" s="39" t="str">
        <f>IF(ISERROR(FIND('112'!$M$9,G2286,1)),"",IF((AND(FIND('112'!$M$9,G2286,1)&gt;=1,$B2286&gt;='112'!$N$8,$B2286&lt;='112'!$O$8,OR($L2286='112'!$I$6,$M2286='112'!$I$6))),"x",""))</f>
        <v/>
      </c>
      <c r="T2286" s="39" t="str">
        <f>IF(ISERROR(FIND('112'!$M$9,G2286,1)),"",IF((AND(LEFT(G2286,2)=LEFT('112'!$M$9,2),B2286&lt;'112'!$N$8,$L2286='112'!$I$6)),"x",""))</f>
        <v/>
      </c>
      <c r="U2286" s="39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39" t="str">
        <f>IF(OR(TH!L2286=TH!$W$7,M2286=TH!$W$7),"x","")</f>
        <v/>
      </c>
      <c r="X2286" s="39" t="str">
        <f>IF(AND(B2286&gt;='IN-NX'!$P$3,B2286&lt;='IN-NX'!$Q$3,'IN-NX'!$D$7=D2286,OR(LEFT(L2286,2)="15",AND(LEFT(M2286,2)&lt;&gt;"15",LEFT(M2286,2)&lt;&gt;"33"))),"x","")</f>
        <v/>
      </c>
      <c r="Y2286" s="39" t="str">
        <f>IF(AND(OR(LEFT(TH!L2286,2)="15",LEFT(TH!M2286,2)="15"),'152-CT'!$J$8=TH!F2286),"x","")</f>
        <v/>
      </c>
      <c r="Z2286" s="39" t="str">
        <f>IF(AND(OR(LEFT(TH!L2286,2)="15",LEFT(TH!M2286,2)="15"),TK!$E$7=TH!F2286),"x","")</f>
        <v/>
      </c>
      <c r="AA2286" s="39" t="str">
        <f>IF(AND(B2286&lt;=NKC!$N$8,B2286&gt;=NKC!$M$8),"x","")</f>
        <v/>
      </c>
      <c r="AB2286" s="821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107"/>
        <v/>
      </c>
      <c r="C2287" s="191"/>
      <c r="D2287" s="37"/>
      <c r="E2287" s="729"/>
      <c r="F2287" s="192"/>
      <c r="G2287" s="468"/>
      <c r="H2287" s="193"/>
      <c r="I2287" s="256"/>
      <c r="J2287" s="256"/>
      <c r="K2287" s="568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902" t="str">
        <f>IF(AND('341-CT'!$E$9=H2287,OR(LEFT(L2287,3)=$O$7,LEFT(M2287,3)=$O$7)),"x","")</f>
        <v/>
      </c>
      <c r="P2287" s="39" t="str">
        <f>IF(AND($B2287&gt;='111'!$N$11,$B2287&lt;='111'!$O$11,OR($L2287=$P$7,$M2287=$P$7)),"x","")</f>
        <v/>
      </c>
      <c r="Q2287" s="39" t="str">
        <f>IF(AND($L2287=$P$7,$B2287&lt;'111'!$N$11),"x","")</f>
        <v/>
      </c>
      <c r="R2287" s="39" t="str">
        <f>IF(AND($M2287=$P$7,$B2287&lt;'111'!$N$11),"x","")</f>
        <v/>
      </c>
      <c r="S2287" s="39" t="str">
        <f>IF(ISERROR(FIND('112'!$M$9,G2287,1)),"",IF((AND(FIND('112'!$M$9,G2287,1)&gt;=1,$B2287&gt;='112'!$N$8,$B2287&lt;='112'!$O$8,OR($L2287='112'!$I$6,$M2287='112'!$I$6))),"x",""))</f>
        <v/>
      </c>
      <c r="T2287" s="39" t="str">
        <f>IF(ISERROR(FIND('112'!$M$9,G2287,1)),"",IF((AND(LEFT(G2287,2)=LEFT('112'!$M$9,2),B2287&lt;'112'!$N$8,$L2287='112'!$I$6)),"x",""))</f>
        <v/>
      </c>
      <c r="U2287" s="39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39" t="str">
        <f>IF(OR(TH!L2287=TH!$W$7,M2287=TH!$W$7),"x","")</f>
        <v/>
      </c>
      <c r="X2287" s="39" t="str">
        <f>IF(AND(B2287&gt;='IN-NX'!$P$3,B2287&lt;='IN-NX'!$Q$3,'IN-NX'!$D$7=D2287,OR(LEFT(L2287,2)="15",AND(LEFT(M2287,2)&lt;&gt;"15",LEFT(M2287,2)&lt;&gt;"33"))),"x","")</f>
        <v/>
      </c>
      <c r="Y2287" s="39" t="str">
        <f>IF(AND(OR(LEFT(TH!L2287,2)="15",LEFT(TH!M2287,2)="15"),'152-CT'!$J$8=TH!F2287),"x","")</f>
        <v/>
      </c>
      <c r="Z2287" s="39" t="str">
        <f>IF(AND(OR(LEFT(TH!L2287,2)="15",LEFT(TH!M2287,2)="15"),TK!$E$7=TH!F2287),"x","")</f>
        <v/>
      </c>
      <c r="AA2287" s="39" t="str">
        <f>IF(AND(B2287&lt;=NKC!$N$8,B2287&gt;=NKC!$M$8),"x","")</f>
        <v/>
      </c>
      <c r="AB2287" s="821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107"/>
        <v/>
      </c>
      <c r="C2288" s="191"/>
      <c r="D2288" s="37"/>
      <c r="E2288" s="729"/>
      <c r="F2288" s="192"/>
      <c r="G2288" s="468"/>
      <c r="H2288" s="193"/>
      <c r="I2288" s="256"/>
      <c r="J2288" s="256"/>
      <c r="K2288" s="568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902" t="str">
        <f>IF(AND('341-CT'!$E$9=H2288,OR(LEFT(L2288,3)=$O$7,LEFT(M2288,3)=$O$7)),"x","")</f>
        <v/>
      </c>
      <c r="P2288" s="39" t="str">
        <f>IF(AND($B2288&gt;='111'!$N$11,$B2288&lt;='111'!$O$11,OR($L2288=$P$7,$M2288=$P$7)),"x","")</f>
        <v/>
      </c>
      <c r="Q2288" s="39" t="str">
        <f>IF(AND($L2288=$P$7,$B2288&lt;'111'!$N$11),"x","")</f>
        <v/>
      </c>
      <c r="R2288" s="39" t="str">
        <f>IF(AND($M2288=$P$7,$B2288&lt;'111'!$N$11),"x","")</f>
        <v/>
      </c>
      <c r="S2288" s="39" t="str">
        <f>IF(ISERROR(FIND('112'!$M$9,G2288,1)),"",IF((AND(FIND('112'!$M$9,G2288,1)&gt;=1,$B2288&gt;='112'!$N$8,$B2288&lt;='112'!$O$8,OR($L2288='112'!$I$6,$M2288='112'!$I$6))),"x",""))</f>
        <v/>
      </c>
      <c r="T2288" s="39" t="str">
        <f>IF(ISERROR(FIND('112'!$M$9,G2288,1)),"",IF((AND(LEFT(G2288,2)=LEFT('112'!$M$9,2),B2288&lt;'112'!$N$8,$L2288='112'!$I$6)),"x",""))</f>
        <v/>
      </c>
      <c r="U2288" s="39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39" t="str">
        <f>IF(OR(TH!L2288=TH!$W$7,M2288=TH!$W$7),"x","")</f>
        <v/>
      </c>
      <c r="X2288" s="39" t="str">
        <f>IF(AND(B2288&gt;='IN-NX'!$P$3,B2288&lt;='IN-NX'!$Q$3,'IN-NX'!$D$7=D2288,OR(LEFT(L2288,2)="15",AND(LEFT(M2288,2)&lt;&gt;"15",LEFT(M2288,2)&lt;&gt;"33"))),"x","")</f>
        <v/>
      </c>
      <c r="Y2288" s="39" t="str">
        <f>IF(AND(OR(LEFT(TH!L2288,2)="15",LEFT(TH!M2288,2)="15"),'152-CT'!$J$8=TH!F2288),"x","")</f>
        <v/>
      </c>
      <c r="Z2288" s="39" t="str">
        <f>IF(AND(OR(LEFT(TH!L2288,2)="15",LEFT(TH!M2288,2)="15"),TK!$E$7=TH!F2288),"x","")</f>
        <v/>
      </c>
      <c r="AA2288" s="39" t="str">
        <f>IF(AND(B2288&lt;=NKC!$N$8,B2288&gt;=NKC!$M$8),"x","")</f>
        <v/>
      </c>
      <c r="AB2288" s="821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 t="str">
        <f t="shared" si="107"/>
        <v/>
      </c>
      <c r="C2289" s="191"/>
      <c r="D2289" s="37"/>
      <c r="E2289" s="729"/>
      <c r="F2289" s="192"/>
      <c r="G2289" s="468"/>
      <c r="H2289" s="193"/>
      <c r="I2289" s="256"/>
      <c r="J2289" s="256"/>
      <c r="K2289" s="568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902" t="str">
        <f>IF(AND('341-CT'!$E$9=H2289,OR(LEFT(L2289,3)=$O$7,LEFT(M2289,3)=$O$7)),"x","")</f>
        <v/>
      </c>
      <c r="P2289" s="39" t="str">
        <f>IF(AND($B2289&gt;='111'!$N$11,$B2289&lt;='111'!$O$11,OR($L2289=$P$7,$M2289=$P$7)),"x","")</f>
        <v/>
      </c>
      <c r="Q2289" s="39" t="str">
        <f>IF(AND($L2289=$P$7,$B2289&lt;'111'!$N$11),"x","")</f>
        <v/>
      </c>
      <c r="R2289" s="39" t="str">
        <f>IF(AND($M2289=$P$7,$B2289&lt;'111'!$N$11),"x","")</f>
        <v/>
      </c>
      <c r="S2289" s="39" t="str">
        <f>IF(ISERROR(FIND('112'!$M$9,G2289,1)),"",IF((AND(FIND('112'!$M$9,G2289,1)&gt;=1,$B2289&gt;='112'!$N$8,$B2289&lt;='112'!$O$8,OR($L2289='112'!$I$6,$M2289='112'!$I$6))),"x",""))</f>
        <v/>
      </c>
      <c r="T2289" s="39" t="str">
        <f>IF(ISERROR(FIND('112'!$M$9,G2289,1)),"",IF((AND(LEFT(G2289,2)=LEFT('112'!$M$9,2),B2289&lt;'112'!$N$8,$L2289='112'!$I$6)),"x",""))</f>
        <v/>
      </c>
      <c r="U2289" s="39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39" t="str">
        <f>IF(OR(TH!L2289=TH!$W$7,M2289=TH!$W$7),"x","")</f>
        <v/>
      </c>
      <c r="X2289" s="39" t="str">
        <f>IF(AND(B2289&gt;='IN-NX'!$P$3,B2289&lt;='IN-NX'!$Q$3,'IN-NX'!$D$7=D2289,OR(LEFT(L2289,2)="15",AND(LEFT(M2289,2)&lt;&gt;"15",LEFT(M2289,2)&lt;&gt;"33"))),"x","")</f>
        <v/>
      </c>
      <c r="Y2289" s="39" t="str">
        <f>IF(AND(OR(LEFT(TH!L2289,2)="15",LEFT(TH!M2289,2)="15"),'152-CT'!$J$8=TH!F2289),"x","")</f>
        <v/>
      </c>
      <c r="Z2289" s="39" t="str">
        <f>IF(AND(OR(LEFT(TH!L2289,2)="15",LEFT(TH!M2289,2)="15"),TK!$E$7=TH!F2289),"x","")</f>
        <v/>
      </c>
      <c r="AA2289" s="39" t="str">
        <f>IF(AND(B2289&lt;=NKC!$N$8,B2289&gt;=NKC!$M$8),"x","")</f>
        <v/>
      </c>
      <c r="AB2289" s="821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 t="str">
        <f t="shared" si="107"/>
        <v/>
      </c>
      <c r="C2290" s="191"/>
      <c r="D2290" s="37"/>
      <c r="E2290" s="729"/>
      <c r="F2290" s="192"/>
      <c r="G2290" s="468"/>
      <c r="H2290" s="193"/>
      <c r="I2290" s="256"/>
      <c r="J2290" s="256"/>
      <c r="K2290" s="568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902" t="str">
        <f>IF(AND('341-CT'!$E$9=H2290,OR(LEFT(L2290,3)=$O$7,LEFT(M2290,3)=$O$7)),"x","")</f>
        <v/>
      </c>
      <c r="P2290" s="39" t="str">
        <f>IF(AND($B2290&gt;='111'!$N$11,$B2290&lt;='111'!$O$11,OR($L2290=$P$7,$M2290=$P$7)),"x","")</f>
        <v/>
      </c>
      <c r="Q2290" s="39" t="str">
        <f>IF(AND($L2290=$P$7,$B2290&lt;'111'!$N$11),"x","")</f>
        <v/>
      </c>
      <c r="R2290" s="39" t="str">
        <f>IF(AND($M2290=$P$7,$B2290&lt;'111'!$N$11),"x","")</f>
        <v/>
      </c>
      <c r="S2290" s="39" t="str">
        <f>IF(ISERROR(FIND('112'!$M$9,G2290,1)),"",IF((AND(FIND('112'!$M$9,G2290,1)&gt;=1,$B2290&gt;='112'!$N$8,$B2290&lt;='112'!$O$8,OR($L2290='112'!$I$6,$M2290='112'!$I$6))),"x",""))</f>
        <v/>
      </c>
      <c r="T2290" s="39" t="str">
        <f>IF(ISERROR(FIND('112'!$M$9,G2290,1)),"",IF((AND(LEFT(G2290,2)=LEFT('112'!$M$9,2),B2290&lt;'112'!$N$8,$L2290='112'!$I$6)),"x",""))</f>
        <v/>
      </c>
      <c r="U2290" s="39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39" t="str">
        <f>IF(OR(TH!L2290=TH!$W$7,M2290=TH!$W$7),"x","")</f>
        <v/>
      </c>
      <c r="X2290" s="39" t="str">
        <f>IF(AND(B2290&gt;='IN-NX'!$P$3,B2290&lt;='IN-NX'!$Q$3,'IN-NX'!$D$7=D2290,OR(LEFT(L2290,2)="15",AND(LEFT(M2290,2)&lt;&gt;"15",LEFT(M2290,2)&lt;&gt;"33"))),"x","")</f>
        <v/>
      </c>
      <c r="Y2290" s="39" t="str">
        <f>IF(AND(OR(LEFT(TH!L2290,2)="15",LEFT(TH!M2290,2)="15"),'152-CT'!$J$8=TH!F2290),"x","")</f>
        <v/>
      </c>
      <c r="Z2290" s="39" t="str">
        <f>IF(AND(OR(LEFT(TH!L2290,2)="15",LEFT(TH!M2290,2)="15"),TK!$E$7=TH!F2290),"x","")</f>
        <v/>
      </c>
      <c r="AA2290" s="39" t="str">
        <f>IF(AND(B2290&lt;=NKC!$N$8,B2290&gt;=NKC!$M$8),"x","")</f>
        <v/>
      </c>
      <c r="AB2290" s="821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 t="str">
        <f t="shared" si="107"/>
        <v/>
      </c>
      <c r="C2291" s="191"/>
      <c r="D2291" s="37"/>
      <c r="E2291" s="729"/>
      <c r="F2291" s="192"/>
      <c r="G2291" s="468"/>
      <c r="H2291" s="193"/>
      <c r="I2291" s="256"/>
      <c r="J2291" s="256"/>
      <c r="K2291" s="568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902" t="str">
        <f>IF(AND('341-CT'!$E$9=H2291,OR(LEFT(L2291,3)=$O$7,LEFT(M2291,3)=$O$7)),"x","")</f>
        <v/>
      </c>
      <c r="P2291" s="39" t="str">
        <f>IF(AND($B2291&gt;='111'!$N$11,$B2291&lt;='111'!$O$11,OR($L2291=$P$7,$M2291=$P$7)),"x","")</f>
        <v/>
      </c>
      <c r="Q2291" s="39" t="str">
        <f>IF(AND($L2291=$P$7,$B2291&lt;'111'!$N$11),"x","")</f>
        <v/>
      </c>
      <c r="R2291" s="39" t="str">
        <f>IF(AND($M2291=$P$7,$B2291&lt;'111'!$N$11),"x","")</f>
        <v/>
      </c>
      <c r="S2291" s="39" t="str">
        <f>IF(ISERROR(FIND('112'!$M$9,G2291,1)),"",IF((AND(FIND('112'!$M$9,G2291,1)&gt;=1,$B2291&gt;='112'!$N$8,$B2291&lt;='112'!$O$8,OR($L2291='112'!$I$6,$M2291='112'!$I$6))),"x",""))</f>
        <v/>
      </c>
      <c r="T2291" s="39" t="str">
        <f>IF(ISERROR(FIND('112'!$M$9,G2291,1)),"",IF((AND(LEFT(G2291,2)=LEFT('112'!$M$9,2),B2291&lt;'112'!$N$8,$L2291='112'!$I$6)),"x",""))</f>
        <v/>
      </c>
      <c r="U2291" s="39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39" t="str">
        <f>IF(OR(TH!L2291=TH!$W$7,M2291=TH!$W$7),"x","")</f>
        <v/>
      </c>
      <c r="X2291" s="39" t="str">
        <f>IF(AND(B2291&gt;='IN-NX'!$P$3,B2291&lt;='IN-NX'!$Q$3,'IN-NX'!$D$7=D2291,OR(LEFT(L2291,2)="15",AND(LEFT(M2291,2)&lt;&gt;"15",LEFT(M2291,2)&lt;&gt;"33"))),"x","")</f>
        <v/>
      </c>
      <c r="Y2291" s="39" t="str">
        <f>IF(AND(OR(LEFT(TH!L2291,2)="15",LEFT(TH!M2291,2)="15"),'152-CT'!$J$8=TH!F2291),"x","")</f>
        <v/>
      </c>
      <c r="Z2291" s="39" t="str">
        <f>IF(AND(OR(LEFT(TH!L2291,2)="15",LEFT(TH!M2291,2)="15"),TK!$E$7=TH!F2291),"x","")</f>
        <v/>
      </c>
      <c r="AA2291" s="39" t="str">
        <f>IF(AND(B2291&lt;=NKC!$N$8,B2291&gt;=NKC!$M$8),"x","")</f>
        <v/>
      </c>
      <c r="AB2291" s="821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 t="str">
        <f t="shared" si="107"/>
        <v/>
      </c>
      <c r="C2292" s="191"/>
      <c r="D2292" s="37"/>
      <c r="E2292" s="729"/>
      <c r="F2292" s="192"/>
      <c r="G2292" s="468"/>
      <c r="H2292" s="193"/>
      <c r="I2292" s="256"/>
      <c r="J2292" s="256"/>
      <c r="K2292" s="568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902" t="str">
        <f>IF(AND('341-CT'!$E$9=H2292,OR(LEFT(L2292,3)=$O$7,LEFT(M2292,3)=$O$7)),"x","")</f>
        <v/>
      </c>
      <c r="P2292" s="39" t="str">
        <f>IF(AND($B2292&gt;='111'!$N$11,$B2292&lt;='111'!$O$11,OR($L2292=$P$7,$M2292=$P$7)),"x","")</f>
        <v/>
      </c>
      <c r="Q2292" s="39" t="str">
        <f>IF(AND($L2292=$P$7,$B2292&lt;'111'!$N$11),"x","")</f>
        <v/>
      </c>
      <c r="R2292" s="39" t="str">
        <f>IF(AND($M2292=$P$7,$B2292&lt;'111'!$N$11),"x","")</f>
        <v/>
      </c>
      <c r="S2292" s="39" t="str">
        <f>IF(ISERROR(FIND('112'!$M$9,G2292,1)),"",IF((AND(FIND('112'!$M$9,G2292,1)&gt;=1,$B2292&gt;='112'!$N$8,$B2292&lt;='112'!$O$8,OR($L2292='112'!$I$6,$M2292='112'!$I$6))),"x",""))</f>
        <v/>
      </c>
      <c r="T2292" s="39" t="str">
        <f>IF(ISERROR(FIND('112'!$M$9,G2292,1)),"",IF((AND(LEFT(G2292,2)=LEFT('112'!$M$9,2),B2292&lt;'112'!$N$8,$L2292='112'!$I$6)),"x",""))</f>
        <v/>
      </c>
      <c r="U2292" s="39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39" t="str">
        <f>IF(OR(TH!L2292=TH!$W$7,M2292=TH!$W$7),"x","")</f>
        <v/>
      </c>
      <c r="X2292" s="39" t="str">
        <f>IF(AND(B2292&gt;='IN-NX'!$P$3,B2292&lt;='IN-NX'!$Q$3,'IN-NX'!$D$7=D2292,OR(LEFT(L2292,2)="15",AND(LEFT(M2292,2)&lt;&gt;"15",LEFT(M2292,2)&lt;&gt;"33"))),"x","")</f>
        <v/>
      </c>
      <c r="Y2292" s="39" t="str">
        <f>IF(AND(OR(LEFT(TH!L2292,2)="15",LEFT(TH!M2292,2)="15"),'152-CT'!$J$8=TH!F2292),"x","")</f>
        <v/>
      </c>
      <c r="Z2292" s="39" t="str">
        <f>IF(AND(OR(LEFT(TH!L2292,2)="15",LEFT(TH!M2292,2)="15"),TK!$E$7=TH!F2292),"x","")</f>
        <v/>
      </c>
      <c r="AA2292" s="39" t="str">
        <f>IF(AND(B2292&lt;=NKC!$N$8,B2292&gt;=NKC!$M$8),"x","")</f>
        <v/>
      </c>
      <c r="AB2292" s="821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 t="str">
        <f t="shared" si="107"/>
        <v/>
      </c>
      <c r="C2293" s="191"/>
      <c r="D2293" s="37"/>
      <c r="E2293" s="729"/>
      <c r="F2293" s="192"/>
      <c r="G2293" s="468"/>
      <c r="H2293" s="193"/>
      <c r="I2293" s="256"/>
      <c r="J2293" s="256"/>
      <c r="K2293" s="568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902" t="str">
        <f>IF(AND('341-CT'!$E$9=H2293,OR(LEFT(L2293,3)=$O$7,LEFT(M2293,3)=$O$7)),"x","")</f>
        <v/>
      </c>
      <c r="P2293" s="39" t="str">
        <f>IF(AND($B2293&gt;='111'!$N$11,$B2293&lt;='111'!$O$11,OR($L2293=$P$7,$M2293=$P$7)),"x","")</f>
        <v/>
      </c>
      <c r="Q2293" s="39" t="str">
        <f>IF(AND($L2293=$P$7,$B2293&lt;'111'!$N$11),"x","")</f>
        <v/>
      </c>
      <c r="R2293" s="39" t="str">
        <f>IF(AND($M2293=$P$7,$B2293&lt;'111'!$N$11),"x","")</f>
        <v/>
      </c>
      <c r="S2293" s="39" t="str">
        <f>IF(ISERROR(FIND('112'!$M$9,G2293,1)),"",IF((AND(FIND('112'!$M$9,G2293,1)&gt;=1,$B2293&gt;='112'!$N$8,$B2293&lt;='112'!$O$8,OR($L2293='112'!$I$6,$M2293='112'!$I$6))),"x",""))</f>
        <v/>
      </c>
      <c r="T2293" s="39" t="str">
        <f>IF(ISERROR(FIND('112'!$M$9,G2293,1)),"",IF((AND(LEFT(G2293,2)=LEFT('112'!$M$9,2),B2293&lt;'112'!$N$8,$L2293='112'!$I$6)),"x",""))</f>
        <v/>
      </c>
      <c r="U2293" s="39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39" t="str">
        <f>IF(OR(TH!L2293=TH!$W$7,M2293=TH!$W$7),"x","")</f>
        <v/>
      </c>
      <c r="X2293" s="39" t="str">
        <f>IF(AND(B2293&gt;='IN-NX'!$P$3,B2293&lt;='IN-NX'!$Q$3,'IN-NX'!$D$7=D2293,OR(LEFT(L2293,2)="15",AND(LEFT(M2293,2)&lt;&gt;"15",LEFT(M2293,2)&lt;&gt;"33"))),"x","")</f>
        <v/>
      </c>
      <c r="Y2293" s="39" t="str">
        <f>IF(AND(OR(LEFT(TH!L2293,2)="15",LEFT(TH!M2293,2)="15"),'152-CT'!$J$8=TH!F2293),"x","")</f>
        <v/>
      </c>
      <c r="Z2293" s="39" t="str">
        <f>IF(AND(OR(LEFT(TH!L2293,2)="15",LEFT(TH!M2293,2)="15"),TK!$E$7=TH!F2293),"x","")</f>
        <v/>
      </c>
      <c r="AA2293" s="39" t="str">
        <f>IF(AND(B2293&lt;=NKC!$N$8,B2293&gt;=NKC!$M$8),"x","")</f>
        <v/>
      </c>
      <c r="AB2293" s="821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 t="str">
        <f t="shared" si="107"/>
        <v/>
      </c>
      <c r="C2294" s="191"/>
      <c r="D2294" s="37"/>
      <c r="E2294" s="729"/>
      <c r="F2294" s="192"/>
      <c r="G2294" s="468"/>
      <c r="H2294" s="193"/>
      <c r="I2294" s="256"/>
      <c r="J2294" s="256"/>
      <c r="K2294" s="568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902" t="str">
        <f>IF(AND('341-CT'!$E$9=H2294,OR(LEFT(L2294,3)=$O$7,LEFT(M2294,3)=$O$7)),"x","")</f>
        <v/>
      </c>
      <c r="P2294" s="39" t="str">
        <f>IF(AND($B2294&gt;='111'!$N$11,$B2294&lt;='111'!$O$11,OR($L2294=$P$7,$M2294=$P$7)),"x","")</f>
        <v/>
      </c>
      <c r="Q2294" s="39" t="str">
        <f>IF(AND($L2294=$P$7,$B2294&lt;'111'!$N$11),"x","")</f>
        <v/>
      </c>
      <c r="R2294" s="39" t="str">
        <f>IF(AND($M2294=$P$7,$B2294&lt;'111'!$N$11),"x","")</f>
        <v/>
      </c>
      <c r="S2294" s="39" t="str">
        <f>IF(ISERROR(FIND('112'!$M$9,G2294,1)),"",IF((AND(FIND('112'!$M$9,G2294,1)&gt;=1,$B2294&gt;='112'!$N$8,$B2294&lt;='112'!$O$8,OR($L2294='112'!$I$6,$M2294='112'!$I$6))),"x",""))</f>
        <v/>
      </c>
      <c r="T2294" s="39" t="str">
        <f>IF(ISERROR(FIND('112'!$M$9,G2294,1)),"",IF((AND(LEFT(G2294,2)=LEFT('112'!$M$9,2),B2294&lt;'112'!$N$8,$L2294='112'!$I$6)),"x",""))</f>
        <v/>
      </c>
      <c r="U2294" s="39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39" t="str">
        <f>IF(OR(TH!L2294=TH!$W$7,M2294=TH!$W$7),"x","")</f>
        <v/>
      </c>
      <c r="X2294" s="39" t="str">
        <f>IF(AND(B2294&gt;='IN-NX'!$P$3,B2294&lt;='IN-NX'!$Q$3,'IN-NX'!$D$7=D2294,OR(LEFT(L2294,2)="15",AND(LEFT(M2294,2)&lt;&gt;"15",LEFT(M2294,2)&lt;&gt;"33"))),"x","")</f>
        <v/>
      </c>
      <c r="Y2294" s="39" t="str">
        <f>IF(AND(OR(LEFT(TH!L2294,2)="15",LEFT(TH!M2294,2)="15"),'152-CT'!$J$8=TH!F2294),"x","")</f>
        <v/>
      </c>
      <c r="Z2294" s="39" t="str">
        <f>IF(AND(OR(LEFT(TH!L2294,2)="15",LEFT(TH!M2294,2)="15"),TK!$E$7=TH!F2294),"x","")</f>
        <v/>
      </c>
      <c r="AA2294" s="39" t="str">
        <f>IF(AND(B2294&lt;=NKC!$N$8,B2294&gt;=NKC!$M$8),"x","")</f>
        <v/>
      </c>
      <c r="AB2294" s="821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 t="str">
        <f t="shared" si="107"/>
        <v/>
      </c>
      <c r="C2295" s="191"/>
      <c r="D2295" s="37"/>
      <c r="E2295" s="729"/>
      <c r="F2295" s="192"/>
      <c r="G2295" s="468"/>
      <c r="H2295" s="193"/>
      <c r="I2295" s="256"/>
      <c r="J2295" s="256"/>
      <c r="K2295" s="56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902" t="str">
        <f>IF(AND('341-CT'!$E$9=H2295,OR(LEFT(L2295,3)=$O$7,LEFT(M2295,3)=$O$7)),"x","")</f>
        <v/>
      </c>
      <c r="P2295" s="39" t="str">
        <f>IF(AND($B2295&gt;='111'!$N$11,$B2295&lt;='111'!$O$11,OR($L2295=$P$7,$M2295=$P$7)),"x","")</f>
        <v/>
      </c>
      <c r="Q2295" s="39" t="str">
        <f>IF(AND($L2295=$P$7,$B2295&lt;'111'!$N$11),"x","")</f>
        <v/>
      </c>
      <c r="R2295" s="39" t="str">
        <f>IF(AND($M2295=$P$7,$B2295&lt;'111'!$N$11),"x","")</f>
        <v/>
      </c>
      <c r="S2295" s="39" t="str">
        <f>IF(ISERROR(FIND('112'!$M$9,G2295,1)),"",IF((AND(FIND('112'!$M$9,G2295,1)&gt;=1,$B2295&gt;='112'!$N$8,$B2295&lt;='112'!$O$8,OR($L2295='112'!$I$6,$M2295='112'!$I$6))),"x",""))</f>
        <v/>
      </c>
      <c r="T2295" s="39" t="str">
        <f>IF(ISERROR(FIND('112'!$M$9,G2295,1)),"",IF((AND(LEFT(G2295,2)=LEFT('112'!$M$9,2),B2295&lt;'112'!$N$8,$L2295='112'!$I$6)),"x",""))</f>
        <v/>
      </c>
      <c r="U2295" s="39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39" t="str">
        <f>IF(OR(TH!L2295=TH!$W$7,M2295=TH!$W$7),"x","")</f>
        <v/>
      </c>
      <c r="X2295" s="39" t="str">
        <f>IF(AND(B2295&gt;='IN-NX'!$P$3,B2295&lt;='IN-NX'!$Q$3,'IN-NX'!$D$7=D2295,OR(LEFT(L2295,2)="15",AND(LEFT(M2295,2)&lt;&gt;"15",LEFT(M2295,2)&lt;&gt;"33"))),"x","")</f>
        <v/>
      </c>
      <c r="Y2295" s="39" t="str">
        <f>IF(AND(OR(LEFT(TH!L2295,2)="15",LEFT(TH!M2295,2)="15"),'152-CT'!$J$8=TH!F2295),"x","")</f>
        <v/>
      </c>
      <c r="Z2295" s="39" t="str">
        <f>IF(AND(OR(LEFT(TH!L2295,2)="15",LEFT(TH!M2295,2)="15"),TK!$E$7=TH!F2295),"x","")</f>
        <v/>
      </c>
      <c r="AA2295" s="39" t="str">
        <f>IF(AND(B2295&lt;=NKC!$N$8,B2295&gt;=NKC!$M$8),"x","")</f>
        <v/>
      </c>
      <c r="AB2295" s="821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 t="str">
        <f t="shared" si="107"/>
        <v/>
      </c>
      <c r="C2296" s="191"/>
      <c r="D2296" s="37"/>
      <c r="E2296" s="729"/>
      <c r="F2296" s="192"/>
      <c r="G2296" s="468"/>
      <c r="H2296" s="193"/>
      <c r="I2296" s="256"/>
      <c r="J2296" s="256"/>
      <c r="K2296" s="56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902" t="str">
        <f>IF(AND('341-CT'!$E$9=H2296,OR(LEFT(L2296,3)=$O$7,LEFT(M2296,3)=$O$7)),"x","")</f>
        <v/>
      </c>
      <c r="P2296" s="39" t="str">
        <f>IF(AND($B2296&gt;='111'!$N$11,$B2296&lt;='111'!$O$11,OR($L2296=$P$7,$M2296=$P$7)),"x","")</f>
        <v/>
      </c>
      <c r="Q2296" s="39" t="str">
        <f>IF(AND($L2296=$P$7,$B2296&lt;'111'!$N$11),"x","")</f>
        <v/>
      </c>
      <c r="R2296" s="39" t="str">
        <f>IF(AND($M2296=$P$7,$B2296&lt;'111'!$N$11),"x","")</f>
        <v/>
      </c>
      <c r="S2296" s="39" t="str">
        <f>IF(ISERROR(FIND('112'!$M$9,G2296,1)),"",IF((AND(FIND('112'!$M$9,G2296,1)&gt;=1,$B2296&gt;='112'!$N$8,$B2296&lt;='112'!$O$8,OR($L2296='112'!$I$6,$M2296='112'!$I$6))),"x",""))</f>
        <v/>
      </c>
      <c r="T2296" s="39" t="str">
        <f>IF(ISERROR(FIND('112'!$M$9,G2296,1)),"",IF((AND(LEFT(G2296,2)=LEFT('112'!$M$9,2),B2296&lt;'112'!$N$8,$L2296='112'!$I$6)),"x",""))</f>
        <v/>
      </c>
      <c r="U2296" s="39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39" t="str">
        <f>IF(OR(TH!L2296=TH!$W$7,M2296=TH!$W$7),"x","")</f>
        <v/>
      </c>
      <c r="X2296" s="39" t="str">
        <f>IF(AND(B2296&gt;='IN-NX'!$P$3,B2296&lt;='IN-NX'!$Q$3,'IN-NX'!$D$7=D2296,OR(LEFT(L2296,2)="15",AND(LEFT(M2296,2)&lt;&gt;"15",LEFT(M2296,2)&lt;&gt;"33"))),"x","")</f>
        <v/>
      </c>
      <c r="Y2296" s="39" t="str">
        <f>IF(AND(OR(LEFT(TH!L2296,2)="15",LEFT(TH!M2296,2)="15"),'152-CT'!$J$8=TH!F2296),"x","")</f>
        <v/>
      </c>
      <c r="Z2296" s="39" t="str">
        <f>IF(AND(OR(LEFT(TH!L2296,2)="15",LEFT(TH!M2296,2)="15"),TK!$E$7=TH!F2296),"x","")</f>
        <v/>
      </c>
      <c r="AA2296" s="39" t="str">
        <f>IF(AND(B2296&lt;=NKC!$N$8,B2296&gt;=NKC!$M$8),"x","")</f>
        <v/>
      </c>
      <c r="AB2296" s="821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 t="str">
        <f t="shared" ref="B2297:B2360" si="108">IF(C2297&lt;&gt;"",MONTH(C2297),"")</f>
        <v/>
      </c>
      <c r="C2297" s="191"/>
      <c r="D2297" s="37"/>
      <c r="E2297" s="729"/>
      <c r="F2297" s="192"/>
      <c r="G2297" s="468"/>
      <c r="H2297" s="193"/>
      <c r="I2297" s="256"/>
      <c r="J2297" s="256"/>
      <c r="K2297" s="56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902" t="str">
        <f>IF(AND('341-CT'!$E$9=H2297,OR(LEFT(L2297,3)=$O$7,LEFT(M2297,3)=$O$7)),"x","")</f>
        <v/>
      </c>
      <c r="P2297" s="39" t="str">
        <f>IF(AND($B2297&gt;='111'!$N$11,$B2297&lt;='111'!$O$11,OR($L2297=$P$7,$M2297=$P$7)),"x","")</f>
        <v/>
      </c>
      <c r="Q2297" s="39" t="str">
        <f>IF(AND($L2297=$P$7,$B2297&lt;'111'!$N$11),"x","")</f>
        <v/>
      </c>
      <c r="R2297" s="39" t="str">
        <f>IF(AND($M2297=$P$7,$B2297&lt;'111'!$N$11),"x","")</f>
        <v/>
      </c>
      <c r="S2297" s="39" t="str">
        <f>IF(ISERROR(FIND('112'!$M$9,G2297,1)),"",IF((AND(FIND('112'!$M$9,G2297,1)&gt;=1,$B2297&gt;='112'!$N$8,$B2297&lt;='112'!$O$8,OR($L2297='112'!$I$6,$M2297='112'!$I$6))),"x",""))</f>
        <v/>
      </c>
      <c r="T2297" s="39" t="str">
        <f>IF(ISERROR(FIND('112'!$M$9,G2297,1)),"",IF((AND(LEFT(G2297,2)=LEFT('112'!$M$9,2),B2297&lt;'112'!$N$8,$L2297='112'!$I$6)),"x",""))</f>
        <v/>
      </c>
      <c r="U2297" s="39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39" t="str">
        <f>IF(OR(TH!L2297=TH!$W$7,M2297=TH!$W$7),"x","")</f>
        <v/>
      </c>
      <c r="X2297" s="39" t="str">
        <f>IF(AND(B2297&gt;='IN-NX'!$P$3,B2297&lt;='IN-NX'!$Q$3,'IN-NX'!$D$7=D2297,OR(LEFT(L2297,2)="15",AND(LEFT(M2297,2)&lt;&gt;"15",LEFT(M2297,2)&lt;&gt;"33"))),"x","")</f>
        <v/>
      </c>
      <c r="Y2297" s="39" t="str">
        <f>IF(AND(OR(LEFT(TH!L2297,2)="15",LEFT(TH!M2297,2)="15"),'152-CT'!$J$8=TH!F2297),"x","")</f>
        <v/>
      </c>
      <c r="Z2297" s="39" t="str">
        <f>IF(AND(OR(LEFT(TH!L2297,2)="15",LEFT(TH!M2297,2)="15"),TK!$E$7=TH!F2297),"x","")</f>
        <v/>
      </c>
      <c r="AA2297" s="39" t="str">
        <f>IF(AND(B2297&lt;=NKC!$N$8,B2297&gt;=NKC!$M$8),"x","")</f>
        <v/>
      </c>
      <c r="AB2297" s="821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 t="str">
        <f t="shared" si="108"/>
        <v/>
      </c>
      <c r="C2298" s="191"/>
      <c r="D2298" s="37"/>
      <c r="E2298" s="729"/>
      <c r="F2298" s="192"/>
      <c r="G2298" s="468"/>
      <c r="H2298" s="193"/>
      <c r="I2298" s="256"/>
      <c r="J2298" s="256"/>
      <c r="K2298" s="56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902" t="str">
        <f>IF(AND('341-CT'!$E$9=H2298,OR(LEFT(L2298,3)=$O$7,LEFT(M2298,3)=$O$7)),"x","")</f>
        <v/>
      </c>
      <c r="P2298" s="39" t="str">
        <f>IF(AND($B2298&gt;='111'!$N$11,$B2298&lt;='111'!$O$11,OR($L2298=$P$7,$M2298=$P$7)),"x","")</f>
        <v/>
      </c>
      <c r="Q2298" s="39" t="str">
        <f>IF(AND($L2298=$P$7,$B2298&lt;'111'!$N$11),"x","")</f>
        <v/>
      </c>
      <c r="R2298" s="39" t="str">
        <f>IF(AND($M2298=$P$7,$B2298&lt;'111'!$N$11),"x","")</f>
        <v/>
      </c>
      <c r="S2298" s="39" t="str">
        <f>IF(ISERROR(FIND('112'!$M$9,G2298,1)),"",IF((AND(FIND('112'!$M$9,G2298,1)&gt;=1,$B2298&gt;='112'!$N$8,$B2298&lt;='112'!$O$8,OR($L2298='112'!$I$6,$M2298='112'!$I$6))),"x",""))</f>
        <v/>
      </c>
      <c r="T2298" s="39" t="str">
        <f>IF(ISERROR(FIND('112'!$M$9,G2298,1)),"",IF((AND(LEFT(G2298,2)=LEFT('112'!$M$9,2),B2298&lt;'112'!$N$8,$L2298='112'!$I$6)),"x",""))</f>
        <v/>
      </c>
      <c r="U2298" s="39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39" t="str">
        <f>IF(OR(TH!L2298=TH!$W$7,M2298=TH!$W$7),"x","")</f>
        <v/>
      </c>
      <c r="X2298" s="39" t="str">
        <f>IF(AND(B2298&gt;='IN-NX'!$P$3,B2298&lt;='IN-NX'!$Q$3,'IN-NX'!$D$7=D2298,OR(LEFT(L2298,2)="15",AND(LEFT(M2298,2)&lt;&gt;"15",LEFT(M2298,2)&lt;&gt;"33"))),"x","")</f>
        <v/>
      </c>
      <c r="Y2298" s="39" t="str">
        <f>IF(AND(OR(LEFT(TH!L2298,2)="15",LEFT(TH!M2298,2)="15"),'152-CT'!$J$8=TH!F2298),"x","")</f>
        <v/>
      </c>
      <c r="Z2298" s="39" t="str">
        <f>IF(AND(OR(LEFT(TH!L2298,2)="15",LEFT(TH!M2298,2)="15"),TK!$E$7=TH!F2298),"x","")</f>
        <v/>
      </c>
      <c r="AA2298" s="39" t="str">
        <f>IF(AND(B2298&lt;=NKC!$N$8,B2298&gt;=NKC!$M$8),"x","")</f>
        <v/>
      </c>
      <c r="AB2298" s="821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 t="str">
        <f t="shared" si="108"/>
        <v/>
      </c>
      <c r="C2299" s="191"/>
      <c r="D2299" s="37"/>
      <c r="E2299" s="729"/>
      <c r="F2299" s="192"/>
      <c r="G2299" s="468"/>
      <c r="H2299" s="193"/>
      <c r="I2299" s="256"/>
      <c r="J2299" s="256"/>
      <c r="K2299" s="56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902" t="str">
        <f>IF(AND('341-CT'!$E$9=H2299,OR(LEFT(L2299,3)=$O$7,LEFT(M2299,3)=$O$7)),"x","")</f>
        <v/>
      </c>
      <c r="P2299" s="39" t="str">
        <f>IF(AND($B2299&gt;='111'!$N$11,$B2299&lt;='111'!$O$11,OR($L2299=$P$7,$M2299=$P$7)),"x","")</f>
        <v/>
      </c>
      <c r="Q2299" s="39" t="str">
        <f>IF(AND($L2299=$P$7,$B2299&lt;'111'!$N$11),"x","")</f>
        <v/>
      </c>
      <c r="R2299" s="39" t="str">
        <f>IF(AND($M2299=$P$7,$B2299&lt;'111'!$N$11),"x","")</f>
        <v/>
      </c>
      <c r="S2299" s="39" t="str">
        <f>IF(ISERROR(FIND('112'!$M$9,G2299,1)),"",IF((AND(FIND('112'!$M$9,G2299,1)&gt;=1,$B2299&gt;='112'!$N$8,$B2299&lt;='112'!$O$8,OR($L2299='112'!$I$6,$M2299='112'!$I$6))),"x",""))</f>
        <v/>
      </c>
      <c r="T2299" s="39" t="str">
        <f>IF(ISERROR(FIND('112'!$M$9,G2299,1)),"",IF((AND(LEFT(G2299,2)=LEFT('112'!$M$9,2),B2299&lt;'112'!$N$8,$L2299='112'!$I$6)),"x",""))</f>
        <v/>
      </c>
      <c r="U2299" s="39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39" t="str">
        <f>IF(OR(TH!L2299=TH!$W$7,M2299=TH!$W$7),"x","")</f>
        <v/>
      </c>
      <c r="X2299" s="39" t="str">
        <f>IF(AND(B2299&gt;='IN-NX'!$P$3,B2299&lt;='IN-NX'!$Q$3,'IN-NX'!$D$7=D2299,OR(LEFT(L2299,2)="15",AND(LEFT(M2299,2)&lt;&gt;"15",LEFT(M2299,2)&lt;&gt;"33"))),"x","")</f>
        <v/>
      </c>
      <c r="Y2299" s="39" t="str">
        <f>IF(AND(OR(LEFT(TH!L2299,2)="15",LEFT(TH!M2299,2)="15"),'152-CT'!$J$8=TH!F2299),"x","")</f>
        <v/>
      </c>
      <c r="Z2299" s="39" t="str">
        <f>IF(AND(OR(LEFT(TH!L2299,2)="15",LEFT(TH!M2299,2)="15"),TK!$E$7=TH!F2299),"x","")</f>
        <v/>
      </c>
      <c r="AA2299" s="39" t="str">
        <f>IF(AND(B2299&lt;=NKC!$N$8,B2299&gt;=NKC!$M$8),"x","")</f>
        <v/>
      </c>
      <c r="AB2299" s="821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 t="str">
        <f t="shared" si="108"/>
        <v/>
      </c>
      <c r="C2300" s="191"/>
      <c r="D2300" s="37"/>
      <c r="E2300" s="729"/>
      <c r="F2300" s="192"/>
      <c r="G2300" s="468"/>
      <c r="H2300" s="193"/>
      <c r="I2300" s="256"/>
      <c r="J2300" s="256"/>
      <c r="K2300" s="56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902" t="str">
        <f>IF(AND('341-CT'!$E$9=H2300,OR(LEFT(L2300,3)=$O$7,LEFT(M2300,3)=$O$7)),"x","")</f>
        <v/>
      </c>
      <c r="P2300" s="39" t="str">
        <f>IF(AND($B2300&gt;='111'!$N$11,$B2300&lt;='111'!$O$11,OR($L2300=$P$7,$M2300=$P$7)),"x","")</f>
        <v/>
      </c>
      <c r="Q2300" s="39" t="str">
        <f>IF(AND($L2300=$P$7,$B2300&lt;'111'!$N$11),"x","")</f>
        <v/>
      </c>
      <c r="R2300" s="39" t="str">
        <f>IF(AND($M2300=$P$7,$B2300&lt;'111'!$N$11),"x","")</f>
        <v/>
      </c>
      <c r="S2300" s="39" t="str">
        <f>IF(ISERROR(FIND('112'!$M$9,G2300,1)),"",IF((AND(FIND('112'!$M$9,G2300,1)&gt;=1,$B2300&gt;='112'!$N$8,$B2300&lt;='112'!$O$8,OR($L2300='112'!$I$6,$M2300='112'!$I$6))),"x",""))</f>
        <v/>
      </c>
      <c r="T2300" s="39" t="str">
        <f>IF(ISERROR(FIND('112'!$M$9,G2300,1)),"",IF((AND(LEFT(G2300,2)=LEFT('112'!$M$9,2),B2300&lt;'112'!$N$8,$L2300='112'!$I$6)),"x",""))</f>
        <v/>
      </c>
      <c r="U2300" s="39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39" t="str">
        <f>IF(OR(TH!L2300=TH!$W$7,M2300=TH!$W$7),"x","")</f>
        <v/>
      </c>
      <c r="X2300" s="39" t="str">
        <f>IF(AND(B2300&gt;='IN-NX'!$P$3,B2300&lt;='IN-NX'!$Q$3,'IN-NX'!$D$7=D2300,OR(LEFT(L2300,2)="15",AND(LEFT(M2300,2)&lt;&gt;"15",LEFT(M2300,2)&lt;&gt;"33"))),"x","")</f>
        <v/>
      </c>
      <c r="Y2300" s="39" t="str">
        <f>IF(AND(OR(LEFT(TH!L2300,2)="15",LEFT(TH!M2300,2)="15"),'152-CT'!$J$8=TH!F2300),"x","")</f>
        <v/>
      </c>
      <c r="Z2300" s="39" t="str">
        <f>IF(AND(OR(LEFT(TH!L2300,2)="15",LEFT(TH!M2300,2)="15"),TK!$E$7=TH!F2300),"x","")</f>
        <v/>
      </c>
      <c r="AA2300" s="39" t="str">
        <f>IF(AND(B2300&lt;=NKC!$N$8,B2300&gt;=NKC!$M$8),"x","")</f>
        <v/>
      </c>
      <c r="AB2300" s="821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 t="str">
        <f t="shared" si="108"/>
        <v/>
      </c>
      <c r="C2301" s="191"/>
      <c r="D2301" s="37"/>
      <c r="E2301" s="729"/>
      <c r="F2301" s="192"/>
      <c r="G2301" s="468"/>
      <c r="H2301" s="193"/>
      <c r="I2301" s="256"/>
      <c r="J2301" s="256"/>
      <c r="K2301" s="56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902" t="str">
        <f>IF(AND('341-CT'!$E$9=H2301,OR(LEFT(L2301,3)=$O$7,LEFT(M2301,3)=$O$7)),"x","")</f>
        <v/>
      </c>
      <c r="P2301" s="39" t="str">
        <f>IF(AND($B2301&gt;='111'!$N$11,$B2301&lt;='111'!$O$11,OR($L2301=$P$7,$M2301=$P$7)),"x","")</f>
        <v/>
      </c>
      <c r="Q2301" s="39" t="str">
        <f>IF(AND($L2301=$P$7,$B2301&lt;'111'!$N$11),"x","")</f>
        <v/>
      </c>
      <c r="R2301" s="39" t="str">
        <f>IF(AND($M2301=$P$7,$B2301&lt;'111'!$N$11),"x","")</f>
        <v/>
      </c>
      <c r="S2301" s="39" t="str">
        <f>IF(ISERROR(FIND('112'!$M$9,G2301,1)),"",IF((AND(FIND('112'!$M$9,G2301,1)&gt;=1,$B2301&gt;='112'!$N$8,$B2301&lt;='112'!$O$8,OR($L2301='112'!$I$6,$M2301='112'!$I$6))),"x",""))</f>
        <v/>
      </c>
      <c r="T2301" s="39" t="str">
        <f>IF(ISERROR(FIND('112'!$M$9,G2301,1)),"",IF((AND(LEFT(G2301,2)=LEFT('112'!$M$9,2),B2301&lt;'112'!$N$8,$L2301='112'!$I$6)),"x",""))</f>
        <v/>
      </c>
      <c r="U2301" s="39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39" t="str">
        <f>IF(OR(TH!L2301=TH!$W$7,M2301=TH!$W$7),"x","")</f>
        <v/>
      </c>
      <c r="X2301" s="39" t="str">
        <f>IF(AND(B2301&gt;='IN-NX'!$P$3,B2301&lt;='IN-NX'!$Q$3,'IN-NX'!$D$7=D2301,OR(LEFT(L2301,2)="15",AND(LEFT(M2301,2)&lt;&gt;"15",LEFT(M2301,2)&lt;&gt;"33"))),"x","")</f>
        <v/>
      </c>
      <c r="Y2301" s="39" t="str">
        <f>IF(AND(OR(LEFT(TH!L2301,2)="15",LEFT(TH!M2301,2)="15"),'152-CT'!$J$8=TH!F2301),"x","")</f>
        <v/>
      </c>
      <c r="Z2301" s="39" t="str">
        <f>IF(AND(OR(LEFT(TH!L2301,2)="15",LEFT(TH!M2301,2)="15"),TK!$E$7=TH!F2301),"x","")</f>
        <v/>
      </c>
      <c r="AA2301" s="39" t="str">
        <f>IF(AND(B2301&lt;=NKC!$N$8,B2301&gt;=NKC!$M$8),"x","")</f>
        <v/>
      </c>
      <c r="AB2301" s="821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 t="str">
        <f t="shared" si="108"/>
        <v/>
      </c>
      <c r="C2302" s="191"/>
      <c r="D2302" s="37"/>
      <c r="E2302" s="729"/>
      <c r="F2302" s="192"/>
      <c r="G2302" s="468"/>
      <c r="H2302" s="193"/>
      <c r="I2302" s="256"/>
      <c r="J2302" s="256"/>
      <c r="K2302" s="56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902" t="str">
        <f>IF(AND('341-CT'!$E$9=H2302,OR(LEFT(L2302,3)=$O$7,LEFT(M2302,3)=$O$7)),"x","")</f>
        <v/>
      </c>
      <c r="P2302" s="39" t="str">
        <f>IF(AND($B2302&gt;='111'!$N$11,$B2302&lt;='111'!$O$11,OR($L2302=$P$7,$M2302=$P$7)),"x","")</f>
        <v/>
      </c>
      <c r="Q2302" s="39" t="str">
        <f>IF(AND($L2302=$P$7,$B2302&lt;'111'!$N$11),"x","")</f>
        <v/>
      </c>
      <c r="R2302" s="39" t="str">
        <f>IF(AND($M2302=$P$7,$B2302&lt;'111'!$N$11),"x","")</f>
        <v/>
      </c>
      <c r="S2302" s="39" t="str">
        <f>IF(ISERROR(FIND('112'!$M$9,G2302,1)),"",IF((AND(FIND('112'!$M$9,G2302,1)&gt;=1,$B2302&gt;='112'!$N$8,$B2302&lt;='112'!$O$8,OR($L2302='112'!$I$6,$M2302='112'!$I$6))),"x",""))</f>
        <v/>
      </c>
      <c r="T2302" s="39" t="str">
        <f>IF(ISERROR(FIND('112'!$M$9,G2302,1)),"",IF((AND(LEFT(G2302,2)=LEFT('112'!$M$9,2),B2302&lt;'112'!$N$8,$L2302='112'!$I$6)),"x",""))</f>
        <v/>
      </c>
      <c r="U2302" s="39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39" t="str">
        <f>IF(OR(TH!L2302=TH!$W$7,M2302=TH!$W$7),"x","")</f>
        <v/>
      </c>
      <c r="X2302" s="39" t="str">
        <f>IF(AND(B2302&gt;='IN-NX'!$P$3,B2302&lt;='IN-NX'!$Q$3,'IN-NX'!$D$7=D2302,OR(LEFT(L2302,2)="15",AND(LEFT(M2302,2)&lt;&gt;"15",LEFT(M2302,2)&lt;&gt;"33"))),"x","")</f>
        <v/>
      </c>
      <c r="Y2302" s="39" t="str">
        <f>IF(AND(OR(LEFT(TH!L2302,2)="15",LEFT(TH!M2302,2)="15"),'152-CT'!$J$8=TH!F2302),"x","")</f>
        <v/>
      </c>
      <c r="Z2302" s="39" t="str">
        <f>IF(AND(OR(LEFT(TH!L2302,2)="15",LEFT(TH!M2302,2)="15"),TK!$E$7=TH!F2302),"x","")</f>
        <v/>
      </c>
      <c r="AA2302" s="39" t="str">
        <f>IF(AND(B2302&lt;=NKC!$N$8,B2302&gt;=NKC!$M$8),"x","")</f>
        <v/>
      </c>
      <c r="AB2302" s="821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 t="str">
        <f t="shared" si="108"/>
        <v/>
      </c>
      <c r="C2303" s="191"/>
      <c r="D2303" s="37"/>
      <c r="E2303" s="729"/>
      <c r="F2303" s="192"/>
      <c r="G2303" s="468"/>
      <c r="H2303" s="193"/>
      <c r="I2303" s="256"/>
      <c r="J2303" s="256"/>
      <c r="K2303" s="56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902" t="str">
        <f>IF(AND('341-CT'!$E$9=H2303,OR(LEFT(L2303,3)=$O$7,LEFT(M2303,3)=$O$7)),"x","")</f>
        <v/>
      </c>
      <c r="P2303" s="39" t="str">
        <f>IF(AND($B2303&gt;='111'!$N$11,$B2303&lt;='111'!$O$11,OR($L2303=$P$7,$M2303=$P$7)),"x","")</f>
        <v/>
      </c>
      <c r="Q2303" s="39" t="str">
        <f>IF(AND($L2303=$P$7,$B2303&lt;'111'!$N$11),"x","")</f>
        <v/>
      </c>
      <c r="R2303" s="39" t="str">
        <f>IF(AND($M2303=$P$7,$B2303&lt;'111'!$N$11),"x","")</f>
        <v/>
      </c>
      <c r="S2303" s="39" t="str">
        <f>IF(ISERROR(FIND('112'!$M$9,G2303,1)),"",IF((AND(FIND('112'!$M$9,G2303,1)&gt;=1,$B2303&gt;='112'!$N$8,$B2303&lt;='112'!$O$8,OR($L2303='112'!$I$6,$M2303='112'!$I$6))),"x",""))</f>
        <v/>
      </c>
      <c r="T2303" s="39" t="str">
        <f>IF(ISERROR(FIND('112'!$M$9,G2303,1)),"",IF((AND(LEFT(G2303,2)=LEFT('112'!$M$9,2),B2303&lt;'112'!$N$8,$L2303='112'!$I$6)),"x",""))</f>
        <v/>
      </c>
      <c r="U2303" s="39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39" t="str">
        <f>IF(OR(TH!L2303=TH!$W$7,M2303=TH!$W$7),"x","")</f>
        <v/>
      </c>
      <c r="X2303" s="39" t="str">
        <f>IF(AND(B2303&gt;='IN-NX'!$P$3,B2303&lt;='IN-NX'!$Q$3,'IN-NX'!$D$7=D2303,OR(LEFT(L2303,2)="15",AND(LEFT(M2303,2)&lt;&gt;"15",LEFT(M2303,2)&lt;&gt;"33"))),"x","")</f>
        <v/>
      </c>
      <c r="Y2303" s="39" t="str">
        <f>IF(AND(OR(LEFT(TH!L2303,2)="15",LEFT(TH!M2303,2)="15"),'152-CT'!$J$8=TH!F2303),"x","")</f>
        <v/>
      </c>
      <c r="Z2303" s="39" t="str">
        <f>IF(AND(OR(LEFT(TH!L2303,2)="15",LEFT(TH!M2303,2)="15"),TK!$E$7=TH!F2303),"x","")</f>
        <v/>
      </c>
      <c r="AA2303" s="39" t="str">
        <f>IF(AND(B2303&lt;=NKC!$N$8,B2303&gt;=NKC!$M$8),"x","")</f>
        <v/>
      </c>
      <c r="AB2303" s="821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 t="str">
        <f t="shared" si="108"/>
        <v/>
      </c>
      <c r="C2304" s="191"/>
      <c r="D2304" s="37"/>
      <c r="E2304" s="729"/>
      <c r="F2304" s="192"/>
      <c r="G2304" s="468"/>
      <c r="H2304" s="193"/>
      <c r="I2304" s="256"/>
      <c r="J2304" s="256"/>
      <c r="K2304" s="56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902" t="str">
        <f>IF(AND('341-CT'!$E$9=H2304,OR(LEFT(L2304,3)=$O$7,LEFT(M2304,3)=$O$7)),"x","")</f>
        <v/>
      </c>
      <c r="P2304" s="39" t="str">
        <f>IF(AND($B2304&gt;='111'!$N$11,$B2304&lt;='111'!$O$11,OR($L2304=$P$7,$M2304=$P$7)),"x","")</f>
        <v/>
      </c>
      <c r="Q2304" s="39" t="str">
        <f>IF(AND($L2304=$P$7,$B2304&lt;'111'!$N$11),"x","")</f>
        <v/>
      </c>
      <c r="R2304" s="39" t="str">
        <f>IF(AND($M2304=$P$7,$B2304&lt;'111'!$N$11),"x","")</f>
        <v/>
      </c>
      <c r="S2304" s="39" t="str">
        <f>IF(ISERROR(FIND('112'!$M$9,G2304,1)),"",IF((AND(FIND('112'!$M$9,G2304,1)&gt;=1,$B2304&gt;='112'!$N$8,$B2304&lt;='112'!$O$8,OR($L2304='112'!$I$6,$M2304='112'!$I$6))),"x",""))</f>
        <v/>
      </c>
      <c r="T2304" s="39" t="str">
        <f>IF(ISERROR(FIND('112'!$M$9,G2304,1)),"",IF((AND(LEFT(G2304,2)=LEFT('112'!$M$9,2),B2304&lt;'112'!$N$8,$L2304='112'!$I$6)),"x",""))</f>
        <v/>
      </c>
      <c r="U2304" s="39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39" t="str">
        <f>IF(OR(TH!L2304=TH!$W$7,M2304=TH!$W$7),"x","")</f>
        <v/>
      </c>
      <c r="X2304" s="39" t="str">
        <f>IF(AND(B2304&gt;='IN-NX'!$P$3,B2304&lt;='IN-NX'!$Q$3,'IN-NX'!$D$7=D2304,OR(LEFT(L2304,2)="15",AND(LEFT(M2304,2)&lt;&gt;"15",LEFT(M2304,2)&lt;&gt;"33"))),"x","")</f>
        <v/>
      </c>
      <c r="Y2304" s="39" t="str">
        <f>IF(AND(OR(LEFT(TH!L2304,2)="15",LEFT(TH!M2304,2)="15"),'152-CT'!$J$8=TH!F2304),"x","")</f>
        <v/>
      </c>
      <c r="Z2304" s="39" t="str">
        <f>IF(AND(OR(LEFT(TH!L2304,2)="15",LEFT(TH!M2304,2)="15"),TK!$E$7=TH!F2304),"x","")</f>
        <v/>
      </c>
      <c r="AA2304" s="39" t="str">
        <f>IF(AND(B2304&lt;=NKC!$N$8,B2304&gt;=NKC!$M$8),"x","")</f>
        <v/>
      </c>
      <c r="AB2304" s="821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 t="str">
        <f t="shared" si="108"/>
        <v/>
      </c>
      <c r="C2305" s="191"/>
      <c r="D2305" s="37"/>
      <c r="E2305" s="729"/>
      <c r="F2305" s="192"/>
      <c r="G2305" s="468"/>
      <c r="H2305" s="193"/>
      <c r="I2305" s="256"/>
      <c r="J2305" s="256"/>
      <c r="K2305" s="56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902" t="str">
        <f>IF(AND('341-CT'!$E$9=H2305,OR(LEFT(L2305,3)=$O$7,LEFT(M2305,3)=$O$7)),"x","")</f>
        <v/>
      </c>
      <c r="P2305" s="39" t="str">
        <f>IF(AND($B2305&gt;='111'!$N$11,$B2305&lt;='111'!$O$11,OR($L2305=$P$7,$M2305=$P$7)),"x","")</f>
        <v/>
      </c>
      <c r="Q2305" s="39" t="str">
        <f>IF(AND($L2305=$P$7,$B2305&lt;'111'!$N$11),"x","")</f>
        <v/>
      </c>
      <c r="R2305" s="39" t="str">
        <f>IF(AND($M2305=$P$7,$B2305&lt;'111'!$N$11),"x","")</f>
        <v/>
      </c>
      <c r="S2305" s="39" t="str">
        <f>IF(ISERROR(FIND('112'!$M$9,G2305,1)),"",IF((AND(FIND('112'!$M$9,G2305,1)&gt;=1,$B2305&gt;='112'!$N$8,$B2305&lt;='112'!$O$8,OR($L2305='112'!$I$6,$M2305='112'!$I$6))),"x",""))</f>
        <v/>
      </c>
      <c r="T2305" s="39" t="str">
        <f>IF(ISERROR(FIND('112'!$M$9,G2305,1)),"",IF((AND(LEFT(G2305,2)=LEFT('112'!$M$9,2),B2305&lt;'112'!$N$8,$L2305='112'!$I$6)),"x",""))</f>
        <v/>
      </c>
      <c r="U2305" s="39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39" t="str">
        <f>IF(OR(TH!L2305=TH!$W$7,M2305=TH!$W$7),"x","")</f>
        <v/>
      </c>
      <c r="X2305" s="39" t="str">
        <f>IF(AND(B2305&gt;='IN-NX'!$P$3,B2305&lt;='IN-NX'!$Q$3,'IN-NX'!$D$7=D2305,OR(LEFT(L2305,2)="15",AND(LEFT(M2305,2)&lt;&gt;"15",LEFT(M2305,2)&lt;&gt;"33"))),"x","")</f>
        <v/>
      </c>
      <c r="Y2305" s="39" t="str">
        <f>IF(AND(OR(LEFT(TH!L2305,2)="15",LEFT(TH!M2305,2)="15"),'152-CT'!$J$8=TH!F2305),"x","")</f>
        <v/>
      </c>
      <c r="Z2305" s="39" t="str">
        <f>IF(AND(OR(LEFT(TH!L2305,2)="15",LEFT(TH!M2305,2)="15"),TK!$E$7=TH!F2305),"x","")</f>
        <v/>
      </c>
      <c r="AA2305" s="39" t="str">
        <f>IF(AND(B2305&lt;=NKC!$N$8,B2305&gt;=NKC!$M$8),"x","")</f>
        <v/>
      </c>
      <c r="AB2305" s="821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 t="str">
        <f t="shared" si="108"/>
        <v/>
      </c>
      <c r="C2306" s="191"/>
      <c r="D2306" s="37"/>
      <c r="E2306" s="729"/>
      <c r="F2306" s="192"/>
      <c r="G2306" s="468"/>
      <c r="H2306" s="193"/>
      <c r="I2306" s="256"/>
      <c r="J2306" s="256"/>
      <c r="K2306" s="56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902" t="str">
        <f>IF(AND('341-CT'!$E$9=H2306,OR(LEFT(L2306,3)=$O$7,LEFT(M2306,3)=$O$7)),"x","")</f>
        <v/>
      </c>
      <c r="P2306" s="39" t="str">
        <f>IF(AND($B2306&gt;='111'!$N$11,$B2306&lt;='111'!$O$11,OR($L2306=$P$7,$M2306=$P$7)),"x","")</f>
        <v/>
      </c>
      <c r="Q2306" s="39" t="str">
        <f>IF(AND($L2306=$P$7,$B2306&lt;'111'!$N$11),"x","")</f>
        <v/>
      </c>
      <c r="R2306" s="39" t="str">
        <f>IF(AND($M2306=$P$7,$B2306&lt;'111'!$N$11),"x","")</f>
        <v/>
      </c>
      <c r="S2306" s="39" t="str">
        <f>IF(ISERROR(FIND('112'!$M$9,G2306,1)),"",IF((AND(FIND('112'!$M$9,G2306,1)&gt;=1,$B2306&gt;='112'!$N$8,$B2306&lt;='112'!$O$8,OR($L2306='112'!$I$6,$M2306='112'!$I$6))),"x",""))</f>
        <v/>
      </c>
      <c r="T2306" s="39" t="str">
        <f>IF(ISERROR(FIND('112'!$M$9,G2306,1)),"",IF((AND(LEFT(G2306,2)=LEFT('112'!$M$9,2),B2306&lt;'112'!$N$8,$L2306='112'!$I$6)),"x",""))</f>
        <v/>
      </c>
      <c r="U2306" s="39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39" t="str">
        <f>IF(OR(TH!L2306=TH!$W$7,M2306=TH!$W$7),"x","")</f>
        <v/>
      </c>
      <c r="X2306" s="39" t="str">
        <f>IF(AND(B2306&gt;='IN-NX'!$P$3,B2306&lt;='IN-NX'!$Q$3,'IN-NX'!$D$7=D2306,OR(LEFT(L2306,2)="15",AND(LEFT(M2306,2)&lt;&gt;"15",LEFT(M2306,2)&lt;&gt;"33"))),"x","")</f>
        <v/>
      </c>
      <c r="Y2306" s="39" t="str">
        <f>IF(AND(OR(LEFT(TH!L2306,2)="15",LEFT(TH!M2306,2)="15"),'152-CT'!$J$8=TH!F2306),"x","")</f>
        <v/>
      </c>
      <c r="Z2306" s="39" t="str">
        <f>IF(AND(OR(LEFT(TH!L2306,2)="15",LEFT(TH!M2306,2)="15"),TK!$E$7=TH!F2306),"x","")</f>
        <v/>
      </c>
      <c r="AA2306" s="39" t="str">
        <f>IF(AND(B2306&lt;=NKC!$N$8,B2306&gt;=NKC!$M$8),"x","")</f>
        <v/>
      </c>
      <c r="AB2306" s="821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 t="str">
        <f t="shared" si="108"/>
        <v/>
      </c>
      <c r="C2307" s="191"/>
      <c r="D2307" s="37"/>
      <c r="E2307" s="729"/>
      <c r="F2307" s="192"/>
      <c r="G2307" s="468"/>
      <c r="H2307" s="193"/>
      <c r="I2307" s="256"/>
      <c r="J2307" s="256"/>
      <c r="K2307" s="56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902" t="str">
        <f>IF(AND('341-CT'!$E$9=H2307,OR(LEFT(L2307,3)=$O$7,LEFT(M2307,3)=$O$7)),"x","")</f>
        <v/>
      </c>
      <c r="P2307" s="39" t="str">
        <f>IF(AND($B2307&gt;='111'!$N$11,$B2307&lt;='111'!$O$11,OR($L2307=$P$7,$M2307=$P$7)),"x","")</f>
        <v/>
      </c>
      <c r="Q2307" s="39" t="str">
        <f>IF(AND($L2307=$P$7,$B2307&lt;'111'!$N$11),"x","")</f>
        <v/>
      </c>
      <c r="R2307" s="39" t="str">
        <f>IF(AND($M2307=$P$7,$B2307&lt;'111'!$N$11),"x","")</f>
        <v/>
      </c>
      <c r="S2307" s="39" t="str">
        <f>IF(ISERROR(FIND('112'!$M$9,G2307,1)),"",IF((AND(FIND('112'!$M$9,G2307,1)&gt;=1,$B2307&gt;='112'!$N$8,$B2307&lt;='112'!$O$8,OR($L2307='112'!$I$6,$M2307='112'!$I$6))),"x",""))</f>
        <v/>
      </c>
      <c r="T2307" s="39" t="str">
        <f>IF(ISERROR(FIND('112'!$M$9,G2307,1)),"",IF((AND(LEFT(G2307,2)=LEFT('112'!$M$9,2),B2307&lt;'112'!$N$8,$L2307='112'!$I$6)),"x",""))</f>
        <v/>
      </c>
      <c r="U2307" s="39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39" t="str">
        <f>IF(OR(TH!L2307=TH!$W$7,M2307=TH!$W$7),"x","")</f>
        <v/>
      </c>
      <c r="X2307" s="39" t="str">
        <f>IF(AND(B2307&gt;='IN-NX'!$P$3,B2307&lt;='IN-NX'!$Q$3,'IN-NX'!$D$7=D2307,OR(LEFT(L2307,2)="15",AND(LEFT(M2307,2)&lt;&gt;"15",LEFT(M2307,2)&lt;&gt;"33"))),"x","")</f>
        <v/>
      </c>
      <c r="Y2307" s="39" t="str">
        <f>IF(AND(OR(LEFT(TH!L2307,2)="15",LEFT(TH!M2307,2)="15"),'152-CT'!$J$8=TH!F2307),"x","")</f>
        <v/>
      </c>
      <c r="Z2307" s="39" t="str">
        <f>IF(AND(OR(LEFT(TH!L2307,2)="15",LEFT(TH!M2307,2)="15"),TK!$E$7=TH!F2307),"x","")</f>
        <v/>
      </c>
      <c r="AA2307" s="39" t="str">
        <f>IF(AND(B2307&lt;=NKC!$N$8,B2307&gt;=NKC!$M$8),"x","")</f>
        <v/>
      </c>
      <c r="AB2307" s="821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 t="str">
        <f t="shared" si="108"/>
        <v/>
      </c>
      <c r="C2308" s="191"/>
      <c r="D2308" s="37"/>
      <c r="E2308" s="729"/>
      <c r="F2308" s="192"/>
      <c r="G2308" s="468"/>
      <c r="H2308" s="193"/>
      <c r="I2308" s="256"/>
      <c r="J2308" s="256"/>
      <c r="K2308" s="56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902" t="str">
        <f>IF(AND('341-CT'!$E$9=H2308,OR(LEFT(L2308,3)=$O$7,LEFT(M2308,3)=$O$7)),"x","")</f>
        <v/>
      </c>
      <c r="P2308" s="39" t="str">
        <f>IF(AND($B2308&gt;='111'!$N$11,$B2308&lt;='111'!$O$11,OR($L2308=$P$7,$M2308=$P$7)),"x","")</f>
        <v/>
      </c>
      <c r="Q2308" s="39" t="str">
        <f>IF(AND($L2308=$P$7,$B2308&lt;'111'!$N$11),"x","")</f>
        <v/>
      </c>
      <c r="R2308" s="39" t="str">
        <f>IF(AND($M2308=$P$7,$B2308&lt;'111'!$N$11),"x","")</f>
        <v/>
      </c>
      <c r="S2308" s="39" t="str">
        <f>IF(ISERROR(FIND('112'!$M$9,G2308,1)),"",IF((AND(FIND('112'!$M$9,G2308,1)&gt;=1,$B2308&gt;='112'!$N$8,$B2308&lt;='112'!$O$8,OR($L2308='112'!$I$6,$M2308='112'!$I$6))),"x",""))</f>
        <v/>
      </c>
      <c r="T2308" s="39" t="str">
        <f>IF(ISERROR(FIND('112'!$M$9,G2308,1)),"",IF((AND(LEFT(G2308,2)=LEFT('112'!$M$9,2),B2308&lt;'112'!$N$8,$L2308='112'!$I$6)),"x",""))</f>
        <v/>
      </c>
      <c r="U2308" s="39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39" t="str">
        <f>IF(OR(TH!L2308=TH!$W$7,M2308=TH!$W$7),"x","")</f>
        <v/>
      </c>
      <c r="X2308" s="39" t="str">
        <f>IF(AND(B2308&gt;='IN-NX'!$P$3,B2308&lt;='IN-NX'!$Q$3,'IN-NX'!$D$7=D2308,OR(LEFT(L2308,2)="15",AND(LEFT(M2308,2)&lt;&gt;"15",LEFT(M2308,2)&lt;&gt;"33"))),"x","")</f>
        <v/>
      </c>
      <c r="Y2308" s="39" t="str">
        <f>IF(AND(OR(LEFT(TH!L2308,2)="15",LEFT(TH!M2308,2)="15"),'152-CT'!$J$8=TH!F2308),"x","")</f>
        <v/>
      </c>
      <c r="Z2308" s="39" t="str">
        <f>IF(AND(OR(LEFT(TH!L2308,2)="15",LEFT(TH!M2308,2)="15"),TK!$E$7=TH!F2308),"x","")</f>
        <v/>
      </c>
      <c r="AA2308" s="39" t="str">
        <f>IF(AND(B2308&lt;=NKC!$N$8,B2308&gt;=NKC!$M$8),"x","")</f>
        <v/>
      </c>
      <c r="AB2308" s="821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 t="str">
        <f t="shared" si="108"/>
        <v/>
      </c>
      <c r="C2309" s="191"/>
      <c r="D2309" s="37"/>
      <c r="E2309" s="729"/>
      <c r="F2309" s="192"/>
      <c r="G2309" s="468"/>
      <c r="H2309" s="193"/>
      <c r="I2309" s="256"/>
      <c r="J2309" s="256"/>
      <c r="K2309" s="56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902" t="str">
        <f>IF(AND('341-CT'!$E$9=H2309,OR(LEFT(L2309,3)=$O$7,LEFT(M2309,3)=$O$7)),"x","")</f>
        <v/>
      </c>
      <c r="P2309" s="39" t="str">
        <f>IF(AND($B2309&gt;='111'!$N$11,$B2309&lt;='111'!$O$11,OR($L2309=$P$7,$M2309=$P$7)),"x","")</f>
        <v/>
      </c>
      <c r="Q2309" s="39" t="str">
        <f>IF(AND($L2309=$P$7,$B2309&lt;'111'!$N$11),"x","")</f>
        <v/>
      </c>
      <c r="R2309" s="39" t="str">
        <f>IF(AND($M2309=$P$7,$B2309&lt;'111'!$N$11),"x","")</f>
        <v/>
      </c>
      <c r="S2309" s="39" t="str">
        <f>IF(ISERROR(FIND('112'!$M$9,G2309,1)),"",IF((AND(FIND('112'!$M$9,G2309,1)&gt;=1,$B2309&gt;='112'!$N$8,$B2309&lt;='112'!$O$8,OR($L2309='112'!$I$6,$M2309='112'!$I$6))),"x",""))</f>
        <v/>
      </c>
      <c r="T2309" s="39" t="str">
        <f>IF(ISERROR(FIND('112'!$M$9,G2309,1)),"",IF((AND(LEFT(G2309,2)=LEFT('112'!$M$9,2),B2309&lt;'112'!$N$8,$L2309='112'!$I$6)),"x",""))</f>
        <v/>
      </c>
      <c r="U2309" s="39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39" t="str">
        <f>IF(OR(TH!L2309=TH!$W$7,M2309=TH!$W$7),"x","")</f>
        <v/>
      </c>
      <c r="X2309" s="39" t="str">
        <f>IF(AND(B2309&gt;='IN-NX'!$P$3,B2309&lt;='IN-NX'!$Q$3,'IN-NX'!$D$7=D2309,OR(LEFT(L2309,2)="15",AND(LEFT(M2309,2)&lt;&gt;"15",LEFT(M2309,2)&lt;&gt;"33"))),"x","")</f>
        <v/>
      </c>
      <c r="Y2309" s="39" t="str">
        <f>IF(AND(OR(LEFT(TH!L2309,2)="15",LEFT(TH!M2309,2)="15"),'152-CT'!$J$8=TH!F2309),"x","")</f>
        <v/>
      </c>
      <c r="Z2309" s="39" t="str">
        <f>IF(AND(OR(LEFT(TH!L2309,2)="15",LEFT(TH!M2309,2)="15"),TK!$E$7=TH!F2309),"x","")</f>
        <v/>
      </c>
      <c r="AA2309" s="39" t="str">
        <f>IF(AND(B2309&lt;=NKC!$N$8,B2309&gt;=NKC!$M$8),"x","")</f>
        <v/>
      </c>
      <c r="AB2309" s="821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 t="str">
        <f t="shared" si="108"/>
        <v/>
      </c>
      <c r="C2310" s="191"/>
      <c r="D2310" s="37"/>
      <c r="E2310" s="729"/>
      <c r="F2310" s="192"/>
      <c r="G2310" s="468"/>
      <c r="H2310" s="193"/>
      <c r="I2310" s="256"/>
      <c r="J2310" s="256"/>
      <c r="K2310" s="56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902" t="str">
        <f>IF(AND('341-CT'!$E$9=H2310,OR(LEFT(L2310,3)=$O$7,LEFT(M2310,3)=$O$7)),"x","")</f>
        <v/>
      </c>
      <c r="P2310" s="39" t="str">
        <f>IF(AND($B2310&gt;='111'!$N$11,$B2310&lt;='111'!$O$11,OR($L2310=$P$7,$M2310=$P$7)),"x","")</f>
        <v/>
      </c>
      <c r="Q2310" s="39" t="str">
        <f>IF(AND($L2310=$P$7,$B2310&lt;'111'!$N$11),"x","")</f>
        <v/>
      </c>
      <c r="R2310" s="39" t="str">
        <f>IF(AND($M2310=$P$7,$B2310&lt;'111'!$N$11),"x","")</f>
        <v/>
      </c>
      <c r="S2310" s="39" t="str">
        <f>IF(ISERROR(FIND('112'!$M$9,G2310,1)),"",IF((AND(FIND('112'!$M$9,G2310,1)&gt;=1,$B2310&gt;='112'!$N$8,$B2310&lt;='112'!$O$8,OR($L2310='112'!$I$6,$M2310='112'!$I$6))),"x",""))</f>
        <v/>
      </c>
      <c r="T2310" s="39" t="str">
        <f>IF(ISERROR(FIND('112'!$M$9,G2310,1)),"",IF((AND(LEFT(G2310,2)=LEFT('112'!$M$9,2),B2310&lt;'112'!$N$8,$L2310='112'!$I$6)),"x",""))</f>
        <v/>
      </c>
      <c r="U2310" s="39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39" t="str">
        <f>IF(OR(TH!L2310=TH!$W$7,M2310=TH!$W$7),"x","")</f>
        <v/>
      </c>
      <c r="X2310" s="39" t="str">
        <f>IF(AND(B2310&gt;='IN-NX'!$P$3,B2310&lt;='IN-NX'!$Q$3,'IN-NX'!$D$7=D2310,OR(LEFT(L2310,2)="15",AND(LEFT(M2310,2)&lt;&gt;"15",LEFT(M2310,2)&lt;&gt;"33"))),"x","")</f>
        <v/>
      </c>
      <c r="Y2310" s="39" t="str">
        <f>IF(AND(OR(LEFT(TH!L2310,2)="15",LEFT(TH!M2310,2)="15"),'152-CT'!$J$8=TH!F2310),"x","")</f>
        <v/>
      </c>
      <c r="Z2310" s="39" t="str">
        <f>IF(AND(OR(LEFT(TH!L2310,2)="15",LEFT(TH!M2310,2)="15"),TK!$E$7=TH!F2310),"x","")</f>
        <v/>
      </c>
      <c r="AA2310" s="39" t="str">
        <f>IF(AND(B2310&lt;=NKC!$N$8,B2310&gt;=NKC!$M$8),"x","")</f>
        <v/>
      </c>
      <c r="AB2310" s="821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 t="str">
        <f t="shared" si="108"/>
        <v/>
      </c>
      <c r="C2311" s="191"/>
      <c r="D2311" s="37"/>
      <c r="E2311" s="729"/>
      <c r="F2311" s="192"/>
      <c r="G2311" s="468"/>
      <c r="H2311" s="193"/>
      <c r="I2311" s="256"/>
      <c r="J2311" s="256"/>
      <c r="K2311" s="56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902" t="str">
        <f>IF(AND('341-CT'!$E$9=H2311,OR(LEFT(L2311,3)=$O$7,LEFT(M2311,3)=$O$7)),"x","")</f>
        <v/>
      </c>
      <c r="P2311" s="39" t="str">
        <f>IF(AND($B2311&gt;='111'!$N$11,$B2311&lt;='111'!$O$11,OR($L2311=$P$7,$M2311=$P$7)),"x","")</f>
        <v/>
      </c>
      <c r="Q2311" s="39" t="str">
        <f>IF(AND($L2311=$P$7,$B2311&lt;'111'!$N$11),"x","")</f>
        <v/>
      </c>
      <c r="R2311" s="39" t="str">
        <f>IF(AND($M2311=$P$7,$B2311&lt;'111'!$N$11),"x","")</f>
        <v/>
      </c>
      <c r="S2311" s="39" t="str">
        <f>IF(ISERROR(FIND('112'!$M$9,G2311,1)),"",IF((AND(FIND('112'!$M$9,G2311,1)&gt;=1,$B2311&gt;='112'!$N$8,$B2311&lt;='112'!$O$8,OR($L2311='112'!$I$6,$M2311='112'!$I$6))),"x",""))</f>
        <v/>
      </c>
      <c r="T2311" s="39" t="str">
        <f>IF(ISERROR(FIND('112'!$M$9,G2311,1)),"",IF((AND(LEFT(G2311,2)=LEFT('112'!$M$9,2),B2311&lt;'112'!$N$8,$L2311='112'!$I$6)),"x",""))</f>
        <v/>
      </c>
      <c r="U2311" s="39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39" t="str">
        <f>IF(OR(TH!L2311=TH!$W$7,M2311=TH!$W$7),"x","")</f>
        <v/>
      </c>
      <c r="X2311" s="39" t="str">
        <f>IF(AND(B2311&gt;='IN-NX'!$P$3,B2311&lt;='IN-NX'!$Q$3,'IN-NX'!$D$7=D2311,OR(LEFT(L2311,2)="15",AND(LEFT(M2311,2)&lt;&gt;"15",LEFT(M2311,2)&lt;&gt;"33"))),"x","")</f>
        <v/>
      </c>
      <c r="Y2311" s="39" t="str">
        <f>IF(AND(OR(LEFT(TH!L2311,2)="15",LEFT(TH!M2311,2)="15"),'152-CT'!$J$8=TH!F2311),"x","")</f>
        <v/>
      </c>
      <c r="Z2311" s="39" t="str">
        <f>IF(AND(OR(LEFT(TH!L2311,2)="15",LEFT(TH!M2311,2)="15"),TK!$E$7=TH!F2311),"x","")</f>
        <v/>
      </c>
      <c r="AA2311" s="39" t="str">
        <f>IF(AND(B2311&lt;=NKC!$N$8,B2311&gt;=NKC!$M$8),"x","")</f>
        <v/>
      </c>
      <c r="AB2311" s="821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108"/>
        <v/>
      </c>
      <c r="C2312" s="191"/>
      <c r="D2312" s="37"/>
      <c r="E2312" s="729"/>
      <c r="F2312" s="192"/>
      <c r="G2312" s="468"/>
      <c r="H2312" s="193"/>
      <c r="I2312" s="256"/>
      <c r="J2312" s="256"/>
      <c r="K2312" s="56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902" t="str">
        <f>IF(AND('341-CT'!$E$9=H2312,OR(LEFT(L2312,3)=$O$7,LEFT(M2312,3)=$O$7)),"x","")</f>
        <v/>
      </c>
      <c r="P2312" s="39" t="str">
        <f>IF(AND($B2312&gt;='111'!$N$11,$B2312&lt;='111'!$O$11,OR($L2312=$P$7,$M2312=$P$7)),"x","")</f>
        <v/>
      </c>
      <c r="Q2312" s="39" t="str">
        <f>IF(AND($L2312=$P$7,$B2312&lt;'111'!$N$11),"x","")</f>
        <v/>
      </c>
      <c r="R2312" s="39" t="str">
        <f>IF(AND($M2312=$P$7,$B2312&lt;'111'!$N$11),"x","")</f>
        <v/>
      </c>
      <c r="S2312" s="39" t="str">
        <f>IF(ISERROR(FIND('112'!$M$9,G2312,1)),"",IF((AND(FIND('112'!$M$9,G2312,1)&gt;=1,$B2312&gt;='112'!$N$8,$B2312&lt;='112'!$O$8,OR($L2312='112'!$I$6,$M2312='112'!$I$6))),"x",""))</f>
        <v/>
      </c>
      <c r="T2312" s="39" t="str">
        <f>IF(ISERROR(FIND('112'!$M$9,G2312,1)),"",IF((AND(LEFT(G2312,2)=LEFT('112'!$M$9,2),B2312&lt;'112'!$N$8,$L2312='112'!$I$6)),"x",""))</f>
        <v/>
      </c>
      <c r="U2312" s="39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39" t="str">
        <f>IF(OR(TH!L2312=TH!$W$7,M2312=TH!$W$7),"x","")</f>
        <v/>
      </c>
      <c r="X2312" s="39" t="str">
        <f>IF(AND(B2312&gt;='IN-NX'!$P$3,B2312&lt;='IN-NX'!$Q$3,'IN-NX'!$D$7=D2312,OR(LEFT(L2312,2)="15",AND(LEFT(M2312,2)&lt;&gt;"15",LEFT(M2312,2)&lt;&gt;"33"))),"x","")</f>
        <v/>
      </c>
      <c r="Y2312" s="39" t="str">
        <f>IF(AND(OR(LEFT(TH!L2312,2)="15",LEFT(TH!M2312,2)="15"),'152-CT'!$J$8=TH!F2312),"x","")</f>
        <v/>
      </c>
      <c r="Z2312" s="39" t="str">
        <f>IF(AND(OR(LEFT(TH!L2312,2)="15",LEFT(TH!M2312,2)="15"),TK!$E$7=TH!F2312),"x","")</f>
        <v/>
      </c>
      <c r="AA2312" s="39" t="str">
        <f>IF(AND(B2312&lt;=NKC!$N$8,B2312&gt;=NKC!$M$8),"x","")</f>
        <v/>
      </c>
      <c r="AB2312" s="821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108"/>
        <v/>
      </c>
      <c r="C2313" s="191"/>
      <c r="D2313" s="37"/>
      <c r="E2313" s="729"/>
      <c r="F2313" s="192"/>
      <c r="G2313" s="468"/>
      <c r="H2313" s="193"/>
      <c r="I2313" s="256"/>
      <c r="J2313" s="256"/>
      <c r="K2313" s="56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902" t="str">
        <f>IF(AND('341-CT'!$E$9=H2313,OR(LEFT(L2313,3)=$O$7,LEFT(M2313,3)=$O$7)),"x","")</f>
        <v/>
      </c>
      <c r="P2313" s="39" t="str">
        <f>IF(AND($B2313&gt;='111'!$N$11,$B2313&lt;='111'!$O$11,OR($L2313=$P$7,$M2313=$P$7)),"x","")</f>
        <v/>
      </c>
      <c r="Q2313" s="39" t="str">
        <f>IF(AND($L2313=$P$7,$B2313&lt;'111'!$N$11),"x","")</f>
        <v/>
      </c>
      <c r="R2313" s="39" t="str">
        <f>IF(AND($M2313=$P$7,$B2313&lt;'111'!$N$11),"x","")</f>
        <v/>
      </c>
      <c r="S2313" s="39" t="str">
        <f>IF(ISERROR(FIND('112'!$M$9,G2313,1)),"",IF((AND(FIND('112'!$M$9,G2313,1)&gt;=1,$B2313&gt;='112'!$N$8,$B2313&lt;='112'!$O$8,OR($L2313='112'!$I$6,$M2313='112'!$I$6))),"x",""))</f>
        <v/>
      </c>
      <c r="T2313" s="39" t="str">
        <f>IF(ISERROR(FIND('112'!$M$9,G2313,1)),"",IF((AND(LEFT(G2313,2)=LEFT('112'!$M$9,2),B2313&lt;'112'!$N$8,$L2313='112'!$I$6)),"x",""))</f>
        <v/>
      </c>
      <c r="U2313" s="39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39" t="str">
        <f>IF(OR(TH!L2313=TH!$W$7,M2313=TH!$W$7),"x","")</f>
        <v/>
      </c>
      <c r="X2313" s="39" t="str">
        <f>IF(AND(B2313&gt;='IN-NX'!$P$3,B2313&lt;='IN-NX'!$Q$3,'IN-NX'!$D$7=D2313,OR(LEFT(L2313,2)="15",AND(LEFT(M2313,2)&lt;&gt;"15",LEFT(M2313,2)&lt;&gt;"33"))),"x","")</f>
        <v/>
      </c>
      <c r="Y2313" s="39" t="str">
        <f>IF(AND(OR(LEFT(TH!L2313,2)="15",LEFT(TH!M2313,2)="15"),'152-CT'!$J$8=TH!F2313),"x","")</f>
        <v/>
      </c>
      <c r="Z2313" s="39" t="str">
        <f>IF(AND(OR(LEFT(TH!L2313,2)="15",LEFT(TH!M2313,2)="15"),TK!$E$7=TH!F2313),"x","")</f>
        <v/>
      </c>
      <c r="AA2313" s="39" t="str">
        <f>IF(AND(B2313&lt;=NKC!$N$8,B2313&gt;=NKC!$M$8),"x","")</f>
        <v/>
      </c>
      <c r="AB2313" s="821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108"/>
        <v/>
      </c>
      <c r="C2314" s="191"/>
      <c r="D2314" s="37"/>
      <c r="E2314" s="729"/>
      <c r="F2314" s="192"/>
      <c r="G2314" s="468"/>
      <c r="H2314" s="193"/>
      <c r="I2314" s="256"/>
      <c r="J2314" s="256"/>
      <c r="K2314" s="56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902" t="str">
        <f>IF(AND('341-CT'!$E$9=H2314,OR(LEFT(L2314,3)=$O$7,LEFT(M2314,3)=$O$7)),"x","")</f>
        <v/>
      </c>
      <c r="P2314" s="39" t="str">
        <f>IF(AND($B2314&gt;='111'!$N$11,$B2314&lt;='111'!$O$11,OR($L2314=$P$7,$M2314=$P$7)),"x","")</f>
        <v/>
      </c>
      <c r="Q2314" s="39" t="str">
        <f>IF(AND($L2314=$P$7,$B2314&lt;'111'!$N$11),"x","")</f>
        <v/>
      </c>
      <c r="R2314" s="39" t="str">
        <f>IF(AND($M2314=$P$7,$B2314&lt;'111'!$N$11),"x","")</f>
        <v/>
      </c>
      <c r="S2314" s="39" t="str">
        <f>IF(ISERROR(FIND('112'!$M$9,G2314,1)),"",IF((AND(FIND('112'!$M$9,G2314,1)&gt;=1,$B2314&gt;='112'!$N$8,$B2314&lt;='112'!$O$8,OR($L2314='112'!$I$6,$M2314='112'!$I$6))),"x",""))</f>
        <v/>
      </c>
      <c r="T2314" s="39" t="str">
        <f>IF(ISERROR(FIND('112'!$M$9,G2314,1)),"",IF((AND(LEFT(G2314,2)=LEFT('112'!$M$9,2),B2314&lt;'112'!$N$8,$L2314='112'!$I$6)),"x",""))</f>
        <v/>
      </c>
      <c r="U2314" s="39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39" t="str">
        <f>IF(OR(TH!L2314=TH!$W$7,M2314=TH!$W$7),"x","")</f>
        <v/>
      </c>
      <c r="X2314" s="39" t="str">
        <f>IF(AND(B2314&gt;='IN-NX'!$P$3,B2314&lt;='IN-NX'!$Q$3,'IN-NX'!$D$7=D2314,OR(LEFT(L2314,2)="15",AND(LEFT(M2314,2)&lt;&gt;"15",LEFT(M2314,2)&lt;&gt;"33"))),"x","")</f>
        <v/>
      </c>
      <c r="Y2314" s="39" t="str">
        <f>IF(AND(OR(LEFT(TH!L2314,2)="15",LEFT(TH!M2314,2)="15"),'152-CT'!$J$8=TH!F2314),"x","")</f>
        <v/>
      </c>
      <c r="Z2314" s="39" t="str">
        <f>IF(AND(OR(LEFT(TH!L2314,2)="15",LEFT(TH!M2314,2)="15"),TK!$E$7=TH!F2314),"x","")</f>
        <v/>
      </c>
      <c r="AA2314" s="39" t="str">
        <f>IF(AND(B2314&lt;=NKC!$N$8,B2314&gt;=NKC!$M$8),"x","")</f>
        <v/>
      </c>
      <c r="AB2314" s="821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108"/>
        <v/>
      </c>
      <c r="C2315" s="191"/>
      <c r="D2315" s="37"/>
      <c r="E2315" s="729"/>
      <c r="F2315" s="192"/>
      <c r="G2315" s="468"/>
      <c r="H2315" s="193"/>
      <c r="I2315" s="256"/>
      <c r="J2315" s="256"/>
      <c r="K2315" s="56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902" t="str">
        <f>IF(AND('341-CT'!$E$9=H2315,OR(LEFT(L2315,3)=$O$7,LEFT(M2315,3)=$O$7)),"x","")</f>
        <v/>
      </c>
      <c r="P2315" s="39" t="str">
        <f>IF(AND($B2315&gt;='111'!$N$11,$B2315&lt;='111'!$O$11,OR($L2315=$P$7,$M2315=$P$7)),"x","")</f>
        <v/>
      </c>
      <c r="Q2315" s="39" t="str">
        <f>IF(AND($L2315=$P$7,$B2315&lt;'111'!$N$11),"x","")</f>
        <v/>
      </c>
      <c r="R2315" s="39" t="str">
        <f>IF(AND($M2315=$P$7,$B2315&lt;'111'!$N$11),"x","")</f>
        <v/>
      </c>
      <c r="S2315" s="39" t="str">
        <f>IF(ISERROR(FIND('112'!$M$9,G2315,1)),"",IF((AND(FIND('112'!$M$9,G2315,1)&gt;=1,$B2315&gt;='112'!$N$8,$B2315&lt;='112'!$O$8,OR($L2315='112'!$I$6,$M2315='112'!$I$6))),"x",""))</f>
        <v/>
      </c>
      <c r="T2315" s="39" t="str">
        <f>IF(ISERROR(FIND('112'!$M$9,G2315,1)),"",IF((AND(LEFT(G2315,2)=LEFT('112'!$M$9,2),B2315&lt;'112'!$N$8,$L2315='112'!$I$6)),"x",""))</f>
        <v/>
      </c>
      <c r="U2315" s="39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39" t="str">
        <f>IF(OR(TH!L2315=TH!$W$7,M2315=TH!$W$7),"x","")</f>
        <v/>
      </c>
      <c r="X2315" s="39" t="str">
        <f>IF(AND(B2315&gt;='IN-NX'!$P$3,B2315&lt;='IN-NX'!$Q$3,'IN-NX'!$D$7=D2315,OR(LEFT(L2315,2)="15",AND(LEFT(M2315,2)&lt;&gt;"15",LEFT(M2315,2)&lt;&gt;"33"))),"x","")</f>
        <v/>
      </c>
      <c r="Y2315" s="39" t="str">
        <f>IF(AND(OR(LEFT(TH!L2315,2)="15",LEFT(TH!M2315,2)="15"),'152-CT'!$J$8=TH!F2315),"x","")</f>
        <v/>
      </c>
      <c r="Z2315" s="39" t="str">
        <f>IF(AND(OR(LEFT(TH!L2315,2)="15",LEFT(TH!M2315,2)="15"),TK!$E$7=TH!F2315),"x","")</f>
        <v/>
      </c>
      <c r="AA2315" s="39" t="str">
        <f>IF(AND(B2315&lt;=NKC!$N$8,B2315&gt;=NKC!$M$8),"x","")</f>
        <v/>
      </c>
      <c r="AB2315" s="821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108"/>
        <v/>
      </c>
      <c r="C2316" s="191"/>
      <c r="D2316" s="37"/>
      <c r="E2316" s="729"/>
      <c r="F2316" s="192"/>
      <c r="G2316" s="468"/>
      <c r="H2316" s="193"/>
      <c r="I2316" s="256"/>
      <c r="J2316" s="256"/>
      <c r="K2316" s="56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902" t="str">
        <f>IF(AND('341-CT'!$E$9=H2316,OR(LEFT(L2316,3)=$O$7,LEFT(M2316,3)=$O$7)),"x","")</f>
        <v/>
      </c>
      <c r="P2316" s="39" t="str">
        <f>IF(AND($B2316&gt;='111'!$N$11,$B2316&lt;='111'!$O$11,OR($L2316=$P$7,$M2316=$P$7)),"x","")</f>
        <v/>
      </c>
      <c r="Q2316" s="39" t="str">
        <f>IF(AND($L2316=$P$7,$B2316&lt;'111'!$N$11),"x","")</f>
        <v/>
      </c>
      <c r="R2316" s="39" t="str">
        <f>IF(AND($M2316=$P$7,$B2316&lt;'111'!$N$11),"x","")</f>
        <v/>
      </c>
      <c r="S2316" s="39" t="str">
        <f>IF(ISERROR(FIND('112'!$M$9,G2316,1)),"",IF((AND(FIND('112'!$M$9,G2316,1)&gt;=1,$B2316&gt;='112'!$N$8,$B2316&lt;='112'!$O$8,OR($L2316='112'!$I$6,$M2316='112'!$I$6))),"x",""))</f>
        <v/>
      </c>
      <c r="T2316" s="39" t="str">
        <f>IF(ISERROR(FIND('112'!$M$9,G2316,1)),"",IF((AND(LEFT(G2316,2)=LEFT('112'!$M$9,2),B2316&lt;'112'!$N$8,$L2316='112'!$I$6)),"x",""))</f>
        <v/>
      </c>
      <c r="U2316" s="39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39" t="str">
        <f>IF(OR(TH!L2316=TH!$W$7,M2316=TH!$W$7),"x","")</f>
        <v/>
      </c>
      <c r="X2316" s="39" t="str">
        <f>IF(AND(B2316&gt;='IN-NX'!$P$3,B2316&lt;='IN-NX'!$Q$3,'IN-NX'!$D$7=D2316,OR(LEFT(L2316,2)="15",AND(LEFT(M2316,2)&lt;&gt;"15",LEFT(M2316,2)&lt;&gt;"33"))),"x","")</f>
        <v/>
      </c>
      <c r="Y2316" s="39" t="str">
        <f>IF(AND(OR(LEFT(TH!L2316,2)="15",LEFT(TH!M2316,2)="15"),'152-CT'!$J$8=TH!F2316),"x","")</f>
        <v/>
      </c>
      <c r="Z2316" s="39" t="str">
        <f>IF(AND(OR(LEFT(TH!L2316,2)="15",LEFT(TH!M2316,2)="15"),TK!$E$7=TH!F2316),"x","")</f>
        <v/>
      </c>
      <c r="AA2316" s="39" t="str">
        <f>IF(AND(B2316&lt;=NKC!$N$8,B2316&gt;=NKC!$M$8),"x","")</f>
        <v/>
      </c>
      <c r="AB2316" s="821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108"/>
        <v/>
      </c>
      <c r="C2317" s="191"/>
      <c r="D2317" s="191"/>
      <c r="E2317" s="729"/>
      <c r="F2317" s="40"/>
      <c r="G2317" s="40"/>
      <c r="H2317" s="7"/>
      <c r="I2317" s="256"/>
      <c r="J2317" s="256"/>
      <c r="K2317" s="56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902" t="str">
        <f>IF(AND('341-CT'!$E$9=H2317,OR(LEFT(L2317,3)=$O$7,LEFT(M2317,3)=$O$7)),"x","")</f>
        <v/>
      </c>
      <c r="P2317" s="39" t="str">
        <f>IF(AND($B2317&gt;='111'!$N$11,$B2317&lt;='111'!$O$11,OR($L2317=$P$7,$M2317=$P$7)),"x","")</f>
        <v/>
      </c>
      <c r="Q2317" s="39" t="str">
        <f>IF(AND($L2317=$P$7,$B2317&lt;'111'!$N$11),"x","")</f>
        <v/>
      </c>
      <c r="R2317" s="39" t="str">
        <f>IF(AND($M2317=$P$7,$B2317&lt;'111'!$N$11),"x","")</f>
        <v/>
      </c>
      <c r="S2317" s="39" t="str">
        <f>IF(ISERROR(FIND('112'!$M$9,G2317,1)),"",IF((AND(FIND('112'!$M$9,G2317,1)&gt;=1,$B2317&gt;='112'!$N$8,$B2317&lt;='112'!$O$8,OR($L2317='112'!$I$6,$M2317='112'!$I$6))),"x",""))</f>
        <v/>
      </c>
      <c r="T2317" s="39" t="str">
        <f>IF(ISERROR(FIND('112'!$M$9,G2317,1)),"",IF((AND(LEFT(G2317,2)=LEFT('112'!$M$9,2),B2317&lt;'112'!$N$8,$L2317='112'!$I$6)),"x",""))</f>
        <v/>
      </c>
      <c r="U2317" s="39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39" t="str">
        <f>IF(OR(TH!L2317=TH!$W$7,M2317=TH!$W$7),"x","")</f>
        <v/>
      </c>
      <c r="X2317" s="39" t="str">
        <f>IF(AND(B2317&gt;='IN-NX'!$P$3,B2317&lt;='IN-NX'!$Q$3,'IN-NX'!$D$7=D2317,OR(LEFT(L2317,2)="15",AND(LEFT(M2317,2)&lt;&gt;"15",LEFT(M2317,2)&lt;&gt;"33"))),"x","")</f>
        <v/>
      </c>
      <c r="Y2317" s="39" t="str">
        <f>IF(AND(OR(LEFT(TH!L2317,2)="15",LEFT(TH!M2317,2)="15"),'152-CT'!$J$8=TH!F2317),"x","")</f>
        <v/>
      </c>
      <c r="Z2317" s="39" t="str">
        <f>IF(AND(OR(LEFT(TH!L2317,2)="15",LEFT(TH!M2317,2)="15"),TK!$E$7=TH!F2317),"x","")</f>
        <v/>
      </c>
      <c r="AA2317" s="39" t="str">
        <f>IF(AND(B2317&lt;=NKC!$N$8,B2317&gt;=NKC!$M$8),"x","")</f>
        <v/>
      </c>
      <c r="AB2317" s="821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108"/>
        <v/>
      </c>
      <c r="C2318" s="191"/>
      <c r="D2318" s="191"/>
      <c r="E2318" s="729"/>
      <c r="F2318" s="40"/>
      <c r="G2318" s="40"/>
      <c r="H2318" s="7"/>
      <c r="I2318" s="256"/>
      <c r="J2318" s="256"/>
      <c r="K2318" s="56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902" t="str">
        <f>IF(AND('341-CT'!$E$9=H2318,OR(LEFT(L2318,3)=$O$7,LEFT(M2318,3)=$O$7)),"x","")</f>
        <v/>
      </c>
      <c r="P2318" s="39" t="str">
        <f>IF(AND($B2318&gt;='111'!$N$11,$B2318&lt;='111'!$O$11,OR($L2318=$P$7,$M2318=$P$7)),"x","")</f>
        <v/>
      </c>
      <c r="Q2318" s="39" t="str">
        <f>IF(AND($L2318=$P$7,$B2318&lt;'111'!$N$11),"x","")</f>
        <v/>
      </c>
      <c r="R2318" s="39" t="str">
        <f>IF(AND($M2318=$P$7,$B2318&lt;'111'!$N$11),"x","")</f>
        <v/>
      </c>
      <c r="S2318" s="39" t="str">
        <f>IF(ISERROR(FIND('112'!$M$9,G2318,1)),"",IF((AND(FIND('112'!$M$9,G2318,1)&gt;=1,$B2318&gt;='112'!$N$8,$B2318&lt;='112'!$O$8,OR($L2318='112'!$I$6,$M2318='112'!$I$6))),"x",""))</f>
        <v/>
      </c>
      <c r="T2318" s="39" t="str">
        <f>IF(ISERROR(FIND('112'!$M$9,G2318,1)),"",IF((AND(LEFT(G2318,2)=LEFT('112'!$M$9,2),B2318&lt;'112'!$N$8,$L2318='112'!$I$6)),"x",""))</f>
        <v/>
      </c>
      <c r="U2318" s="39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39" t="str">
        <f>IF(OR(TH!L2318=TH!$W$7,M2318=TH!$W$7),"x","")</f>
        <v/>
      </c>
      <c r="X2318" s="39" t="str">
        <f>IF(AND(B2318&gt;='IN-NX'!$P$3,B2318&lt;='IN-NX'!$Q$3,'IN-NX'!$D$7=D2318,OR(LEFT(L2318,2)="15",AND(LEFT(M2318,2)&lt;&gt;"15",LEFT(M2318,2)&lt;&gt;"33"))),"x","")</f>
        <v/>
      </c>
      <c r="Y2318" s="39" t="str">
        <f>IF(AND(OR(LEFT(TH!L2318,2)="15",LEFT(TH!M2318,2)="15"),'152-CT'!$J$8=TH!F2318),"x","")</f>
        <v/>
      </c>
      <c r="Z2318" s="39" t="str">
        <f>IF(AND(OR(LEFT(TH!L2318,2)="15",LEFT(TH!M2318,2)="15"),TK!$E$7=TH!F2318),"x","")</f>
        <v/>
      </c>
      <c r="AA2318" s="39" t="str">
        <f>IF(AND(B2318&lt;=NKC!$N$8,B2318&gt;=NKC!$M$8),"x","")</f>
        <v/>
      </c>
      <c r="AB2318" s="821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108"/>
        <v/>
      </c>
      <c r="C2319" s="191"/>
      <c r="D2319" s="191"/>
      <c r="E2319" s="729"/>
      <c r="F2319" s="189"/>
      <c r="G2319" s="40"/>
      <c r="H2319" s="7"/>
      <c r="I2319" s="256"/>
      <c r="J2319" s="256"/>
      <c r="K2319" s="56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902" t="str">
        <f>IF(AND('341-CT'!$E$9=H2319,OR(LEFT(L2319,3)=$O$7,LEFT(M2319,3)=$O$7)),"x","")</f>
        <v/>
      </c>
      <c r="P2319" s="39" t="str">
        <f>IF(AND($B2319&gt;='111'!$N$11,$B2319&lt;='111'!$O$11,OR($L2319=$P$7,$M2319=$P$7)),"x","")</f>
        <v/>
      </c>
      <c r="Q2319" s="39" t="str">
        <f>IF(AND($L2319=$P$7,$B2319&lt;'111'!$N$11),"x","")</f>
        <v/>
      </c>
      <c r="R2319" s="39" t="str">
        <f>IF(AND($M2319=$P$7,$B2319&lt;'111'!$N$11),"x","")</f>
        <v/>
      </c>
      <c r="S2319" s="39" t="str">
        <f>IF(ISERROR(FIND('112'!$M$9,G2319,1)),"",IF((AND(FIND('112'!$M$9,G2319,1)&gt;=1,$B2319&gt;='112'!$N$8,$B2319&lt;='112'!$O$8,OR($L2319='112'!$I$6,$M2319='112'!$I$6))),"x",""))</f>
        <v/>
      </c>
      <c r="T2319" s="39" t="str">
        <f>IF(ISERROR(FIND('112'!$M$9,G2319,1)),"",IF((AND(LEFT(G2319,2)=LEFT('112'!$M$9,2),B2319&lt;'112'!$N$8,$L2319='112'!$I$6)),"x",""))</f>
        <v/>
      </c>
      <c r="U2319" s="39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39" t="str">
        <f>IF(OR(TH!L2319=TH!$W$7,M2319=TH!$W$7),"x","")</f>
        <v/>
      </c>
      <c r="X2319" s="39" t="str">
        <f>IF(AND(B2319&gt;='IN-NX'!$P$3,B2319&lt;='IN-NX'!$Q$3,'IN-NX'!$D$7=D2319,OR(LEFT(L2319,2)="15",AND(LEFT(M2319,2)&lt;&gt;"15",LEFT(M2319,2)&lt;&gt;"33"))),"x","")</f>
        <v/>
      </c>
      <c r="Y2319" s="39" t="str">
        <f>IF(AND(OR(LEFT(TH!L2319,2)="15",LEFT(TH!M2319,2)="15"),'152-CT'!$J$8=TH!F2319),"x","")</f>
        <v/>
      </c>
      <c r="Z2319" s="39" t="str">
        <f>IF(AND(OR(LEFT(TH!L2319,2)="15",LEFT(TH!M2319,2)="15"),TK!$E$7=TH!F2319),"x","")</f>
        <v/>
      </c>
      <c r="AA2319" s="39" t="str">
        <f>IF(AND(B2319&lt;=NKC!$N$8,B2319&gt;=NKC!$M$8),"x","")</f>
        <v/>
      </c>
      <c r="AB2319" s="821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108"/>
        <v/>
      </c>
      <c r="C2320" s="191"/>
      <c r="D2320" s="191"/>
      <c r="E2320" s="729"/>
      <c r="F2320" s="40"/>
      <c r="G2320" s="40"/>
      <c r="H2320" s="7"/>
      <c r="I2320" s="256"/>
      <c r="J2320" s="256"/>
      <c r="K2320" s="56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902" t="str">
        <f>IF(AND('341-CT'!$E$9=H2320,OR(LEFT(L2320,3)=$O$7,LEFT(M2320,3)=$O$7)),"x","")</f>
        <v/>
      </c>
      <c r="P2320" s="39" t="str">
        <f>IF(AND($B2320&gt;='111'!$N$11,$B2320&lt;='111'!$O$11,OR($L2320=$P$7,$M2320=$P$7)),"x","")</f>
        <v/>
      </c>
      <c r="Q2320" s="39" t="str">
        <f>IF(AND($L2320=$P$7,$B2320&lt;'111'!$N$11),"x","")</f>
        <v/>
      </c>
      <c r="R2320" s="39" t="str">
        <f>IF(AND($M2320=$P$7,$B2320&lt;'111'!$N$11),"x","")</f>
        <v/>
      </c>
      <c r="S2320" s="39" t="str">
        <f>IF(ISERROR(FIND('112'!$M$9,G2320,1)),"",IF((AND(FIND('112'!$M$9,G2320,1)&gt;=1,$B2320&gt;='112'!$N$8,$B2320&lt;='112'!$O$8,OR($L2320='112'!$I$6,$M2320='112'!$I$6))),"x",""))</f>
        <v/>
      </c>
      <c r="T2320" s="39" t="str">
        <f>IF(ISERROR(FIND('112'!$M$9,G2320,1)),"",IF((AND(LEFT(G2320,2)=LEFT('112'!$M$9,2),B2320&lt;'112'!$N$8,$L2320='112'!$I$6)),"x",""))</f>
        <v/>
      </c>
      <c r="U2320" s="39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39" t="str">
        <f>IF(OR(TH!L2320=TH!$W$7,M2320=TH!$W$7),"x","")</f>
        <v/>
      </c>
      <c r="X2320" s="39" t="str">
        <f>IF(AND(B2320&gt;='IN-NX'!$P$3,B2320&lt;='IN-NX'!$Q$3,'IN-NX'!$D$7=D2320,OR(LEFT(L2320,2)="15",AND(LEFT(M2320,2)&lt;&gt;"15",LEFT(M2320,2)&lt;&gt;"33"))),"x","")</f>
        <v/>
      </c>
      <c r="Y2320" s="39" t="str">
        <f>IF(AND(OR(LEFT(TH!L2320,2)="15",LEFT(TH!M2320,2)="15"),'152-CT'!$J$8=TH!F2320),"x","")</f>
        <v/>
      </c>
      <c r="Z2320" s="39" t="str">
        <f>IF(AND(OR(LEFT(TH!L2320,2)="15",LEFT(TH!M2320,2)="15"),TK!$E$7=TH!F2320),"x","")</f>
        <v/>
      </c>
      <c r="AA2320" s="39" t="str">
        <f>IF(AND(B2320&lt;=NKC!$N$8,B2320&gt;=NKC!$M$8),"x","")</f>
        <v/>
      </c>
      <c r="AB2320" s="821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108"/>
        <v/>
      </c>
      <c r="C2321" s="191"/>
      <c r="D2321" s="191"/>
      <c r="E2321" s="729"/>
      <c r="F2321" s="40"/>
      <c r="G2321" s="40"/>
      <c r="H2321" s="7"/>
      <c r="I2321" s="256"/>
      <c r="J2321" s="256"/>
      <c r="K2321" s="56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902" t="str">
        <f>IF(AND('341-CT'!$E$9=H2321,OR(LEFT(L2321,3)=$O$7,LEFT(M2321,3)=$O$7)),"x","")</f>
        <v/>
      </c>
      <c r="P2321" s="39" t="str">
        <f>IF(AND($B2321&gt;='111'!$N$11,$B2321&lt;='111'!$O$11,OR($L2321=$P$7,$M2321=$P$7)),"x","")</f>
        <v/>
      </c>
      <c r="Q2321" s="39" t="str">
        <f>IF(AND($L2321=$P$7,$B2321&lt;'111'!$N$11),"x","")</f>
        <v/>
      </c>
      <c r="R2321" s="39" t="str">
        <f>IF(AND($M2321=$P$7,$B2321&lt;'111'!$N$11),"x","")</f>
        <v/>
      </c>
      <c r="S2321" s="39" t="str">
        <f>IF(ISERROR(FIND('112'!$M$9,G2321,1)),"",IF((AND(FIND('112'!$M$9,G2321,1)&gt;=1,$B2321&gt;='112'!$N$8,$B2321&lt;='112'!$O$8,OR($L2321='112'!$I$6,$M2321='112'!$I$6))),"x",""))</f>
        <v/>
      </c>
      <c r="T2321" s="39" t="str">
        <f>IF(ISERROR(FIND('112'!$M$9,G2321,1)),"",IF((AND(LEFT(G2321,2)=LEFT('112'!$M$9,2),B2321&lt;'112'!$N$8,$L2321='112'!$I$6)),"x",""))</f>
        <v/>
      </c>
      <c r="U2321" s="39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39" t="str">
        <f>IF(OR(TH!L2321=TH!$W$7,M2321=TH!$W$7),"x","")</f>
        <v/>
      </c>
      <c r="X2321" s="39" t="str">
        <f>IF(AND(B2321&gt;='IN-NX'!$P$3,B2321&lt;='IN-NX'!$Q$3,'IN-NX'!$D$7=D2321,OR(LEFT(L2321,2)="15",AND(LEFT(M2321,2)&lt;&gt;"15",LEFT(M2321,2)&lt;&gt;"33"))),"x","")</f>
        <v/>
      </c>
      <c r="Y2321" s="39" t="str">
        <f>IF(AND(OR(LEFT(TH!L2321,2)="15",LEFT(TH!M2321,2)="15"),'152-CT'!$J$8=TH!F2321),"x","")</f>
        <v/>
      </c>
      <c r="Z2321" s="39" t="str">
        <f>IF(AND(OR(LEFT(TH!L2321,2)="15",LEFT(TH!M2321,2)="15"),TK!$E$7=TH!F2321),"x","")</f>
        <v/>
      </c>
      <c r="AA2321" s="39" t="str">
        <f>IF(AND(B2321&lt;=NKC!$N$8,B2321&gt;=NKC!$M$8),"x","")</f>
        <v/>
      </c>
      <c r="AB2321" s="821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108"/>
        <v/>
      </c>
      <c r="C2322" s="191"/>
      <c r="D2322" s="191"/>
      <c r="E2322" s="729"/>
      <c r="F2322" s="40"/>
      <c r="G2322" s="40"/>
      <c r="H2322" s="7"/>
      <c r="I2322" s="256"/>
      <c r="J2322" s="256"/>
      <c r="K2322" s="568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902" t="str">
        <f>IF(AND('341-CT'!$E$9=H2322,OR(LEFT(L2322,3)=$O$7,LEFT(M2322,3)=$O$7)),"x","")</f>
        <v/>
      </c>
      <c r="P2322" s="39" t="str">
        <f>IF(AND($B2322&gt;='111'!$N$11,$B2322&lt;='111'!$O$11,OR($L2322=$P$7,$M2322=$P$7)),"x","")</f>
        <v/>
      </c>
      <c r="Q2322" s="39" t="str">
        <f>IF(AND($L2322=$P$7,$B2322&lt;'111'!$N$11),"x","")</f>
        <v/>
      </c>
      <c r="R2322" s="39" t="str">
        <f>IF(AND($M2322=$P$7,$B2322&lt;'111'!$N$11),"x","")</f>
        <v/>
      </c>
      <c r="S2322" s="39" t="str">
        <f>IF(ISERROR(FIND('112'!$M$9,G2322,1)),"",IF((AND(FIND('112'!$M$9,G2322,1)&gt;=1,$B2322&gt;='112'!$N$8,$B2322&lt;='112'!$O$8,OR($L2322='112'!$I$6,$M2322='112'!$I$6))),"x",""))</f>
        <v/>
      </c>
      <c r="T2322" s="39" t="str">
        <f>IF(ISERROR(FIND('112'!$M$9,G2322,1)),"",IF((AND(LEFT(G2322,2)=LEFT('112'!$M$9,2),B2322&lt;'112'!$N$8,$L2322='112'!$I$6)),"x",""))</f>
        <v/>
      </c>
      <c r="U2322" s="39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39" t="str">
        <f>IF(OR(TH!L2322=TH!$W$7,M2322=TH!$W$7),"x","")</f>
        <v/>
      </c>
      <c r="X2322" s="39" t="str">
        <f>IF(AND(B2322&gt;='IN-NX'!$P$3,B2322&lt;='IN-NX'!$Q$3,'IN-NX'!$D$7=D2322,OR(LEFT(L2322,2)="15",AND(LEFT(M2322,2)&lt;&gt;"15",LEFT(M2322,2)&lt;&gt;"33"))),"x","")</f>
        <v/>
      </c>
      <c r="Y2322" s="39" t="str">
        <f>IF(AND(OR(LEFT(TH!L2322,2)="15",LEFT(TH!M2322,2)="15"),'152-CT'!$J$8=TH!F2322),"x","")</f>
        <v/>
      </c>
      <c r="Z2322" s="39" t="str">
        <f>IF(AND(OR(LEFT(TH!L2322,2)="15",LEFT(TH!M2322,2)="15"),TK!$E$7=TH!F2322),"x","")</f>
        <v/>
      </c>
      <c r="AA2322" s="39" t="str">
        <f>IF(AND(B2322&lt;=NKC!$N$8,B2322&gt;=NKC!$M$8),"x","")</f>
        <v/>
      </c>
      <c r="AB2322" s="821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108"/>
        <v/>
      </c>
      <c r="C2323" s="191"/>
      <c r="D2323" s="191"/>
      <c r="E2323" s="729"/>
      <c r="F2323" s="189"/>
      <c r="G2323" s="40"/>
      <c r="H2323" s="7"/>
      <c r="I2323" s="256"/>
      <c r="J2323" s="256"/>
      <c r="K2323" s="568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902" t="str">
        <f>IF(AND('341-CT'!$E$9=H2323,OR(LEFT(L2323,3)=$O$7,LEFT(M2323,3)=$O$7)),"x","")</f>
        <v/>
      </c>
      <c r="P2323" s="39" t="str">
        <f>IF(AND($B2323&gt;='111'!$N$11,$B2323&lt;='111'!$O$11,OR($L2323=$P$7,$M2323=$P$7)),"x","")</f>
        <v/>
      </c>
      <c r="Q2323" s="39" t="str">
        <f>IF(AND($L2323=$P$7,$B2323&lt;'111'!$N$11),"x","")</f>
        <v/>
      </c>
      <c r="R2323" s="39" t="str">
        <f>IF(AND($M2323=$P$7,$B2323&lt;'111'!$N$11),"x","")</f>
        <v/>
      </c>
      <c r="S2323" s="39" t="str">
        <f>IF(ISERROR(FIND('112'!$M$9,G2323,1)),"",IF((AND(FIND('112'!$M$9,G2323,1)&gt;=1,$B2323&gt;='112'!$N$8,$B2323&lt;='112'!$O$8,OR($L2323='112'!$I$6,$M2323='112'!$I$6))),"x",""))</f>
        <v/>
      </c>
      <c r="T2323" s="39" t="str">
        <f>IF(ISERROR(FIND('112'!$M$9,G2323,1)),"",IF((AND(LEFT(G2323,2)=LEFT('112'!$M$9,2),B2323&lt;'112'!$N$8,$L2323='112'!$I$6)),"x",""))</f>
        <v/>
      </c>
      <c r="U2323" s="39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39" t="str">
        <f>IF(OR(TH!L2323=TH!$W$7,M2323=TH!$W$7),"x","")</f>
        <v/>
      </c>
      <c r="X2323" s="39" t="str">
        <f>IF(AND(B2323&gt;='IN-NX'!$P$3,B2323&lt;='IN-NX'!$Q$3,'IN-NX'!$D$7=D2323,OR(LEFT(L2323,2)="15",AND(LEFT(M2323,2)&lt;&gt;"15",LEFT(M2323,2)&lt;&gt;"33"))),"x","")</f>
        <v/>
      </c>
      <c r="Y2323" s="39" t="str">
        <f>IF(AND(OR(LEFT(TH!L2323,2)="15",LEFT(TH!M2323,2)="15"),'152-CT'!$J$8=TH!F2323),"x","")</f>
        <v/>
      </c>
      <c r="Z2323" s="39" t="str">
        <f>IF(AND(OR(LEFT(TH!L2323,2)="15",LEFT(TH!M2323,2)="15"),TK!$E$7=TH!F2323),"x","")</f>
        <v/>
      </c>
      <c r="AA2323" s="39" t="str">
        <f>IF(AND(B2323&lt;=NKC!$N$8,B2323&gt;=NKC!$M$8),"x","")</f>
        <v/>
      </c>
      <c r="AB2323" s="821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108"/>
        <v/>
      </c>
      <c r="C2324" s="184"/>
      <c r="D2324" s="191"/>
      <c r="E2324" s="795"/>
      <c r="F2324" s="189"/>
      <c r="G2324" s="570"/>
      <c r="H2324" s="193"/>
      <c r="I2324" s="256"/>
      <c r="J2324" s="256"/>
      <c r="K2324" s="568"/>
      <c r="L2324" s="569"/>
      <c r="M2324" s="569"/>
      <c r="N2324" s="39" t="str">
        <f>IF(AND('331-CT'!$E$7=TH!H2324,OR(L2324="331",M2324="331")),"331",IF(AND(OR(L2324="131",M2324="131"),H2324='131-CT'!$E$7),"131",""))</f>
        <v/>
      </c>
      <c r="O2324" s="902" t="str">
        <f>IF(AND('341-CT'!$E$9=H2324,OR(LEFT(L2324,3)=$O$7,LEFT(M2324,3)=$O$7)),"x","")</f>
        <v/>
      </c>
      <c r="P2324" s="39" t="str">
        <f>IF(AND($B2324&gt;='111'!$N$11,$B2324&lt;='111'!$O$11,OR($L2324=$P$7,$M2324=$P$7)),"x","")</f>
        <v/>
      </c>
      <c r="Q2324" s="39" t="str">
        <f>IF(AND($L2324=$P$7,$B2324&lt;'111'!$N$11),"x","")</f>
        <v/>
      </c>
      <c r="R2324" s="39" t="str">
        <f>IF(AND($M2324=$P$7,$B2324&lt;'111'!$N$11),"x","")</f>
        <v/>
      </c>
      <c r="S2324" s="39" t="str">
        <f>IF(ISERROR(FIND('112'!$M$9,G2324,1)),"",IF((AND(FIND('112'!$M$9,G2324,1)&gt;=1,$B2324&gt;='112'!$N$8,$B2324&lt;='112'!$O$8,OR($L2324='112'!$I$6,$M2324='112'!$I$6))),"x",""))</f>
        <v/>
      </c>
      <c r="T2324" s="39" t="str">
        <f>IF(ISERROR(FIND('112'!$M$9,G2324,1)),"",IF((AND(LEFT(G2324,2)=LEFT('112'!$M$9,2),B2324&lt;'112'!$N$8,$L2324='112'!$I$6)),"x",""))</f>
        <v/>
      </c>
      <c r="U2324" s="39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39" t="str">
        <f>IF(OR(TH!L2324=TH!$W$7,M2324=TH!$W$7),"x","")</f>
        <v/>
      </c>
      <c r="X2324" s="39" t="str">
        <f>IF(AND(B2324&gt;='IN-NX'!$P$3,B2324&lt;='IN-NX'!$Q$3,'IN-NX'!$D$7=D2324,OR(LEFT(L2324,2)="15",AND(LEFT(M2324,2)&lt;&gt;"15",LEFT(M2324,2)&lt;&gt;"33"))),"x","")</f>
        <v/>
      </c>
      <c r="Y2324" s="39" t="str">
        <f>IF(AND(OR(LEFT(TH!L2324,2)="15",LEFT(TH!M2324,2)="15"),'152-CT'!$J$8=TH!F2324),"x","")</f>
        <v/>
      </c>
      <c r="Z2324" s="39" t="str">
        <f>IF(AND(OR(LEFT(TH!L2324,2)="15",LEFT(TH!M2324,2)="15"),TK!$E$7=TH!F2324),"x","")</f>
        <v/>
      </c>
      <c r="AA2324" s="39" t="str">
        <f>IF(AND(B2324&lt;=NKC!$N$8,B2324&gt;=NKC!$M$8),"x","")</f>
        <v/>
      </c>
      <c r="AB2324" s="821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108"/>
        <v/>
      </c>
      <c r="C2325" s="184"/>
      <c r="D2325" s="184"/>
      <c r="E2325" s="795"/>
      <c r="F2325" s="189"/>
      <c r="G2325" s="570"/>
      <c r="H2325" s="7"/>
      <c r="I2325" s="256"/>
      <c r="J2325" s="256"/>
      <c r="K2325" s="568"/>
      <c r="L2325" s="569"/>
      <c r="M2325" s="569"/>
      <c r="N2325" s="39" t="str">
        <f>IF(AND('331-CT'!$E$7=TH!H2325,OR(L2325="331",M2325="331")),"331",IF(AND(OR(L2325="131",M2325="131"),H2325='131-CT'!$E$7),"131",""))</f>
        <v/>
      </c>
      <c r="O2325" s="902" t="str">
        <f>IF(AND('341-CT'!$E$9=H2325,OR(LEFT(L2325,3)=$O$7,LEFT(M2325,3)=$O$7)),"x","")</f>
        <v/>
      </c>
      <c r="P2325" s="39" t="str">
        <f>IF(AND($B2325&gt;='111'!$N$11,$B2325&lt;='111'!$O$11,OR($L2325=$P$7,$M2325=$P$7)),"x","")</f>
        <v/>
      </c>
      <c r="Q2325" s="39" t="str">
        <f>IF(AND($L2325=$P$7,$B2325&lt;'111'!$N$11),"x","")</f>
        <v/>
      </c>
      <c r="R2325" s="39" t="str">
        <f>IF(AND($M2325=$P$7,$B2325&lt;'111'!$N$11),"x","")</f>
        <v/>
      </c>
      <c r="S2325" s="39" t="str">
        <f>IF(ISERROR(FIND('112'!$M$9,G2325,1)),"",IF((AND(FIND('112'!$M$9,G2325,1)&gt;=1,$B2325&gt;='112'!$N$8,$B2325&lt;='112'!$O$8,OR($L2325='112'!$I$6,$M2325='112'!$I$6))),"x",""))</f>
        <v/>
      </c>
      <c r="T2325" s="39" t="str">
        <f>IF(ISERROR(FIND('112'!$M$9,G2325,1)),"",IF((AND(LEFT(G2325,2)=LEFT('112'!$M$9,2),B2325&lt;'112'!$N$8,$L2325='112'!$I$6)),"x",""))</f>
        <v/>
      </c>
      <c r="U2325" s="39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39" t="str">
        <f>IF(OR(TH!L2325=TH!$W$7,M2325=TH!$W$7),"x","")</f>
        <v/>
      </c>
      <c r="X2325" s="39" t="str">
        <f>IF(AND(B2325&gt;='IN-NX'!$P$3,B2325&lt;='IN-NX'!$Q$3,'IN-NX'!$D$7=D2325,OR(LEFT(L2325,2)="15",AND(LEFT(M2325,2)&lt;&gt;"15",LEFT(M2325,2)&lt;&gt;"33"))),"x","")</f>
        <v/>
      </c>
      <c r="Y2325" s="39" t="str">
        <f>IF(AND(OR(LEFT(TH!L2325,2)="15",LEFT(TH!M2325,2)="15"),'152-CT'!$J$8=TH!F2325),"x","")</f>
        <v/>
      </c>
      <c r="Z2325" s="39" t="str">
        <f>IF(AND(OR(LEFT(TH!L2325,2)="15",LEFT(TH!M2325,2)="15"),TK!$E$7=TH!F2325),"x","")</f>
        <v/>
      </c>
      <c r="AA2325" s="39" t="str">
        <f>IF(AND(B2325&lt;=NKC!$N$8,B2325&gt;=NKC!$M$8),"x","")</f>
        <v/>
      </c>
      <c r="AB2325" s="821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108"/>
        <v/>
      </c>
      <c r="C2326" s="184"/>
      <c r="D2326" s="184"/>
      <c r="E2326" s="795"/>
      <c r="F2326" s="189"/>
      <c r="G2326" s="570"/>
      <c r="H2326" s="7"/>
      <c r="I2326" s="256"/>
      <c r="J2326" s="256"/>
      <c r="K2326" s="568"/>
      <c r="L2326" s="569"/>
      <c r="M2326" s="569"/>
      <c r="N2326" s="39" t="str">
        <f>IF(AND('331-CT'!$E$7=TH!H2326,OR(L2326="331",M2326="331")),"331",IF(AND(OR(L2326="131",M2326="131"),H2326='131-CT'!$E$7),"131",""))</f>
        <v/>
      </c>
      <c r="O2326" s="902" t="str">
        <f>IF(AND('341-CT'!$E$9=H2326,OR(LEFT(L2326,3)=$O$7,LEFT(M2326,3)=$O$7)),"x","")</f>
        <v/>
      </c>
      <c r="P2326" s="39" t="str">
        <f>IF(AND($B2326&gt;='111'!$N$11,$B2326&lt;='111'!$O$11,OR($L2326=$P$7,$M2326=$P$7)),"x","")</f>
        <v/>
      </c>
      <c r="Q2326" s="39" t="str">
        <f>IF(AND($L2326=$P$7,$B2326&lt;'111'!$N$11),"x","")</f>
        <v/>
      </c>
      <c r="R2326" s="39" t="str">
        <f>IF(AND($M2326=$P$7,$B2326&lt;'111'!$N$11),"x","")</f>
        <v/>
      </c>
      <c r="S2326" s="39" t="str">
        <f>IF(ISERROR(FIND('112'!$M$9,G2326,1)),"",IF((AND(FIND('112'!$M$9,G2326,1)&gt;=1,$B2326&gt;='112'!$N$8,$B2326&lt;='112'!$O$8,OR($L2326='112'!$I$6,$M2326='112'!$I$6))),"x",""))</f>
        <v/>
      </c>
      <c r="T2326" s="39" t="str">
        <f>IF(ISERROR(FIND('112'!$M$9,G2326,1)),"",IF((AND(LEFT(G2326,2)=LEFT('112'!$M$9,2),B2326&lt;'112'!$N$8,$L2326='112'!$I$6)),"x",""))</f>
        <v/>
      </c>
      <c r="U2326" s="39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39" t="str">
        <f>IF(OR(TH!L2326=TH!$W$7,M2326=TH!$W$7),"x","")</f>
        <v/>
      </c>
      <c r="X2326" s="39" t="str">
        <f>IF(AND(B2326&gt;='IN-NX'!$P$3,B2326&lt;='IN-NX'!$Q$3,'IN-NX'!$D$7=D2326,OR(LEFT(L2326,2)="15",AND(LEFT(M2326,2)&lt;&gt;"15",LEFT(M2326,2)&lt;&gt;"33"))),"x","")</f>
        <v/>
      </c>
      <c r="Y2326" s="39" t="str">
        <f>IF(AND(OR(LEFT(TH!L2326,2)="15",LEFT(TH!M2326,2)="15"),'152-CT'!$J$8=TH!F2326),"x","")</f>
        <v/>
      </c>
      <c r="Z2326" s="39" t="str">
        <f>IF(AND(OR(LEFT(TH!L2326,2)="15",LEFT(TH!M2326,2)="15"),TK!$E$7=TH!F2326),"x","")</f>
        <v/>
      </c>
      <c r="AA2326" s="39" t="str">
        <f>IF(AND(B2326&lt;=NKC!$N$8,B2326&gt;=NKC!$M$8),"x","")</f>
        <v/>
      </c>
      <c r="AB2326" s="821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108"/>
        <v/>
      </c>
      <c r="C2327" s="184"/>
      <c r="D2327" s="184"/>
      <c r="E2327" s="795"/>
      <c r="F2327" s="189"/>
      <c r="G2327" s="570"/>
      <c r="H2327" s="7"/>
      <c r="I2327" s="256"/>
      <c r="J2327" s="256"/>
      <c r="K2327" s="568"/>
      <c r="L2327" s="569"/>
      <c r="M2327" s="569"/>
      <c r="N2327" s="39" t="str">
        <f>IF(AND('331-CT'!$E$7=TH!H2327,OR(L2327="331",M2327="331")),"331",IF(AND(OR(L2327="131",M2327="131"),H2327='131-CT'!$E$7),"131",""))</f>
        <v/>
      </c>
      <c r="O2327" s="902" t="str">
        <f>IF(AND('341-CT'!$E$9=H2327,OR(LEFT(L2327,3)=$O$7,LEFT(M2327,3)=$O$7)),"x","")</f>
        <v/>
      </c>
      <c r="P2327" s="39" t="str">
        <f>IF(AND($B2327&gt;='111'!$N$11,$B2327&lt;='111'!$O$11,OR($L2327=$P$7,$M2327=$P$7)),"x","")</f>
        <v/>
      </c>
      <c r="Q2327" s="39" t="str">
        <f>IF(AND($L2327=$P$7,$B2327&lt;'111'!$N$11),"x","")</f>
        <v/>
      </c>
      <c r="R2327" s="39" t="str">
        <f>IF(AND($M2327=$P$7,$B2327&lt;'111'!$N$11),"x","")</f>
        <v/>
      </c>
      <c r="S2327" s="39" t="str">
        <f>IF(ISERROR(FIND('112'!$M$9,G2327,1)),"",IF((AND(FIND('112'!$M$9,G2327,1)&gt;=1,$B2327&gt;='112'!$N$8,$B2327&lt;='112'!$O$8,OR($L2327='112'!$I$6,$M2327='112'!$I$6))),"x",""))</f>
        <v/>
      </c>
      <c r="T2327" s="39" t="str">
        <f>IF(ISERROR(FIND('112'!$M$9,G2327,1)),"",IF((AND(LEFT(G2327,2)=LEFT('112'!$M$9,2),B2327&lt;'112'!$N$8,$L2327='112'!$I$6)),"x",""))</f>
        <v/>
      </c>
      <c r="U2327" s="39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39" t="str">
        <f>IF(OR(TH!L2327=TH!$W$7,M2327=TH!$W$7),"x","")</f>
        <v/>
      </c>
      <c r="X2327" s="39" t="str">
        <f>IF(AND(B2327&gt;='IN-NX'!$P$3,B2327&lt;='IN-NX'!$Q$3,'IN-NX'!$D$7=D2327,OR(LEFT(L2327,2)="15",AND(LEFT(M2327,2)&lt;&gt;"15",LEFT(M2327,2)&lt;&gt;"33"))),"x","")</f>
        <v/>
      </c>
      <c r="Y2327" s="39" t="str">
        <f>IF(AND(OR(LEFT(TH!L2327,2)="15",LEFT(TH!M2327,2)="15"),'152-CT'!$J$8=TH!F2327),"x","")</f>
        <v/>
      </c>
      <c r="Z2327" s="39" t="str">
        <f>IF(AND(OR(LEFT(TH!L2327,2)="15",LEFT(TH!M2327,2)="15"),TK!$E$7=TH!F2327),"x","")</f>
        <v/>
      </c>
      <c r="AA2327" s="39" t="str">
        <f>IF(AND(B2327&lt;=NKC!$N$8,B2327&gt;=NKC!$M$8),"x","")</f>
        <v/>
      </c>
      <c r="AB2327" s="821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108"/>
        <v/>
      </c>
      <c r="C2328" s="184"/>
      <c r="D2328" s="184"/>
      <c r="E2328" s="795"/>
      <c r="F2328" s="189"/>
      <c r="G2328" s="570"/>
      <c r="H2328" s="7"/>
      <c r="I2328" s="256"/>
      <c r="J2328" s="256"/>
      <c r="K2328" s="568"/>
      <c r="L2328" s="569"/>
      <c r="M2328" s="569"/>
      <c r="N2328" s="39" t="str">
        <f>IF(AND('331-CT'!$E$7=TH!H2328,OR(L2328="331",M2328="331")),"331",IF(AND(OR(L2328="131",M2328="131"),H2328='131-CT'!$E$7),"131",""))</f>
        <v/>
      </c>
      <c r="O2328" s="902" t="str">
        <f>IF(AND('341-CT'!$E$9=H2328,OR(LEFT(L2328,3)=$O$7,LEFT(M2328,3)=$O$7)),"x","")</f>
        <v/>
      </c>
      <c r="P2328" s="39" t="str">
        <f>IF(AND($B2328&gt;='111'!$N$11,$B2328&lt;='111'!$O$11,OR($L2328=$P$7,$M2328=$P$7)),"x","")</f>
        <v/>
      </c>
      <c r="Q2328" s="39" t="str">
        <f>IF(AND($L2328=$P$7,$B2328&lt;'111'!$N$11),"x","")</f>
        <v/>
      </c>
      <c r="R2328" s="39" t="str">
        <f>IF(AND($M2328=$P$7,$B2328&lt;'111'!$N$11),"x","")</f>
        <v/>
      </c>
      <c r="S2328" s="39" t="str">
        <f>IF(ISERROR(FIND('112'!$M$9,G2328,1)),"",IF((AND(FIND('112'!$M$9,G2328,1)&gt;=1,$B2328&gt;='112'!$N$8,$B2328&lt;='112'!$O$8,OR($L2328='112'!$I$6,$M2328='112'!$I$6))),"x",""))</f>
        <v/>
      </c>
      <c r="T2328" s="39" t="str">
        <f>IF(ISERROR(FIND('112'!$M$9,G2328,1)),"",IF((AND(LEFT(G2328,2)=LEFT('112'!$M$9,2),B2328&lt;'112'!$N$8,$L2328='112'!$I$6)),"x",""))</f>
        <v/>
      </c>
      <c r="U2328" s="39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39" t="str">
        <f>IF(OR(TH!L2328=TH!$W$7,M2328=TH!$W$7),"x","")</f>
        <v/>
      </c>
      <c r="X2328" s="39" t="str">
        <f>IF(AND(B2328&gt;='IN-NX'!$P$3,B2328&lt;='IN-NX'!$Q$3,'IN-NX'!$D$7=D2328,OR(LEFT(L2328,2)="15",AND(LEFT(M2328,2)&lt;&gt;"15",LEFT(M2328,2)&lt;&gt;"33"))),"x","")</f>
        <v/>
      </c>
      <c r="Y2328" s="39" t="str">
        <f>IF(AND(OR(LEFT(TH!L2328,2)="15",LEFT(TH!M2328,2)="15"),'152-CT'!$J$8=TH!F2328),"x","")</f>
        <v/>
      </c>
      <c r="Z2328" s="39" t="str">
        <f>IF(AND(OR(LEFT(TH!L2328,2)="15",LEFT(TH!M2328,2)="15"),TK!$E$7=TH!F2328),"x","")</f>
        <v/>
      </c>
      <c r="AA2328" s="39" t="str">
        <f>IF(AND(B2328&lt;=NKC!$N$8,B2328&gt;=NKC!$M$8),"x","")</f>
        <v/>
      </c>
      <c r="AB2328" s="821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si="108"/>
        <v/>
      </c>
      <c r="C2329" s="184"/>
      <c r="D2329" s="184"/>
      <c r="E2329" s="795"/>
      <c r="F2329" s="189"/>
      <c r="G2329" s="570"/>
      <c r="H2329" s="7"/>
      <c r="I2329" s="256"/>
      <c r="J2329" s="256"/>
      <c r="K2329" s="568"/>
      <c r="L2329" s="569"/>
      <c r="M2329" s="569"/>
      <c r="N2329" s="39" t="str">
        <f>IF(AND('331-CT'!$E$7=TH!H2329,OR(L2329="331",M2329="331")),"331",IF(AND(OR(L2329="131",M2329="131"),H2329='131-CT'!$E$7),"131",""))</f>
        <v/>
      </c>
      <c r="O2329" s="902" t="str">
        <f>IF(AND('341-CT'!$E$9=H2329,OR(LEFT(L2329,3)=$O$7,LEFT(M2329,3)=$O$7)),"x","")</f>
        <v/>
      </c>
      <c r="P2329" s="39" t="str">
        <f>IF(AND($B2329&gt;='111'!$N$11,$B2329&lt;='111'!$O$11,OR($L2329=$P$7,$M2329=$P$7)),"x","")</f>
        <v/>
      </c>
      <c r="Q2329" s="39" t="str">
        <f>IF(AND($L2329=$P$7,$B2329&lt;'111'!$N$11),"x","")</f>
        <v/>
      </c>
      <c r="R2329" s="39" t="str">
        <f>IF(AND($M2329=$P$7,$B2329&lt;'111'!$N$11),"x","")</f>
        <v/>
      </c>
      <c r="S2329" s="39" t="str">
        <f>IF(ISERROR(FIND('112'!$M$9,G2329,1)),"",IF((AND(FIND('112'!$M$9,G2329,1)&gt;=1,$B2329&gt;='112'!$N$8,$B2329&lt;='112'!$O$8,OR($L2329='112'!$I$6,$M2329='112'!$I$6))),"x",""))</f>
        <v/>
      </c>
      <c r="T2329" s="39" t="str">
        <f>IF(ISERROR(FIND('112'!$M$9,G2329,1)),"",IF((AND(LEFT(G2329,2)=LEFT('112'!$M$9,2),B2329&lt;'112'!$N$8,$L2329='112'!$I$6)),"x",""))</f>
        <v/>
      </c>
      <c r="U2329" s="39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39" t="str">
        <f>IF(OR(TH!L2329=TH!$W$7,M2329=TH!$W$7),"x","")</f>
        <v/>
      </c>
      <c r="X2329" s="39" t="str">
        <f>IF(AND(B2329&gt;='IN-NX'!$P$3,B2329&lt;='IN-NX'!$Q$3,'IN-NX'!$D$7=D2329,OR(LEFT(L2329,2)="15",AND(LEFT(M2329,2)&lt;&gt;"15",LEFT(M2329,2)&lt;&gt;"33"))),"x","")</f>
        <v/>
      </c>
      <c r="Y2329" s="39" t="str">
        <f>IF(AND(OR(LEFT(TH!L2329,2)="15",LEFT(TH!M2329,2)="15"),'152-CT'!$J$8=TH!F2329),"x","")</f>
        <v/>
      </c>
      <c r="Z2329" s="39" t="str">
        <f>IF(AND(OR(LEFT(TH!L2329,2)="15",LEFT(TH!M2329,2)="15"),TK!$E$7=TH!F2329),"x","")</f>
        <v/>
      </c>
      <c r="AA2329" s="39" t="str">
        <f>IF(AND(B2329&lt;=NKC!$N$8,B2329&gt;=NKC!$M$8),"x","")</f>
        <v/>
      </c>
      <c r="AB2329" s="821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108"/>
        <v/>
      </c>
      <c r="C2330" s="191"/>
      <c r="D2330" s="191"/>
      <c r="E2330" s="786"/>
      <c r="F2330" s="192"/>
      <c r="G2330" s="468"/>
      <c r="H2330" s="7"/>
      <c r="I2330" s="256"/>
      <c r="J2330" s="256"/>
      <c r="K2330" s="568"/>
      <c r="L2330" s="194"/>
      <c r="M2330" s="194"/>
      <c r="N2330" s="39" t="str">
        <f>IF(AND('331-CT'!$E$7=TH!H2330,OR(L2330="331",M2330="331")),"331",IF(AND(OR(L2330="131",M2330="131"),H2330='131-CT'!$E$7),"131",""))</f>
        <v/>
      </c>
      <c r="O2330" s="902" t="str">
        <f>IF(AND('341-CT'!$E$9=H2330,OR(LEFT(L2330,3)=$O$7,LEFT(M2330,3)=$O$7)),"x","")</f>
        <v/>
      </c>
      <c r="P2330" s="39" t="str">
        <f>IF(AND($B2330&gt;='111'!$N$11,$B2330&lt;='111'!$O$11,OR($L2330=$P$7,$M2330=$P$7)),"x","")</f>
        <v/>
      </c>
      <c r="Q2330" s="39" t="str">
        <f>IF(AND($L2330=$P$7,$B2330&lt;'111'!$N$11),"x","")</f>
        <v/>
      </c>
      <c r="R2330" s="39" t="str">
        <f>IF(AND($M2330=$P$7,$B2330&lt;'111'!$N$11),"x","")</f>
        <v/>
      </c>
      <c r="S2330" s="39" t="str">
        <f>IF(ISERROR(FIND('112'!$M$9,G2330,1)),"",IF((AND(FIND('112'!$M$9,G2330,1)&gt;=1,$B2330&gt;='112'!$N$8,$B2330&lt;='112'!$O$8,OR($L2330='112'!$I$6,$M2330='112'!$I$6))),"x",""))</f>
        <v/>
      </c>
      <c r="T2330" s="39" t="str">
        <f>IF(ISERROR(FIND('112'!$M$9,G2330,1)),"",IF((AND(LEFT(G2330,2)=LEFT('112'!$M$9,2),B2330&lt;'112'!$N$8,$L2330='112'!$I$6)),"x",""))</f>
        <v/>
      </c>
      <c r="U2330" s="39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39" t="str">
        <f>IF(OR(TH!L2330=TH!$W$7,M2330=TH!$W$7),"x","")</f>
        <v/>
      </c>
      <c r="X2330" s="39" t="str">
        <f>IF(AND(B2330&gt;='IN-NX'!$P$3,B2330&lt;='IN-NX'!$Q$3,'IN-NX'!$D$7=D2330,OR(LEFT(L2330,2)="15",AND(LEFT(M2330,2)&lt;&gt;"15",LEFT(M2330,2)&lt;&gt;"33"))),"x","")</f>
        <v/>
      </c>
      <c r="Y2330" s="39" t="str">
        <f>IF(AND(OR(LEFT(TH!L2330,2)="15",LEFT(TH!M2330,2)="15"),'152-CT'!$J$8=TH!F2330),"x","")</f>
        <v/>
      </c>
      <c r="Z2330" s="39" t="str">
        <f>IF(AND(OR(LEFT(TH!L2330,2)="15",LEFT(TH!M2330,2)="15"),TK!$E$7=TH!F2330),"x","")</f>
        <v/>
      </c>
      <c r="AA2330" s="39" t="str">
        <f>IF(AND(B2330&lt;=NKC!$N$8,B2330&gt;=NKC!$M$8),"x","")</f>
        <v/>
      </c>
      <c r="AB2330" s="821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108"/>
        <v/>
      </c>
      <c r="C2331" s="191"/>
      <c r="D2331" s="191"/>
      <c r="E2331" s="786"/>
      <c r="F2331" s="192"/>
      <c r="G2331" s="468"/>
      <c r="H2331" s="7"/>
      <c r="I2331" s="256"/>
      <c r="J2331" s="256"/>
      <c r="K2331" s="38"/>
      <c r="L2331" s="194"/>
      <c r="M2331" s="194"/>
      <c r="N2331" s="39" t="str">
        <f>IF(AND('331-CT'!$E$7=TH!H2331,OR(L2331="331",M2331="331")),"331",IF(AND(OR(L2331="131",M2331="131"),H2331='131-CT'!$E$7),"131",""))</f>
        <v/>
      </c>
      <c r="O2331" s="902" t="str">
        <f>IF(AND('341-CT'!$E$9=H2331,OR(LEFT(L2331,3)=$O$7,LEFT(M2331,3)=$O$7)),"x","")</f>
        <v/>
      </c>
      <c r="P2331" s="39" t="str">
        <f>IF(AND($B2331&gt;='111'!$N$11,$B2331&lt;='111'!$O$11,OR($L2331=$P$7,$M2331=$P$7)),"x","")</f>
        <v/>
      </c>
      <c r="Q2331" s="39" t="str">
        <f>IF(AND($L2331=$P$7,$B2331&lt;'111'!$N$11),"x","")</f>
        <v/>
      </c>
      <c r="R2331" s="39" t="str">
        <f>IF(AND($M2331=$P$7,$B2331&lt;'111'!$N$11),"x","")</f>
        <v/>
      </c>
      <c r="S2331" s="39" t="str">
        <f>IF(ISERROR(FIND('112'!$M$9,G2331,1)),"",IF((AND(FIND('112'!$M$9,G2331,1)&gt;=1,$B2331&gt;='112'!$N$8,$B2331&lt;='112'!$O$8,OR($L2331='112'!$I$6,$M2331='112'!$I$6))),"x",""))</f>
        <v/>
      </c>
      <c r="T2331" s="39" t="str">
        <f>IF(ISERROR(FIND('112'!$M$9,G2331,1)),"",IF((AND(LEFT(G2331,2)=LEFT('112'!$M$9,2),B2331&lt;'112'!$N$8,$L2331='112'!$I$6)),"x",""))</f>
        <v/>
      </c>
      <c r="U2331" s="39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39" t="str">
        <f>IF(OR(TH!L2331=TH!$W$7,M2331=TH!$W$7),"x","")</f>
        <v/>
      </c>
      <c r="X2331" s="39" t="str">
        <f>IF(AND(B2331&gt;='IN-NX'!$P$3,B2331&lt;='IN-NX'!$Q$3,'IN-NX'!$D$7=D2331,OR(LEFT(L2331,2)="15",AND(LEFT(M2331,2)&lt;&gt;"15",LEFT(M2331,2)&lt;&gt;"33"))),"x","")</f>
        <v/>
      </c>
      <c r="Y2331" s="39" t="str">
        <f>IF(AND(OR(LEFT(TH!L2331,2)="15",LEFT(TH!M2331,2)="15"),'152-CT'!$J$8=TH!F2331),"x","")</f>
        <v/>
      </c>
      <c r="Z2331" s="39" t="str">
        <f>IF(AND(OR(LEFT(TH!L2331,2)="15",LEFT(TH!M2331,2)="15"),TK!$E$7=TH!F2331),"x","")</f>
        <v/>
      </c>
      <c r="AA2331" s="39" t="str">
        <f>IF(AND(B2331&lt;=NKC!$N$8,B2331&gt;=NKC!$M$8),"x","")</f>
        <v/>
      </c>
      <c r="AB2331" s="821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108"/>
        <v/>
      </c>
      <c r="C2332" s="191"/>
      <c r="D2332" s="191"/>
      <c r="E2332" s="786"/>
      <c r="F2332" s="192"/>
      <c r="G2332" s="468"/>
      <c r="H2332" s="193"/>
      <c r="I2332" s="256"/>
      <c r="J2332" s="256"/>
      <c r="K2332" s="568"/>
      <c r="L2332" s="194"/>
      <c r="M2332" s="194"/>
      <c r="N2332" s="39" t="str">
        <f>IF(AND('331-CT'!$E$7=TH!H2332,OR(L2332="331",M2332="331")),"331",IF(AND(OR(L2332="131",M2332="131"),H2332='131-CT'!$E$7),"131",""))</f>
        <v/>
      </c>
      <c r="O2332" s="902" t="str">
        <f>IF(AND('341-CT'!$E$9=H2332,OR(LEFT(L2332,3)=$O$7,LEFT(M2332,3)=$O$7)),"x","")</f>
        <v/>
      </c>
      <c r="P2332" s="39" t="str">
        <f>IF(AND($B2332&gt;='111'!$N$11,$B2332&lt;='111'!$O$11,OR($L2332=$P$7,$M2332=$P$7)),"x","")</f>
        <v/>
      </c>
      <c r="Q2332" s="39" t="str">
        <f>IF(AND($L2332=$P$7,$B2332&lt;'111'!$N$11),"x","")</f>
        <v/>
      </c>
      <c r="R2332" s="39" t="str">
        <f>IF(AND($M2332=$P$7,$B2332&lt;'111'!$N$11),"x","")</f>
        <v/>
      </c>
      <c r="S2332" s="39" t="str">
        <f>IF(ISERROR(FIND('112'!$M$9,G2332,1)),"",IF((AND(FIND('112'!$M$9,G2332,1)&gt;=1,$B2332&gt;='112'!$N$8,$B2332&lt;='112'!$O$8,OR($L2332='112'!$I$6,$M2332='112'!$I$6))),"x",""))</f>
        <v/>
      </c>
      <c r="T2332" s="39" t="str">
        <f>IF(ISERROR(FIND('112'!$M$9,G2332,1)),"",IF((AND(LEFT(G2332,2)=LEFT('112'!$M$9,2),B2332&lt;'112'!$N$8,$L2332='112'!$I$6)),"x",""))</f>
        <v/>
      </c>
      <c r="U2332" s="39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39" t="str">
        <f>IF(OR(TH!L2332=TH!$W$7,M2332=TH!$W$7),"x","")</f>
        <v/>
      </c>
      <c r="X2332" s="39" t="str">
        <f>IF(AND(B2332&gt;='IN-NX'!$P$3,B2332&lt;='IN-NX'!$Q$3,'IN-NX'!$D$7=D2332,OR(LEFT(L2332,2)="15",AND(LEFT(M2332,2)&lt;&gt;"15",LEFT(M2332,2)&lt;&gt;"33"))),"x","")</f>
        <v/>
      </c>
      <c r="Y2332" s="39" t="str">
        <f>IF(AND(OR(LEFT(TH!L2332,2)="15",LEFT(TH!M2332,2)="15"),'152-CT'!$J$8=TH!F2332),"x","")</f>
        <v/>
      </c>
      <c r="Z2332" s="39" t="str">
        <f>IF(AND(OR(LEFT(TH!L2332,2)="15",LEFT(TH!M2332,2)="15"),TK!$E$7=TH!F2332),"x","")</f>
        <v/>
      </c>
      <c r="AA2332" s="39" t="str">
        <f>IF(AND(B2332&lt;=NKC!$N$8,B2332&gt;=NKC!$M$8),"x","")</f>
        <v/>
      </c>
      <c r="AB2332" s="821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108"/>
        <v/>
      </c>
      <c r="C2333" s="191"/>
      <c r="D2333" s="191"/>
      <c r="E2333" s="786"/>
      <c r="F2333" s="192"/>
      <c r="G2333" s="468"/>
      <c r="H2333" s="193"/>
      <c r="I2333" s="256"/>
      <c r="J2333" s="256"/>
      <c r="K2333" s="38"/>
      <c r="L2333" s="194"/>
      <c r="M2333" s="194"/>
      <c r="N2333" s="39" t="str">
        <f>IF(AND('331-CT'!$E$7=TH!H2333,OR(L2333="331",M2333="331")),"331",IF(AND(OR(L2333="131",M2333="131"),H2333='131-CT'!$E$7),"131",""))</f>
        <v/>
      </c>
      <c r="O2333" s="902" t="str">
        <f>IF(AND('341-CT'!$E$9=H2333,OR(LEFT(L2333,3)=$O$7,LEFT(M2333,3)=$O$7)),"x","")</f>
        <v/>
      </c>
      <c r="P2333" s="39" t="str">
        <f>IF(AND($B2333&gt;='111'!$N$11,$B2333&lt;='111'!$O$11,OR($L2333=$P$7,$M2333=$P$7)),"x","")</f>
        <v/>
      </c>
      <c r="Q2333" s="39" t="str">
        <f>IF(AND($L2333=$P$7,$B2333&lt;'111'!$N$11),"x","")</f>
        <v/>
      </c>
      <c r="R2333" s="39" t="str">
        <f>IF(AND($M2333=$P$7,$B2333&lt;'111'!$N$11),"x","")</f>
        <v/>
      </c>
      <c r="S2333" s="39" t="str">
        <f>IF(ISERROR(FIND('112'!$M$9,G2333,1)),"",IF((AND(FIND('112'!$M$9,G2333,1)&gt;=1,$B2333&gt;='112'!$N$8,$B2333&lt;='112'!$O$8,OR($L2333='112'!$I$6,$M2333='112'!$I$6))),"x",""))</f>
        <v/>
      </c>
      <c r="T2333" s="39" t="str">
        <f>IF(ISERROR(FIND('112'!$M$9,G2333,1)),"",IF((AND(LEFT(G2333,2)=LEFT('112'!$M$9,2),B2333&lt;'112'!$N$8,$L2333='112'!$I$6)),"x",""))</f>
        <v/>
      </c>
      <c r="U2333" s="39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39" t="str">
        <f>IF(OR(TH!L2333=TH!$W$7,M2333=TH!$W$7),"x","")</f>
        <v/>
      </c>
      <c r="X2333" s="39" t="str">
        <f>IF(AND(B2333&gt;='IN-NX'!$P$3,B2333&lt;='IN-NX'!$Q$3,'IN-NX'!$D$7=D2333,OR(LEFT(L2333,2)="15",AND(LEFT(M2333,2)&lt;&gt;"15",LEFT(M2333,2)&lt;&gt;"33"))),"x","")</f>
        <v/>
      </c>
      <c r="Y2333" s="39" t="str">
        <f>IF(AND(OR(LEFT(TH!L2333,2)="15",LEFT(TH!M2333,2)="15"),'152-CT'!$J$8=TH!F2333),"x","")</f>
        <v/>
      </c>
      <c r="Z2333" s="39" t="str">
        <f>IF(AND(OR(LEFT(TH!L2333,2)="15",LEFT(TH!M2333,2)="15"),TK!$E$7=TH!F2333),"x","")</f>
        <v/>
      </c>
      <c r="AA2333" s="39" t="str">
        <f>IF(AND(B2333&lt;=NKC!$N$8,B2333&gt;=NKC!$M$8),"x","")</f>
        <v/>
      </c>
      <c r="AB2333" s="821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108"/>
        <v/>
      </c>
      <c r="C2334" s="191"/>
      <c r="D2334" s="191"/>
      <c r="E2334" s="786"/>
      <c r="F2334" s="192"/>
      <c r="G2334" s="468"/>
      <c r="H2334" s="193"/>
      <c r="I2334" s="256"/>
      <c r="J2334" s="256"/>
      <c r="K2334" s="568"/>
      <c r="L2334" s="194"/>
      <c r="M2334" s="194"/>
      <c r="N2334" s="39" t="str">
        <f>IF(AND('331-CT'!$E$7=TH!H2334,OR(L2334="331",M2334="331")),"331",IF(AND(OR(L2334="131",M2334="131"),H2334='131-CT'!$E$7),"131",""))</f>
        <v/>
      </c>
      <c r="O2334" s="902" t="str">
        <f>IF(AND('341-CT'!$E$9=H2334,OR(LEFT(L2334,3)=$O$7,LEFT(M2334,3)=$O$7)),"x","")</f>
        <v/>
      </c>
      <c r="P2334" s="39" t="str">
        <f>IF(AND($B2334&gt;='111'!$N$11,$B2334&lt;='111'!$O$11,OR($L2334=$P$7,$M2334=$P$7)),"x","")</f>
        <v/>
      </c>
      <c r="Q2334" s="39" t="str">
        <f>IF(AND($L2334=$P$7,$B2334&lt;'111'!$N$11),"x","")</f>
        <v/>
      </c>
      <c r="R2334" s="39" t="str">
        <f>IF(AND($M2334=$P$7,$B2334&lt;'111'!$N$11),"x","")</f>
        <v/>
      </c>
      <c r="S2334" s="39" t="str">
        <f>IF(ISERROR(FIND('112'!$M$9,G2334,1)),"",IF((AND(FIND('112'!$M$9,G2334,1)&gt;=1,$B2334&gt;='112'!$N$8,$B2334&lt;='112'!$O$8,OR($L2334='112'!$I$6,$M2334='112'!$I$6))),"x",""))</f>
        <v/>
      </c>
      <c r="T2334" s="39" t="str">
        <f>IF(ISERROR(FIND('112'!$M$9,G2334,1)),"",IF((AND(LEFT(G2334,2)=LEFT('112'!$M$9,2),B2334&lt;'112'!$N$8,$L2334='112'!$I$6)),"x",""))</f>
        <v/>
      </c>
      <c r="U2334" s="39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39" t="str">
        <f>IF(OR(TH!L2334=TH!$W$7,M2334=TH!$W$7),"x","")</f>
        <v/>
      </c>
      <c r="X2334" s="39" t="str">
        <f>IF(AND(B2334&gt;='IN-NX'!$P$3,B2334&lt;='IN-NX'!$Q$3,'IN-NX'!$D$7=D2334,OR(LEFT(L2334,2)="15",AND(LEFT(M2334,2)&lt;&gt;"15",LEFT(M2334,2)&lt;&gt;"33"))),"x","")</f>
        <v/>
      </c>
      <c r="Y2334" s="39" t="str">
        <f>IF(AND(OR(LEFT(TH!L2334,2)="15",LEFT(TH!M2334,2)="15"),'152-CT'!$J$8=TH!F2334),"x","")</f>
        <v/>
      </c>
      <c r="Z2334" s="39" t="str">
        <f>IF(AND(OR(LEFT(TH!L2334,2)="15",LEFT(TH!M2334,2)="15"),TK!$E$7=TH!F2334),"x","")</f>
        <v/>
      </c>
      <c r="AA2334" s="39" t="str">
        <f>IF(AND(B2334&lt;=NKC!$N$8,B2334&gt;=NKC!$M$8),"x","")</f>
        <v/>
      </c>
      <c r="AB2334" s="821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si="108"/>
        <v/>
      </c>
      <c r="C2335" s="191"/>
      <c r="D2335" s="191"/>
      <c r="E2335" s="786"/>
      <c r="F2335" s="192"/>
      <c r="G2335" s="468"/>
      <c r="H2335" s="193"/>
      <c r="I2335" s="256"/>
      <c r="J2335" s="256"/>
      <c r="K2335" s="568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902" t="str">
        <f>IF(AND('341-CT'!$E$9=H2335,OR(LEFT(L2335,3)=$O$7,LEFT(M2335,3)=$O$7)),"x","")</f>
        <v/>
      </c>
      <c r="P2335" s="39" t="str">
        <f>IF(AND($B2335&gt;='111'!$N$11,$B2335&lt;='111'!$O$11,OR($L2335=$P$7,$M2335=$P$7)),"x","")</f>
        <v/>
      </c>
      <c r="Q2335" s="39" t="str">
        <f>IF(AND($L2335=$P$7,$B2335&lt;'111'!$N$11),"x","")</f>
        <v/>
      </c>
      <c r="R2335" s="39" t="str">
        <f>IF(AND($M2335=$P$7,$B2335&lt;'111'!$N$11),"x","")</f>
        <v/>
      </c>
      <c r="S2335" s="39" t="str">
        <f>IF(ISERROR(FIND('112'!$M$9,G2335,1)),"",IF((AND(FIND('112'!$M$9,G2335,1)&gt;=1,$B2335&gt;='112'!$N$8,$B2335&lt;='112'!$O$8,OR($L2335='112'!$I$6,$M2335='112'!$I$6))),"x",""))</f>
        <v/>
      </c>
      <c r="T2335" s="39" t="str">
        <f>IF(ISERROR(FIND('112'!$M$9,G2335,1)),"",IF((AND(LEFT(G2335,2)=LEFT('112'!$M$9,2),B2335&lt;'112'!$N$8,$L2335='112'!$I$6)),"x",""))</f>
        <v/>
      </c>
      <c r="U2335" s="39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39" t="str">
        <f>IF(OR(TH!L2335=TH!$W$7,M2335=TH!$W$7),"x","")</f>
        <v/>
      </c>
      <c r="X2335" s="39" t="str">
        <f>IF(AND(B2335&gt;='IN-NX'!$P$3,B2335&lt;='IN-NX'!$Q$3,'IN-NX'!$D$7=D2335,OR(LEFT(L2335,2)="15",AND(LEFT(M2335,2)&lt;&gt;"15",LEFT(M2335,2)&lt;&gt;"33"))),"x","")</f>
        <v/>
      </c>
      <c r="Y2335" s="39" t="str">
        <f>IF(AND(OR(LEFT(TH!L2335,2)="15",LEFT(TH!M2335,2)="15"),'152-CT'!$J$8=TH!F2335),"x","")</f>
        <v/>
      </c>
      <c r="Z2335" s="39" t="str">
        <f>IF(AND(OR(LEFT(TH!L2335,2)="15",LEFT(TH!M2335,2)="15"),TK!$E$7=TH!F2335),"x","")</f>
        <v/>
      </c>
      <c r="AA2335" s="39" t="str">
        <f>IF(AND(B2335&lt;=NKC!$N$8,B2335&gt;=NKC!$M$8),"x","")</f>
        <v/>
      </c>
      <c r="AB2335" s="821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108"/>
        <v/>
      </c>
      <c r="C2336" s="191"/>
      <c r="D2336" s="191"/>
      <c r="E2336" s="786"/>
      <c r="F2336" s="192"/>
      <c r="G2336" s="468"/>
      <c r="H2336" s="193"/>
      <c r="I2336" s="256"/>
      <c r="J2336" s="256"/>
      <c r="K2336" s="568"/>
      <c r="L2336" s="194"/>
      <c r="M2336" s="194"/>
      <c r="N2336" s="39" t="str">
        <f>IF(AND('331-CT'!$E$7=TH!H2336,OR(L2336="331",M2336="331")),"331",IF(AND(OR(L2336="131",M2336="131"),H2336='131-CT'!$E$7),"131",""))</f>
        <v/>
      </c>
      <c r="O2336" s="902" t="str">
        <f>IF(AND('341-CT'!$E$9=H2336,OR(LEFT(L2336,3)=$O$7,LEFT(M2336,3)=$O$7)),"x","")</f>
        <v/>
      </c>
      <c r="P2336" s="39" t="str">
        <f>IF(AND($B2336&gt;='111'!$N$11,$B2336&lt;='111'!$O$11,OR($L2336=$P$7,$M2336=$P$7)),"x","")</f>
        <v/>
      </c>
      <c r="Q2336" s="39" t="str">
        <f>IF(AND($L2336=$P$7,$B2336&lt;'111'!$N$11),"x","")</f>
        <v/>
      </c>
      <c r="R2336" s="39" t="str">
        <f>IF(AND($M2336=$P$7,$B2336&lt;'111'!$N$11),"x","")</f>
        <v/>
      </c>
      <c r="S2336" s="39" t="str">
        <f>IF(ISERROR(FIND('112'!$M$9,G2336,1)),"",IF((AND(FIND('112'!$M$9,G2336,1)&gt;=1,$B2336&gt;='112'!$N$8,$B2336&lt;='112'!$O$8,OR($L2336='112'!$I$6,$M2336='112'!$I$6))),"x",""))</f>
        <v/>
      </c>
      <c r="T2336" s="39" t="str">
        <f>IF(ISERROR(FIND('112'!$M$9,G2336,1)),"",IF((AND(LEFT(G2336,2)=LEFT('112'!$M$9,2),B2336&lt;'112'!$N$8,$L2336='112'!$I$6)),"x",""))</f>
        <v/>
      </c>
      <c r="U2336" s="39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39" t="str">
        <f>IF(OR(TH!L2336=TH!$W$7,M2336=TH!$W$7),"x","")</f>
        <v/>
      </c>
      <c r="X2336" s="39" t="str">
        <f>IF(AND(B2336&gt;='IN-NX'!$P$3,B2336&lt;='IN-NX'!$Q$3,'IN-NX'!$D$7=D2336,OR(LEFT(L2336,2)="15",AND(LEFT(M2336,2)&lt;&gt;"15",LEFT(M2336,2)&lt;&gt;"33"))),"x","")</f>
        <v/>
      </c>
      <c r="Y2336" s="39" t="str">
        <f>IF(AND(OR(LEFT(TH!L2336,2)="15",LEFT(TH!M2336,2)="15"),'152-CT'!$J$8=TH!F2336),"x","")</f>
        <v/>
      </c>
      <c r="Z2336" s="39" t="str">
        <f>IF(AND(OR(LEFT(TH!L2336,2)="15",LEFT(TH!M2336,2)="15"),TK!$E$7=TH!F2336),"x","")</f>
        <v/>
      </c>
      <c r="AA2336" s="39" t="str">
        <f>IF(AND(B2336&lt;=NKC!$N$8,B2336&gt;=NKC!$M$8),"x","")</f>
        <v/>
      </c>
      <c r="AB2336" s="821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108"/>
        <v/>
      </c>
      <c r="C2337" s="191"/>
      <c r="D2337" s="191"/>
      <c r="E2337" s="786"/>
      <c r="F2337" s="192"/>
      <c r="G2337" s="468"/>
      <c r="H2337" s="193"/>
      <c r="I2337" s="256"/>
      <c r="J2337" s="256"/>
      <c r="K2337" s="568"/>
      <c r="L2337" s="194"/>
      <c r="M2337" s="194"/>
      <c r="N2337" s="39" t="str">
        <f>IF(AND('331-CT'!$E$7=TH!H2337,OR(L2337="331",M2337="331")),"331",IF(AND(OR(L2337="131",M2337="131"),H2337='131-CT'!$E$7),"131",""))</f>
        <v/>
      </c>
      <c r="O2337" s="902" t="str">
        <f>IF(AND('341-CT'!$E$9=H2337,OR(LEFT(L2337,3)=$O$7,LEFT(M2337,3)=$O$7)),"x","")</f>
        <v/>
      </c>
      <c r="P2337" s="39" t="str">
        <f>IF(AND($B2337&gt;='111'!$N$11,$B2337&lt;='111'!$O$11,OR($L2337=$P$7,$M2337=$P$7)),"x","")</f>
        <v/>
      </c>
      <c r="Q2337" s="39" t="str">
        <f>IF(AND($L2337=$P$7,$B2337&lt;'111'!$N$11),"x","")</f>
        <v/>
      </c>
      <c r="R2337" s="39" t="str">
        <f>IF(AND($M2337=$P$7,$B2337&lt;'111'!$N$11),"x","")</f>
        <v/>
      </c>
      <c r="S2337" s="39" t="str">
        <f>IF(ISERROR(FIND('112'!$M$9,G2337,1)),"",IF((AND(FIND('112'!$M$9,G2337,1)&gt;=1,$B2337&gt;='112'!$N$8,$B2337&lt;='112'!$O$8,OR($L2337='112'!$I$6,$M2337='112'!$I$6))),"x",""))</f>
        <v/>
      </c>
      <c r="T2337" s="39" t="str">
        <f>IF(ISERROR(FIND('112'!$M$9,G2337,1)),"",IF((AND(LEFT(G2337,2)=LEFT('112'!$M$9,2),B2337&lt;'112'!$N$8,$L2337='112'!$I$6)),"x",""))</f>
        <v/>
      </c>
      <c r="U2337" s="39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39" t="str">
        <f>IF(OR(TH!L2337=TH!$W$7,M2337=TH!$W$7),"x","")</f>
        <v/>
      </c>
      <c r="X2337" s="39" t="str">
        <f>IF(AND(B2337&gt;='IN-NX'!$P$3,B2337&lt;='IN-NX'!$Q$3,'IN-NX'!$D$7=D2337,OR(LEFT(L2337,2)="15",AND(LEFT(M2337,2)&lt;&gt;"15",LEFT(M2337,2)&lt;&gt;"33"))),"x","")</f>
        <v/>
      </c>
      <c r="Y2337" s="39" t="str">
        <f>IF(AND(OR(LEFT(TH!L2337,2)="15",LEFT(TH!M2337,2)="15"),'152-CT'!$J$8=TH!F2337),"x","")</f>
        <v/>
      </c>
      <c r="Z2337" s="39" t="str">
        <f>IF(AND(OR(LEFT(TH!L2337,2)="15",LEFT(TH!M2337,2)="15"),TK!$E$7=TH!F2337),"x","")</f>
        <v/>
      </c>
      <c r="AA2337" s="39" t="str">
        <f>IF(AND(B2337&lt;=NKC!$N$8,B2337&gt;=NKC!$M$8),"x","")</f>
        <v/>
      </c>
      <c r="AB2337" s="821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108"/>
        <v/>
      </c>
      <c r="C2338" s="191"/>
      <c r="D2338" s="191"/>
      <c r="E2338" s="786"/>
      <c r="F2338" s="192"/>
      <c r="G2338" s="468"/>
      <c r="H2338" s="193"/>
      <c r="I2338" s="256"/>
      <c r="J2338" s="256"/>
      <c r="K2338" s="568"/>
      <c r="L2338" s="194"/>
      <c r="M2338" s="194"/>
      <c r="N2338" s="39" t="str">
        <f>IF(AND('331-CT'!$E$7=TH!H2338,OR(L2338="331",M2338="331")),"331",IF(AND(OR(L2338="131",M2338="131"),H2338='131-CT'!$E$7),"131",""))</f>
        <v/>
      </c>
      <c r="O2338" s="902" t="str">
        <f>IF(AND('341-CT'!$E$9=H2338,OR(LEFT(L2338,3)=$O$7,LEFT(M2338,3)=$O$7)),"x","")</f>
        <v/>
      </c>
      <c r="P2338" s="39" t="str">
        <f>IF(AND($B2338&gt;='111'!$N$11,$B2338&lt;='111'!$O$11,OR($L2338=$P$7,$M2338=$P$7)),"x","")</f>
        <v/>
      </c>
      <c r="Q2338" s="39" t="str">
        <f>IF(AND($L2338=$P$7,$B2338&lt;'111'!$N$11),"x","")</f>
        <v/>
      </c>
      <c r="R2338" s="39" t="str">
        <f>IF(AND($M2338=$P$7,$B2338&lt;'111'!$N$11),"x","")</f>
        <v/>
      </c>
      <c r="S2338" s="39" t="str">
        <f>IF(ISERROR(FIND('112'!$M$9,G2338,1)),"",IF((AND(FIND('112'!$M$9,G2338,1)&gt;=1,$B2338&gt;='112'!$N$8,$B2338&lt;='112'!$O$8,OR($L2338='112'!$I$6,$M2338='112'!$I$6))),"x",""))</f>
        <v/>
      </c>
      <c r="T2338" s="39" t="str">
        <f>IF(ISERROR(FIND('112'!$M$9,G2338,1)),"",IF((AND(LEFT(G2338,2)=LEFT('112'!$M$9,2),B2338&lt;'112'!$N$8,$L2338='112'!$I$6)),"x",""))</f>
        <v/>
      </c>
      <c r="U2338" s="39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39" t="str">
        <f>IF(OR(TH!L2338=TH!$W$7,M2338=TH!$W$7),"x","")</f>
        <v/>
      </c>
      <c r="X2338" s="39" t="str">
        <f>IF(AND(B2338&gt;='IN-NX'!$P$3,B2338&lt;='IN-NX'!$Q$3,'IN-NX'!$D$7=D2338,OR(LEFT(L2338,2)="15",AND(LEFT(M2338,2)&lt;&gt;"15",LEFT(M2338,2)&lt;&gt;"33"))),"x","")</f>
        <v/>
      </c>
      <c r="Y2338" s="39" t="str">
        <f>IF(AND(OR(LEFT(TH!L2338,2)="15",LEFT(TH!M2338,2)="15"),'152-CT'!$J$8=TH!F2338),"x","")</f>
        <v/>
      </c>
      <c r="Z2338" s="39" t="str">
        <f>IF(AND(OR(LEFT(TH!L2338,2)="15",LEFT(TH!M2338,2)="15"),TK!$E$7=TH!F2338),"x","")</f>
        <v/>
      </c>
      <c r="AA2338" s="39" t="str">
        <f>IF(AND(B2338&lt;=NKC!$N$8,B2338&gt;=NKC!$M$8),"x","")</f>
        <v/>
      </c>
      <c r="AB2338" s="821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108"/>
        <v/>
      </c>
      <c r="C2339" s="191"/>
      <c r="D2339" s="191"/>
      <c r="E2339" s="786"/>
      <c r="F2339" s="192"/>
      <c r="G2339" s="468"/>
      <c r="H2339" s="193"/>
      <c r="I2339" s="256"/>
      <c r="J2339" s="256"/>
      <c r="K2339" s="568"/>
      <c r="L2339" s="194"/>
      <c r="M2339" s="194"/>
      <c r="N2339" s="39" t="str">
        <f>IF(AND('331-CT'!$E$7=TH!H2339,OR(L2339="331",M2339="331")),"331",IF(AND(OR(L2339="131",M2339="131"),H2339='131-CT'!$E$7),"131",""))</f>
        <v/>
      </c>
      <c r="O2339" s="902" t="str">
        <f>IF(AND('341-CT'!$E$9=H2339,OR(LEFT(L2339,3)=$O$7,LEFT(M2339,3)=$O$7)),"x","")</f>
        <v/>
      </c>
      <c r="P2339" s="39" t="str">
        <f>IF(AND($B2339&gt;='111'!$N$11,$B2339&lt;='111'!$O$11,OR($L2339=$P$7,$M2339=$P$7)),"x","")</f>
        <v/>
      </c>
      <c r="Q2339" s="39" t="str">
        <f>IF(AND($L2339=$P$7,$B2339&lt;'111'!$N$11),"x","")</f>
        <v/>
      </c>
      <c r="R2339" s="39" t="str">
        <f>IF(AND($M2339=$P$7,$B2339&lt;'111'!$N$11),"x","")</f>
        <v/>
      </c>
      <c r="S2339" s="39" t="str">
        <f>IF(ISERROR(FIND('112'!$M$9,G2339,1)),"",IF((AND(FIND('112'!$M$9,G2339,1)&gt;=1,$B2339&gt;='112'!$N$8,$B2339&lt;='112'!$O$8,OR($L2339='112'!$I$6,$M2339='112'!$I$6))),"x",""))</f>
        <v/>
      </c>
      <c r="T2339" s="39" t="str">
        <f>IF(ISERROR(FIND('112'!$M$9,G2339,1)),"",IF((AND(LEFT(G2339,2)=LEFT('112'!$M$9,2),B2339&lt;'112'!$N$8,$L2339='112'!$I$6)),"x",""))</f>
        <v/>
      </c>
      <c r="U2339" s="39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39" t="str">
        <f>IF(OR(TH!L2339=TH!$W$7,M2339=TH!$W$7),"x","")</f>
        <v/>
      </c>
      <c r="X2339" s="39" t="str">
        <f>IF(AND(B2339&gt;='IN-NX'!$P$3,B2339&lt;='IN-NX'!$Q$3,'IN-NX'!$D$7=D2339,OR(LEFT(L2339,2)="15",AND(LEFT(M2339,2)&lt;&gt;"15",LEFT(M2339,2)&lt;&gt;"33"))),"x","")</f>
        <v/>
      </c>
      <c r="Y2339" s="39" t="str">
        <f>IF(AND(OR(LEFT(TH!L2339,2)="15",LEFT(TH!M2339,2)="15"),'152-CT'!$J$8=TH!F2339),"x","")</f>
        <v/>
      </c>
      <c r="Z2339" s="39" t="str">
        <f>IF(AND(OR(LEFT(TH!L2339,2)="15",LEFT(TH!M2339,2)="15"),TK!$E$7=TH!F2339),"x","")</f>
        <v/>
      </c>
      <c r="AA2339" s="39" t="str">
        <f>IF(AND(B2339&lt;=NKC!$N$8,B2339&gt;=NKC!$M$8),"x","")</f>
        <v/>
      </c>
      <c r="AB2339" s="821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108"/>
        <v/>
      </c>
      <c r="C2340" s="191"/>
      <c r="D2340" s="191"/>
      <c r="E2340" s="786"/>
      <c r="F2340" s="192"/>
      <c r="G2340" s="468"/>
      <c r="H2340" s="193"/>
      <c r="I2340" s="256"/>
      <c r="J2340" s="256"/>
      <c r="K2340" s="568"/>
      <c r="L2340" s="194"/>
      <c r="M2340" s="194"/>
      <c r="N2340" s="39" t="str">
        <f>IF(AND('331-CT'!$E$7=TH!H2340,OR(L2340="331",M2340="331")),"331",IF(AND(OR(L2340="131",M2340="131"),H2340='131-CT'!$E$7),"131",""))</f>
        <v/>
      </c>
      <c r="O2340" s="902" t="str">
        <f>IF(AND('341-CT'!$E$9=H2340,OR(LEFT(L2340,3)=$O$7,LEFT(M2340,3)=$O$7)),"x","")</f>
        <v/>
      </c>
      <c r="P2340" s="39" t="str">
        <f>IF(AND($B2340&gt;='111'!$N$11,$B2340&lt;='111'!$O$11,OR($L2340=$P$7,$M2340=$P$7)),"x","")</f>
        <v/>
      </c>
      <c r="Q2340" s="39" t="str">
        <f>IF(AND($L2340=$P$7,$B2340&lt;'111'!$N$11),"x","")</f>
        <v/>
      </c>
      <c r="R2340" s="39" t="str">
        <f>IF(AND($M2340=$P$7,$B2340&lt;'111'!$N$11),"x","")</f>
        <v/>
      </c>
      <c r="S2340" s="39" t="str">
        <f>IF(ISERROR(FIND('112'!$M$9,G2340,1)),"",IF((AND(FIND('112'!$M$9,G2340,1)&gt;=1,$B2340&gt;='112'!$N$8,$B2340&lt;='112'!$O$8,OR($L2340='112'!$I$6,$M2340='112'!$I$6))),"x",""))</f>
        <v/>
      </c>
      <c r="T2340" s="39" t="str">
        <f>IF(ISERROR(FIND('112'!$M$9,G2340,1)),"",IF((AND(LEFT(G2340,2)=LEFT('112'!$M$9,2),B2340&lt;'112'!$N$8,$L2340='112'!$I$6)),"x",""))</f>
        <v/>
      </c>
      <c r="U2340" s="39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39" t="str">
        <f>IF(OR(TH!L2340=TH!$W$7,M2340=TH!$W$7),"x","")</f>
        <v/>
      </c>
      <c r="X2340" s="39" t="str">
        <f>IF(AND(B2340&gt;='IN-NX'!$P$3,B2340&lt;='IN-NX'!$Q$3,'IN-NX'!$D$7=D2340,OR(LEFT(L2340,2)="15",AND(LEFT(M2340,2)&lt;&gt;"15",LEFT(M2340,2)&lt;&gt;"33"))),"x","")</f>
        <v/>
      </c>
      <c r="Y2340" s="39" t="str">
        <f>IF(AND(OR(LEFT(TH!L2340,2)="15",LEFT(TH!M2340,2)="15"),'152-CT'!$J$8=TH!F2340),"x","")</f>
        <v/>
      </c>
      <c r="Z2340" s="39" t="str">
        <f>IF(AND(OR(LEFT(TH!L2340,2)="15",LEFT(TH!M2340,2)="15"),TK!$E$7=TH!F2340),"x","")</f>
        <v/>
      </c>
      <c r="AA2340" s="39" t="str">
        <f>IF(AND(B2340&lt;=NKC!$N$8,B2340&gt;=NKC!$M$8),"x","")</f>
        <v/>
      </c>
      <c r="AB2340" s="821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108"/>
        <v/>
      </c>
      <c r="C2341" s="191"/>
      <c r="D2341" s="191"/>
      <c r="E2341" s="786"/>
      <c r="F2341" s="192"/>
      <c r="G2341" s="468"/>
      <c r="H2341" s="193"/>
      <c r="I2341" s="256"/>
      <c r="J2341" s="256"/>
      <c r="K2341" s="568"/>
      <c r="L2341" s="194"/>
      <c r="M2341" s="194"/>
      <c r="N2341" s="39" t="str">
        <f>IF(AND('331-CT'!$E$7=TH!H2341,OR(L2341="331",M2341="331")),"331",IF(AND(OR(L2341="131",M2341="131"),H2341='131-CT'!$E$7),"131",""))</f>
        <v/>
      </c>
      <c r="O2341" s="902" t="str">
        <f>IF(AND('341-CT'!$E$9=H2341,OR(LEFT(L2341,3)=$O$7,LEFT(M2341,3)=$O$7)),"x","")</f>
        <v/>
      </c>
      <c r="P2341" s="39" t="str">
        <f>IF(AND($B2341&gt;='111'!$N$11,$B2341&lt;='111'!$O$11,OR($L2341=$P$7,$M2341=$P$7)),"x","")</f>
        <v/>
      </c>
      <c r="Q2341" s="39" t="str">
        <f>IF(AND($L2341=$P$7,$B2341&lt;'111'!$N$11),"x","")</f>
        <v/>
      </c>
      <c r="R2341" s="39" t="str">
        <f>IF(AND($M2341=$P$7,$B2341&lt;'111'!$N$11),"x","")</f>
        <v/>
      </c>
      <c r="S2341" s="39" t="str">
        <f>IF(ISERROR(FIND('112'!$M$9,G2341,1)),"",IF((AND(FIND('112'!$M$9,G2341,1)&gt;=1,$B2341&gt;='112'!$N$8,$B2341&lt;='112'!$O$8,OR($L2341='112'!$I$6,$M2341='112'!$I$6))),"x",""))</f>
        <v/>
      </c>
      <c r="T2341" s="39" t="str">
        <f>IF(ISERROR(FIND('112'!$M$9,G2341,1)),"",IF((AND(LEFT(G2341,2)=LEFT('112'!$M$9,2),B2341&lt;'112'!$N$8,$L2341='112'!$I$6)),"x",""))</f>
        <v/>
      </c>
      <c r="U2341" s="39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39" t="str">
        <f>IF(OR(TH!L2341=TH!$W$7,M2341=TH!$W$7),"x","")</f>
        <v/>
      </c>
      <c r="X2341" s="39" t="str">
        <f>IF(AND(B2341&gt;='IN-NX'!$P$3,B2341&lt;='IN-NX'!$Q$3,'IN-NX'!$D$7=D2341,OR(LEFT(L2341,2)="15",AND(LEFT(M2341,2)&lt;&gt;"15",LEFT(M2341,2)&lt;&gt;"33"))),"x","")</f>
        <v/>
      </c>
      <c r="Y2341" s="39" t="str">
        <f>IF(AND(OR(LEFT(TH!L2341,2)="15",LEFT(TH!M2341,2)="15"),'152-CT'!$J$8=TH!F2341),"x","")</f>
        <v/>
      </c>
      <c r="Z2341" s="39" t="str">
        <f>IF(AND(OR(LEFT(TH!L2341,2)="15",LEFT(TH!M2341,2)="15"),TK!$E$7=TH!F2341),"x","")</f>
        <v/>
      </c>
      <c r="AA2341" s="39" t="str">
        <f>IF(AND(B2341&lt;=NKC!$N$8,B2341&gt;=NKC!$M$8),"x","")</f>
        <v/>
      </c>
      <c r="AB2341" s="821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108"/>
        <v/>
      </c>
      <c r="C2342" s="191"/>
      <c r="D2342" s="37"/>
      <c r="E2342" s="729"/>
      <c r="F2342" s="40"/>
      <c r="G2342" s="40"/>
      <c r="H2342" s="7"/>
      <c r="I2342" s="256"/>
      <c r="J2342" s="256"/>
      <c r="K2342" s="56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902" t="str">
        <f>IF(AND('341-CT'!$E$9=H2342,OR(LEFT(L2342,3)=$O$7,LEFT(M2342,3)=$O$7)),"x","")</f>
        <v/>
      </c>
      <c r="P2342" s="39" t="str">
        <f>IF(AND($B2342&gt;='111'!$N$11,$B2342&lt;='111'!$O$11,OR($L2342=$P$7,$M2342=$P$7)),"x","")</f>
        <v/>
      </c>
      <c r="Q2342" s="39" t="str">
        <f>IF(AND($L2342=$P$7,$B2342&lt;'111'!$N$11),"x","")</f>
        <v/>
      </c>
      <c r="R2342" s="39" t="str">
        <f>IF(AND($M2342=$P$7,$B2342&lt;'111'!$N$11),"x","")</f>
        <v/>
      </c>
      <c r="S2342" s="39" t="str">
        <f>IF(ISERROR(FIND('112'!$M$9,G2342,1)),"",IF((AND(FIND('112'!$M$9,G2342,1)&gt;=1,$B2342&gt;='112'!$N$8,$B2342&lt;='112'!$O$8,OR($L2342='112'!$I$6,$M2342='112'!$I$6))),"x",""))</f>
        <v/>
      </c>
      <c r="T2342" s="39" t="str">
        <f>IF(ISERROR(FIND('112'!$M$9,G2342,1)),"",IF((AND(LEFT(G2342,2)=LEFT('112'!$M$9,2),B2342&lt;'112'!$N$8,$L2342='112'!$I$6)),"x",""))</f>
        <v/>
      </c>
      <c r="U2342" s="39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39" t="str">
        <f>IF(OR(TH!L2342=TH!$W$7,M2342=TH!$W$7),"x","")</f>
        <v/>
      </c>
      <c r="X2342" s="39" t="str">
        <f>IF(AND(B2342&gt;='IN-NX'!$P$3,B2342&lt;='IN-NX'!$Q$3,'IN-NX'!$D$7=D2342,OR(LEFT(L2342,2)="15",AND(LEFT(M2342,2)&lt;&gt;"15",LEFT(M2342,2)&lt;&gt;"33"))),"x","")</f>
        <v/>
      </c>
      <c r="Y2342" s="39" t="str">
        <f>IF(AND(OR(LEFT(TH!L2342,2)="15",LEFT(TH!M2342,2)="15"),'152-CT'!$J$8=TH!F2342),"x","")</f>
        <v/>
      </c>
      <c r="Z2342" s="39" t="str">
        <f>IF(AND(OR(LEFT(TH!L2342,2)="15",LEFT(TH!M2342,2)="15"),TK!$E$7=TH!F2342),"x","")</f>
        <v/>
      </c>
      <c r="AA2342" s="39" t="str">
        <f>IF(AND(B2342&lt;=NKC!$N$8,B2342&gt;=NKC!$M$8),"x","")</f>
        <v/>
      </c>
      <c r="AB2342" s="821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108"/>
        <v/>
      </c>
      <c r="C2343" s="191"/>
      <c r="D2343" s="37"/>
      <c r="E2343" s="729"/>
      <c r="F2343" s="40"/>
      <c r="G2343" s="40"/>
      <c r="H2343" s="7"/>
      <c r="I2343" s="256"/>
      <c r="J2343" s="256"/>
      <c r="K2343" s="56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902" t="str">
        <f>IF(AND('341-CT'!$E$9=H2343,OR(LEFT(L2343,3)=$O$7,LEFT(M2343,3)=$O$7)),"x","")</f>
        <v/>
      </c>
      <c r="P2343" s="39" t="str">
        <f>IF(AND($B2343&gt;='111'!$N$11,$B2343&lt;='111'!$O$11,OR($L2343=$P$7,$M2343=$P$7)),"x","")</f>
        <v/>
      </c>
      <c r="Q2343" s="39" t="str">
        <f>IF(AND($L2343=$P$7,$B2343&lt;'111'!$N$11),"x","")</f>
        <v/>
      </c>
      <c r="R2343" s="39" t="str">
        <f>IF(AND($M2343=$P$7,$B2343&lt;'111'!$N$11),"x","")</f>
        <v/>
      </c>
      <c r="S2343" s="39" t="str">
        <f>IF(ISERROR(FIND('112'!$M$9,G2343,1)),"",IF((AND(FIND('112'!$M$9,G2343,1)&gt;=1,$B2343&gt;='112'!$N$8,$B2343&lt;='112'!$O$8,OR($L2343='112'!$I$6,$M2343='112'!$I$6))),"x",""))</f>
        <v/>
      </c>
      <c r="T2343" s="39" t="str">
        <f>IF(ISERROR(FIND('112'!$M$9,G2343,1)),"",IF((AND(LEFT(G2343,2)=LEFT('112'!$M$9,2),B2343&lt;'112'!$N$8,$L2343='112'!$I$6)),"x",""))</f>
        <v/>
      </c>
      <c r="U2343" s="39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39" t="str">
        <f>IF(OR(TH!L2343=TH!$W$7,M2343=TH!$W$7),"x","")</f>
        <v/>
      </c>
      <c r="X2343" s="39" t="str">
        <f>IF(AND(B2343&gt;='IN-NX'!$P$3,B2343&lt;='IN-NX'!$Q$3,'IN-NX'!$D$7=D2343,OR(LEFT(L2343,2)="15",AND(LEFT(M2343,2)&lt;&gt;"15",LEFT(M2343,2)&lt;&gt;"33"))),"x","")</f>
        <v/>
      </c>
      <c r="Y2343" s="39" t="str">
        <f>IF(AND(OR(LEFT(TH!L2343,2)="15",LEFT(TH!M2343,2)="15"),'152-CT'!$J$8=TH!F2343),"x","")</f>
        <v/>
      </c>
      <c r="Z2343" s="39" t="str">
        <f>IF(AND(OR(LEFT(TH!L2343,2)="15",LEFT(TH!M2343,2)="15"),TK!$E$7=TH!F2343),"x","")</f>
        <v/>
      </c>
      <c r="AA2343" s="39" t="str">
        <f>IF(AND(B2343&lt;=NKC!$N$8,B2343&gt;=NKC!$M$8),"x","")</f>
        <v/>
      </c>
      <c r="AB2343" s="821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108"/>
        <v/>
      </c>
      <c r="C2344" s="191"/>
      <c r="D2344" s="37"/>
      <c r="E2344" s="729"/>
      <c r="F2344" s="40"/>
      <c r="G2344" s="40"/>
      <c r="H2344" s="7"/>
      <c r="I2344" s="256"/>
      <c r="J2344" s="256"/>
      <c r="K2344" s="56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902" t="str">
        <f>IF(AND('341-CT'!$E$9=H2344,OR(LEFT(L2344,3)=$O$7,LEFT(M2344,3)=$O$7)),"x","")</f>
        <v/>
      </c>
      <c r="P2344" s="39" t="str">
        <f>IF(AND($B2344&gt;='111'!$N$11,$B2344&lt;='111'!$O$11,OR($L2344=$P$7,$M2344=$P$7)),"x","")</f>
        <v/>
      </c>
      <c r="Q2344" s="39" t="str">
        <f>IF(AND($L2344=$P$7,$B2344&lt;'111'!$N$11),"x","")</f>
        <v/>
      </c>
      <c r="R2344" s="39" t="str">
        <f>IF(AND($M2344=$P$7,$B2344&lt;'111'!$N$11),"x","")</f>
        <v/>
      </c>
      <c r="S2344" s="39" t="str">
        <f>IF(ISERROR(FIND('112'!$M$9,G2344,1)),"",IF((AND(FIND('112'!$M$9,G2344,1)&gt;=1,$B2344&gt;='112'!$N$8,$B2344&lt;='112'!$O$8,OR($L2344='112'!$I$6,$M2344='112'!$I$6))),"x",""))</f>
        <v/>
      </c>
      <c r="T2344" s="39" t="str">
        <f>IF(ISERROR(FIND('112'!$M$9,G2344,1)),"",IF((AND(LEFT(G2344,2)=LEFT('112'!$M$9,2),B2344&lt;'112'!$N$8,$L2344='112'!$I$6)),"x",""))</f>
        <v/>
      </c>
      <c r="U2344" s="39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39" t="str">
        <f>IF(OR(TH!L2344=TH!$W$7,M2344=TH!$W$7),"x","")</f>
        <v/>
      </c>
      <c r="X2344" s="39" t="str">
        <f>IF(AND(B2344&gt;='IN-NX'!$P$3,B2344&lt;='IN-NX'!$Q$3,'IN-NX'!$D$7=D2344,OR(LEFT(L2344,2)="15",AND(LEFT(M2344,2)&lt;&gt;"15",LEFT(M2344,2)&lt;&gt;"33"))),"x","")</f>
        <v/>
      </c>
      <c r="Y2344" s="39" t="str">
        <f>IF(AND(OR(LEFT(TH!L2344,2)="15",LEFT(TH!M2344,2)="15"),'152-CT'!$J$8=TH!F2344),"x","")</f>
        <v/>
      </c>
      <c r="Z2344" s="39" t="str">
        <f>IF(AND(OR(LEFT(TH!L2344,2)="15",LEFT(TH!M2344,2)="15"),TK!$E$7=TH!F2344),"x","")</f>
        <v/>
      </c>
      <c r="AA2344" s="39" t="str">
        <f>IF(AND(B2344&lt;=NKC!$N$8,B2344&gt;=NKC!$M$8),"x","")</f>
        <v/>
      </c>
      <c r="AB2344" s="821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108"/>
        <v/>
      </c>
      <c r="C2345" s="191"/>
      <c r="D2345" s="37"/>
      <c r="E2345" s="729"/>
      <c r="F2345" s="40"/>
      <c r="G2345" s="40"/>
      <c r="H2345" s="7"/>
      <c r="I2345" s="256"/>
      <c r="J2345" s="256"/>
      <c r="K2345" s="56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902" t="str">
        <f>IF(AND('341-CT'!$E$9=H2345,OR(LEFT(L2345,3)=$O$7,LEFT(M2345,3)=$O$7)),"x","")</f>
        <v/>
      </c>
      <c r="P2345" s="39" t="str">
        <f>IF(AND($B2345&gt;='111'!$N$11,$B2345&lt;='111'!$O$11,OR($L2345=$P$7,$M2345=$P$7)),"x","")</f>
        <v/>
      </c>
      <c r="Q2345" s="39" t="str">
        <f>IF(AND($L2345=$P$7,$B2345&lt;'111'!$N$11),"x","")</f>
        <v/>
      </c>
      <c r="R2345" s="39" t="str">
        <f>IF(AND($M2345=$P$7,$B2345&lt;'111'!$N$11),"x","")</f>
        <v/>
      </c>
      <c r="S2345" s="39" t="str">
        <f>IF(ISERROR(FIND('112'!$M$9,G2345,1)),"",IF((AND(FIND('112'!$M$9,G2345,1)&gt;=1,$B2345&gt;='112'!$N$8,$B2345&lt;='112'!$O$8,OR($L2345='112'!$I$6,$M2345='112'!$I$6))),"x",""))</f>
        <v/>
      </c>
      <c r="T2345" s="39" t="str">
        <f>IF(ISERROR(FIND('112'!$M$9,G2345,1)),"",IF((AND(LEFT(G2345,2)=LEFT('112'!$M$9,2),B2345&lt;'112'!$N$8,$L2345='112'!$I$6)),"x",""))</f>
        <v/>
      </c>
      <c r="U2345" s="39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39" t="str">
        <f>IF(OR(TH!L2345=TH!$W$7,M2345=TH!$W$7),"x","")</f>
        <v/>
      </c>
      <c r="X2345" s="39" t="str">
        <f>IF(AND(B2345&gt;='IN-NX'!$P$3,B2345&lt;='IN-NX'!$Q$3,'IN-NX'!$D$7=D2345,OR(LEFT(L2345,2)="15",AND(LEFT(M2345,2)&lt;&gt;"15",LEFT(M2345,2)&lt;&gt;"33"))),"x","")</f>
        <v/>
      </c>
      <c r="Y2345" s="39" t="str">
        <f>IF(AND(OR(LEFT(TH!L2345,2)="15",LEFT(TH!M2345,2)="15"),'152-CT'!$J$8=TH!F2345),"x","")</f>
        <v/>
      </c>
      <c r="Z2345" s="39" t="str">
        <f>IF(AND(OR(LEFT(TH!L2345,2)="15",LEFT(TH!M2345,2)="15"),TK!$E$7=TH!F2345),"x","")</f>
        <v/>
      </c>
      <c r="AA2345" s="39" t="str">
        <f>IF(AND(B2345&lt;=NKC!$N$8,B2345&gt;=NKC!$M$8),"x","")</f>
        <v/>
      </c>
      <c r="AB2345" s="821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108"/>
        <v/>
      </c>
      <c r="C2346" s="191"/>
      <c r="D2346" s="37"/>
      <c r="E2346" s="729"/>
      <c r="F2346" s="40"/>
      <c r="G2346" s="40"/>
      <c r="H2346" s="7"/>
      <c r="I2346" s="256"/>
      <c r="J2346" s="256"/>
      <c r="K2346" s="56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902" t="str">
        <f>IF(AND('341-CT'!$E$9=H2346,OR(LEFT(L2346,3)=$O$7,LEFT(M2346,3)=$O$7)),"x","")</f>
        <v/>
      </c>
      <c r="P2346" s="39" t="str">
        <f>IF(AND($B2346&gt;='111'!$N$11,$B2346&lt;='111'!$O$11,OR($L2346=$P$7,$M2346=$P$7)),"x","")</f>
        <v/>
      </c>
      <c r="Q2346" s="39" t="str">
        <f>IF(AND($L2346=$P$7,$B2346&lt;'111'!$N$11),"x","")</f>
        <v/>
      </c>
      <c r="R2346" s="39" t="str">
        <f>IF(AND($M2346=$P$7,$B2346&lt;'111'!$N$11),"x","")</f>
        <v/>
      </c>
      <c r="S2346" s="39" t="str">
        <f>IF(ISERROR(FIND('112'!$M$9,G2346,1)),"",IF((AND(FIND('112'!$M$9,G2346,1)&gt;=1,$B2346&gt;='112'!$N$8,$B2346&lt;='112'!$O$8,OR($L2346='112'!$I$6,$M2346='112'!$I$6))),"x",""))</f>
        <v/>
      </c>
      <c r="T2346" s="39" t="str">
        <f>IF(ISERROR(FIND('112'!$M$9,G2346,1)),"",IF((AND(LEFT(G2346,2)=LEFT('112'!$M$9,2),B2346&lt;'112'!$N$8,$L2346='112'!$I$6)),"x",""))</f>
        <v/>
      </c>
      <c r="U2346" s="39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39" t="str">
        <f>IF(OR(TH!L2346=TH!$W$7,M2346=TH!$W$7),"x","")</f>
        <v/>
      </c>
      <c r="X2346" s="39" t="str">
        <f>IF(AND(B2346&gt;='IN-NX'!$P$3,B2346&lt;='IN-NX'!$Q$3,'IN-NX'!$D$7=D2346,OR(LEFT(L2346,2)="15",AND(LEFT(M2346,2)&lt;&gt;"15",LEFT(M2346,2)&lt;&gt;"33"))),"x","")</f>
        <v/>
      </c>
      <c r="Y2346" s="39" t="str">
        <f>IF(AND(OR(LEFT(TH!L2346,2)="15",LEFT(TH!M2346,2)="15"),'152-CT'!$J$8=TH!F2346),"x","")</f>
        <v/>
      </c>
      <c r="Z2346" s="39" t="str">
        <f>IF(AND(OR(LEFT(TH!L2346,2)="15",LEFT(TH!M2346,2)="15"),TK!$E$7=TH!F2346),"x","")</f>
        <v/>
      </c>
      <c r="AA2346" s="39" t="str">
        <f>IF(AND(B2346&lt;=NKC!$N$8,B2346&gt;=NKC!$M$8),"x","")</f>
        <v/>
      </c>
      <c r="AB2346" s="821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108"/>
        <v/>
      </c>
      <c r="C2347" s="191"/>
      <c r="D2347" s="37"/>
      <c r="E2347" s="729"/>
      <c r="F2347" s="40"/>
      <c r="G2347" s="40"/>
      <c r="H2347" s="7"/>
      <c r="I2347" s="256"/>
      <c r="J2347" s="256"/>
      <c r="K2347" s="56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902" t="str">
        <f>IF(AND('341-CT'!$E$9=H2347,OR(LEFT(L2347,3)=$O$7,LEFT(M2347,3)=$O$7)),"x","")</f>
        <v/>
      </c>
      <c r="P2347" s="39" t="str">
        <f>IF(AND($B2347&gt;='111'!$N$11,$B2347&lt;='111'!$O$11,OR($L2347=$P$7,$M2347=$P$7)),"x","")</f>
        <v/>
      </c>
      <c r="Q2347" s="39" t="str">
        <f>IF(AND($L2347=$P$7,$B2347&lt;'111'!$N$11),"x","")</f>
        <v/>
      </c>
      <c r="R2347" s="39" t="str">
        <f>IF(AND($M2347=$P$7,$B2347&lt;'111'!$N$11),"x","")</f>
        <v/>
      </c>
      <c r="S2347" s="39" t="str">
        <f>IF(ISERROR(FIND('112'!$M$9,G2347,1)),"",IF((AND(FIND('112'!$M$9,G2347,1)&gt;=1,$B2347&gt;='112'!$N$8,$B2347&lt;='112'!$O$8,OR($L2347='112'!$I$6,$M2347='112'!$I$6))),"x",""))</f>
        <v/>
      </c>
      <c r="T2347" s="39" t="str">
        <f>IF(ISERROR(FIND('112'!$M$9,G2347,1)),"",IF((AND(LEFT(G2347,2)=LEFT('112'!$M$9,2),B2347&lt;'112'!$N$8,$L2347='112'!$I$6)),"x",""))</f>
        <v/>
      </c>
      <c r="U2347" s="39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39" t="str">
        <f>IF(OR(TH!L2347=TH!$W$7,M2347=TH!$W$7),"x","")</f>
        <v/>
      </c>
      <c r="X2347" s="39" t="str">
        <f>IF(AND(B2347&gt;='IN-NX'!$P$3,B2347&lt;='IN-NX'!$Q$3,'IN-NX'!$D$7=D2347,OR(LEFT(L2347,2)="15",AND(LEFT(M2347,2)&lt;&gt;"15",LEFT(M2347,2)&lt;&gt;"33"))),"x","")</f>
        <v/>
      </c>
      <c r="Y2347" s="39" t="str">
        <f>IF(AND(OR(LEFT(TH!L2347,2)="15",LEFT(TH!M2347,2)="15"),'152-CT'!$J$8=TH!F2347),"x","")</f>
        <v/>
      </c>
      <c r="Z2347" s="39" t="str">
        <f>IF(AND(OR(LEFT(TH!L2347,2)="15",LEFT(TH!M2347,2)="15"),TK!$E$7=TH!F2347),"x","")</f>
        <v/>
      </c>
      <c r="AA2347" s="39" t="str">
        <f>IF(AND(B2347&lt;=NKC!$N$8,B2347&gt;=NKC!$M$8),"x","")</f>
        <v/>
      </c>
      <c r="AB2347" s="821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108"/>
        <v/>
      </c>
      <c r="C2348" s="191"/>
      <c r="D2348" s="37"/>
      <c r="E2348" s="729"/>
      <c r="F2348" s="40"/>
      <c r="G2348" s="40"/>
      <c r="H2348" s="7"/>
      <c r="I2348" s="256"/>
      <c r="J2348" s="256"/>
      <c r="K2348" s="56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902" t="str">
        <f>IF(AND('341-CT'!$E$9=H2348,OR(LEFT(L2348,3)=$O$7,LEFT(M2348,3)=$O$7)),"x","")</f>
        <v/>
      </c>
      <c r="P2348" s="39" t="str">
        <f>IF(AND($B2348&gt;='111'!$N$11,$B2348&lt;='111'!$O$11,OR($L2348=$P$7,$M2348=$P$7)),"x","")</f>
        <v/>
      </c>
      <c r="Q2348" s="39" t="str">
        <f>IF(AND($L2348=$P$7,$B2348&lt;'111'!$N$11),"x","")</f>
        <v/>
      </c>
      <c r="R2348" s="39" t="str">
        <f>IF(AND($M2348=$P$7,$B2348&lt;'111'!$N$11),"x","")</f>
        <v/>
      </c>
      <c r="S2348" s="39" t="str">
        <f>IF(ISERROR(FIND('112'!$M$9,G2348,1)),"",IF((AND(FIND('112'!$M$9,G2348,1)&gt;=1,$B2348&gt;='112'!$N$8,$B2348&lt;='112'!$O$8,OR($L2348='112'!$I$6,$M2348='112'!$I$6))),"x",""))</f>
        <v/>
      </c>
      <c r="T2348" s="39" t="str">
        <f>IF(ISERROR(FIND('112'!$M$9,G2348,1)),"",IF((AND(LEFT(G2348,2)=LEFT('112'!$M$9,2),B2348&lt;'112'!$N$8,$L2348='112'!$I$6)),"x",""))</f>
        <v/>
      </c>
      <c r="U2348" s="39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39" t="str">
        <f>IF(OR(TH!L2348=TH!$W$7,M2348=TH!$W$7),"x","")</f>
        <v/>
      </c>
      <c r="X2348" s="39" t="str">
        <f>IF(AND(B2348&gt;='IN-NX'!$P$3,B2348&lt;='IN-NX'!$Q$3,'IN-NX'!$D$7=D2348,OR(LEFT(L2348,2)="15",AND(LEFT(M2348,2)&lt;&gt;"15",LEFT(M2348,2)&lt;&gt;"33"))),"x","")</f>
        <v/>
      </c>
      <c r="Y2348" s="39" t="str">
        <f>IF(AND(OR(LEFT(TH!L2348,2)="15",LEFT(TH!M2348,2)="15"),'152-CT'!$J$8=TH!F2348),"x","")</f>
        <v/>
      </c>
      <c r="Z2348" s="39" t="str">
        <f>IF(AND(OR(LEFT(TH!L2348,2)="15",LEFT(TH!M2348,2)="15"),TK!$E$7=TH!F2348),"x","")</f>
        <v/>
      </c>
      <c r="AA2348" s="39" t="str">
        <f>IF(AND(B2348&lt;=NKC!$N$8,B2348&gt;=NKC!$M$8),"x","")</f>
        <v/>
      </c>
      <c r="AB2348" s="821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108"/>
        <v/>
      </c>
      <c r="C2349" s="191"/>
      <c r="D2349" s="37"/>
      <c r="E2349" s="729"/>
      <c r="F2349" s="192"/>
      <c r="G2349" s="468"/>
      <c r="H2349" s="193"/>
      <c r="I2349" s="256"/>
      <c r="J2349" s="256"/>
      <c r="K2349" s="56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902" t="str">
        <f>IF(AND('341-CT'!$E$9=H2349,OR(LEFT(L2349,3)=$O$7,LEFT(M2349,3)=$O$7)),"x","")</f>
        <v/>
      </c>
      <c r="P2349" s="39" t="str">
        <f>IF(AND($B2349&gt;='111'!$N$11,$B2349&lt;='111'!$O$11,OR($L2349=$P$7,$M2349=$P$7)),"x","")</f>
        <v/>
      </c>
      <c r="Q2349" s="39" t="str">
        <f>IF(AND($L2349=$P$7,$B2349&lt;'111'!$N$11),"x","")</f>
        <v/>
      </c>
      <c r="R2349" s="39" t="str">
        <f>IF(AND($M2349=$P$7,$B2349&lt;'111'!$N$11),"x","")</f>
        <v/>
      </c>
      <c r="S2349" s="39" t="str">
        <f>IF(ISERROR(FIND('112'!$M$9,G2349,1)),"",IF((AND(FIND('112'!$M$9,G2349,1)&gt;=1,$B2349&gt;='112'!$N$8,$B2349&lt;='112'!$O$8,OR($L2349='112'!$I$6,$M2349='112'!$I$6))),"x",""))</f>
        <v/>
      </c>
      <c r="T2349" s="39" t="str">
        <f>IF(ISERROR(FIND('112'!$M$9,G2349,1)),"",IF((AND(LEFT(G2349,2)=LEFT('112'!$M$9,2),B2349&lt;'112'!$N$8,$L2349='112'!$I$6)),"x",""))</f>
        <v/>
      </c>
      <c r="U2349" s="39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39" t="str">
        <f>IF(OR(TH!L2349=TH!$W$7,M2349=TH!$W$7),"x","")</f>
        <v/>
      </c>
      <c r="X2349" s="39" t="str">
        <f>IF(AND(B2349&gt;='IN-NX'!$P$3,B2349&lt;='IN-NX'!$Q$3,'IN-NX'!$D$7=D2349,OR(LEFT(L2349,2)="15",AND(LEFT(M2349,2)&lt;&gt;"15",LEFT(M2349,2)&lt;&gt;"33"))),"x","")</f>
        <v/>
      </c>
      <c r="Y2349" s="39" t="str">
        <f>IF(AND(OR(LEFT(TH!L2349,2)="15",LEFT(TH!M2349,2)="15"),'152-CT'!$J$8=TH!F2349),"x","")</f>
        <v/>
      </c>
      <c r="Z2349" s="39" t="str">
        <f>IF(AND(OR(LEFT(TH!L2349,2)="15",LEFT(TH!M2349,2)="15"),TK!$E$7=TH!F2349),"x","")</f>
        <v/>
      </c>
      <c r="AA2349" s="39" t="str">
        <f>IF(AND(B2349&lt;=NKC!$N$8,B2349&gt;=NKC!$M$8),"x","")</f>
        <v/>
      </c>
      <c r="AB2349" s="821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108"/>
        <v/>
      </c>
      <c r="C2350" s="191"/>
      <c r="D2350" s="37"/>
      <c r="E2350" s="729"/>
      <c r="F2350" s="192"/>
      <c r="G2350" s="468"/>
      <c r="H2350" s="193"/>
      <c r="I2350" s="256"/>
      <c r="J2350" s="256"/>
      <c r="K2350" s="56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902" t="str">
        <f>IF(AND('341-CT'!$E$9=H2350,OR(LEFT(L2350,3)=$O$7,LEFT(M2350,3)=$O$7)),"x","")</f>
        <v/>
      </c>
      <c r="P2350" s="39" t="str">
        <f>IF(AND($B2350&gt;='111'!$N$11,$B2350&lt;='111'!$O$11,OR($L2350=$P$7,$M2350=$P$7)),"x","")</f>
        <v/>
      </c>
      <c r="Q2350" s="39" t="str">
        <f>IF(AND($L2350=$P$7,$B2350&lt;'111'!$N$11),"x","")</f>
        <v/>
      </c>
      <c r="R2350" s="39" t="str">
        <f>IF(AND($M2350=$P$7,$B2350&lt;'111'!$N$11),"x","")</f>
        <v/>
      </c>
      <c r="S2350" s="39" t="str">
        <f>IF(ISERROR(FIND('112'!$M$9,G2350,1)),"",IF((AND(FIND('112'!$M$9,G2350,1)&gt;=1,$B2350&gt;='112'!$N$8,$B2350&lt;='112'!$O$8,OR($L2350='112'!$I$6,$M2350='112'!$I$6))),"x",""))</f>
        <v/>
      </c>
      <c r="T2350" s="39" t="str">
        <f>IF(ISERROR(FIND('112'!$M$9,G2350,1)),"",IF((AND(LEFT(G2350,2)=LEFT('112'!$M$9,2),B2350&lt;'112'!$N$8,$L2350='112'!$I$6)),"x",""))</f>
        <v/>
      </c>
      <c r="U2350" s="39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39" t="str">
        <f>IF(OR(TH!L2350=TH!$W$7,M2350=TH!$W$7),"x","")</f>
        <v/>
      </c>
      <c r="X2350" s="39" t="str">
        <f>IF(AND(B2350&gt;='IN-NX'!$P$3,B2350&lt;='IN-NX'!$Q$3,'IN-NX'!$D$7=D2350,OR(LEFT(L2350,2)="15",AND(LEFT(M2350,2)&lt;&gt;"15",LEFT(M2350,2)&lt;&gt;"33"))),"x","")</f>
        <v/>
      </c>
      <c r="Y2350" s="39" t="str">
        <f>IF(AND(OR(LEFT(TH!L2350,2)="15",LEFT(TH!M2350,2)="15"),'152-CT'!$J$8=TH!F2350),"x","")</f>
        <v/>
      </c>
      <c r="Z2350" s="39" t="str">
        <f>IF(AND(OR(LEFT(TH!L2350,2)="15",LEFT(TH!M2350,2)="15"),TK!$E$7=TH!F2350),"x","")</f>
        <v/>
      </c>
      <c r="AA2350" s="39" t="str">
        <f>IF(AND(B2350&lt;=NKC!$N$8,B2350&gt;=NKC!$M$8),"x","")</f>
        <v/>
      </c>
      <c r="AB2350" s="821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108"/>
        <v/>
      </c>
      <c r="C2351" s="191"/>
      <c r="D2351" s="37"/>
      <c r="E2351" s="729"/>
      <c r="F2351" s="192"/>
      <c r="G2351" s="468"/>
      <c r="H2351" s="193"/>
      <c r="I2351" s="256"/>
      <c r="J2351" s="256"/>
      <c r="K2351" s="56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902" t="str">
        <f>IF(AND('341-CT'!$E$9=H2351,OR(LEFT(L2351,3)=$O$7,LEFT(M2351,3)=$O$7)),"x","")</f>
        <v/>
      </c>
      <c r="P2351" s="39" t="str">
        <f>IF(AND($B2351&gt;='111'!$N$11,$B2351&lt;='111'!$O$11,OR($L2351=$P$7,$M2351=$P$7)),"x","")</f>
        <v/>
      </c>
      <c r="Q2351" s="39" t="str">
        <f>IF(AND($L2351=$P$7,$B2351&lt;'111'!$N$11),"x","")</f>
        <v/>
      </c>
      <c r="R2351" s="39" t="str">
        <f>IF(AND($M2351=$P$7,$B2351&lt;'111'!$N$11),"x","")</f>
        <v/>
      </c>
      <c r="S2351" s="39" t="str">
        <f>IF(ISERROR(FIND('112'!$M$9,G2351,1)),"",IF((AND(FIND('112'!$M$9,G2351,1)&gt;=1,$B2351&gt;='112'!$N$8,$B2351&lt;='112'!$O$8,OR($L2351='112'!$I$6,$M2351='112'!$I$6))),"x",""))</f>
        <v/>
      </c>
      <c r="T2351" s="39" t="str">
        <f>IF(ISERROR(FIND('112'!$M$9,G2351,1)),"",IF((AND(LEFT(G2351,2)=LEFT('112'!$M$9,2),B2351&lt;'112'!$N$8,$L2351='112'!$I$6)),"x",""))</f>
        <v/>
      </c>
      <c r="U2351" s="39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39" t="str">
        <f>IF(OR(TH!L2351=TH!$W$7,M2351=TH!$W$7),"x","")</f>
        <v/>
      </c>
      <c r="X2351" s="39" t="str">
        <f>IF(AND(B2351&gt;='IN-NX'!$P$3,B2351&lt;='IN-NX'!$Q$3,'IN-NX'!$D$7=D2351,OR(LEFT(L2351,2)="15",AND(LEFT(M2351,2)&lt;&gt;"15",LEFT(M2351,2)&lt;&gt;"33"))),"x","")</f>
        <v/>
      </c>
      <c r="Y2351" s="39" t="str">
        <f>IF(AND(OR(LEFT(TH!L2351,2)="15",LEFT(TH!M2351,2)="15"),'152-CT'!$J$8=TH!F2351),"x","")</f>
        <v/>
      </c>
      <c r="Z2351" s="39" t="str">
        <f>IF(AND(OR(LEFT(TH!L2351,2)="15",LEFT(TH!M2351,2)="15"),TK!$E$7=TH!F2351),"x","")</f>
        <v/>
      </c>
      <c r="AA2351" s="39" t="str">
        <f>IF(AND(B2351&lt;=NKC!$N$8,B2351&gt;=NKC!$M$8),"x","")</f>
        <v/>
      </c>
      <c r="AB2351" s="821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108"/>
        <v/>
      </c>
      <c r="C2352" s="191"/>
      <c r="D2352" s="37"/>
      <c r="E2352" s="729"/>
      <c r="F2352" s="192"/>
      <c r="G2352" s="468"/>
      <c r="H2352" s="193"/>
      <c r="I2352" s="256"/>
      <c r="J2352" s="256"/>
      <c r="K2352" s="56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902" t="str">
        <f>IF(AND('341-CT'!$E$9=H2352,OR(LEFT(L2352,3)=$O$7,LEFT(M2352,3)=$O$7)),"x","")</f>
        <v/>
      </c>
      <c r="P2352" s="39" t="str">
        <f>IF(AND($B2352&gt;='111'!$N$11,$B2352&lt;='111'!$O$11,OR($L2352=$P$7,$M2352=$P$7)),"x","")</f>
        <v/>
      </c>
      <c r="Q2352" s="39" t="str">
        <f>IF(AND($L2352=$P$7,$B2352&lt;'111'!$N$11),"x","")</f>
        <v/>
      </c>
      <c r="R2352" s="39" t="str">
        <f>IF(AND($M2352=$P$7,$B2352&lt;'111'!$N$11),"x","")</f>
        <v/>
      </c>
      <c r="S2352" s="39" t="str">
        <f>IF(ISERROR(FIND('112'!$M$9,G2352,1)),"",IF((AND(FIND('112'!$M$9,G2352,1)&gt;=1,$B2352&gt;='112'!$N$8,$B2352&lt;='112'!$O$8,OR($L2352='112'!$I$6,$M2352='112'!$I$6))),"x",""))</f>
        <v/>
      </c>
      <c r="T2352" s="39" t="str">
        <f>IF(ISERROR(FIND('112'!$M$9,G2352,1)),"",IF((AND(LEFT(G2352,2)=LEFT('112'!$M$9,2),B2352&lt;'112'!$N$8,$L2352='112'!$I$6)),"x",""))</f>
        <v/>
      </c>
      <c r="U2352" s="39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39" t="str">
        <f>IF(OR(TH!L2352=TH!$W$7,M2352=TH!$W$7),"x","")</f>
        <v/>
      </c>
      <c r="X2352" s="39" t="str">
        <f>IF(AND(B2352&gt;='IN-NX'!$P$3,B2352&lt;='IN-NX'!$Q$3,'IN-NX'!$D$7=D2352,OR(LEFT(L2352,2)="15",AND(LEFT(M2352,2)&lt;&gt;"15",LEFT(M2352,2)&lt;&gt;"33"))),"x","")</f>
        <v/>
      </c>
      <c r="Y2352" s="39" t="str">
        <f>IF(AND(OR(LEFT(TH!L2352,2)="15",LEFT(TH!M2352,2)="15"),'152-CT'!$J$8=TH!F2352),"x","")</f>
        <v/>
      </c>
      <c r="Z2352" s="39" t="str">
        <f>IF(AND(OR(LEFT(TH!L2352,2)="15",LEFT(TH!M2352,2)="15"),TK!$E$7=TH!F2352),"x","")</f>
        <v/>
      </c>
      <c r="AA2352" s="39" t="str">
        <f>IF(AND(B2352&lt;=NKC!$N$8,B2352&gt;=NKC!$M$8),"x","")</f>
        <v/>
      </c>
      <c r="AB2352" s="821"/>
    </row>
    <row r="2353" spans="1:28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108"/>
        <v/>
      </c>
      <c r="C2353" s="191"/>
      <c r="D2353" s="37"/>
      <c r="E2353" s="729"/>
      <c r="F2353" s="192"/>
      <c r="G2353" s="468"/>
      <c r="H2353" s="193"/>
      <c r="I2353" s="256"/>
      <c r="J2353" s="256"/>
      <c r="K2353" s="56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902" t="str">
        <f>IF(AND('341-CT'!$E$9=H2353,OR(LEFT(L2353,3)=$O$7,LEFT(M2353,3)=$O$7)),"x","")</f>
        <v/>
      </c>
      <c r="P2353" s="39" t="str">
        <f>IF(AND($B2353&gt;='111'!$N$11,$B2353&lt;='111'!$O$11,OR($L2353=$P$7,$M2353=$P$7)),"x","")</f>
        <v/>
      </c>
      <c r="Q2353" s="39" t="str">
        <f>IF(AND($L2353=$P$7,$B2353&lt;'111'!$N$11),"x","")</f>
        <v/>
      </c>
      <c r="R2353" s="39" t="str">
        <f>IF(AND($M2353=$P$7,$B2353&lt;'111'!$N$11),"x","")</f>
        <v/>
      </c>
      <c r="S2353" s="39" t="str">
        <f>IF(ISERROR(FIND('112'!$M$9,G2353,1)),"",IF((AND(FIND('112'!$M$9,G2353,1)&gt;=1,$B2353&gt;='112'!$N$8,$B2353&lt;='112'!$O$8,OR($L2353='112'!$I$6,$M2353='112'!$I$6))),"x",""))</f>
        <v/>
      </c>
      <c r="T2353" s="39" t="str">
        <f>IF(ISERROR(FIND('112'!$M$9,G2353,1)),"",IF((AND(LEFT(G2353,2)=LEFT('112'!$M$9,2),B2353&lt;'112'!$N$8,$L2353='112'!$I$6)),"x",""))</f>
        <v/>
      </c>
      <c r="U2353" s="39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39" t="str">
        <f>IF(OR(TH!L2353=TH!$W$7,M2353=TH!$W$7),"x","")</f>
        <v/>
      </c>
      <c r="X2353" s="39" t="str">
        <f>IF(AND(B2353&gt;='IN-NX'!$P$3,B2353&lt;='IN-NX'!$Q$3,'IN-NX'!$D$7=D2353,OR(LEFT(L2353,2)="15",AND(LEFT(M2353,2)&lt;&gt;"15",LEFT(M2353,2)&lt;&gt;"33"))),"x","")</f>
        <v/>
      </c>
      <c r="Y2353" s="39" t="str">
        <f>IF(AND(OR(LEFT(TH!L2353,2)="15",LEFT(TH!M2353,2)="15"),'152-CT'!$J$8=TH!F2353),"x","")</f>
        <v/>
      </c>
      <c r="Z2353" s="39" t="str">
        <f>IF(AND(OR(LEFT(TH!L2353,2)="15",LEFT(TH!M2353,2)="15"),TK!$E$7=TH!F2353),"x","")</f>
        <v/>
      </c>
      <c r="AA2353" s="39" t="str">
        <f>IF(AND(B2353&lt;=NKC!$N$8,B2353&gt;=NKC!$M$8),"x","")</f>
        <v/>
      </c>
      <c r="AB2353" s="821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108"/>
        <v/>
      </c>
      <c r="C2354" s="191"/>
      <c r="D2354" s="37"/>
      <c r="E2354" s="729"/>
      <c r="F2354" s="192"/>
      <c r="G2354" s="468"/>
      <c r="H2354" s="193"/>
      <c r="I2354" s="256"/>
      <c r="J2354" s="256"/>
      <c r="K2354" s="568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902" t="str">
        <f>IF(AND('341-CT'!$E$9=H2354,OR(LEFT(L2354,3)=$O$7,LEFT(M2354,3)=$O$7)),"x","")</f>
        <v/>
      </c>
      <c r="P2354" s="39" t="str">
        <f>IF(AND($B2354&gt;='111'!$N$11,$B2354&lt;='111'!$O$11,OR($L2354=$P$7,$M2354=$P$7)),"x","")</f>
        <v/>
      </c>
      <c r="Q2354" s="39" t="str">
        <f>IF(AND($L2354=$P$7,$B2354&lt;'111'!$N$11),"x","")</f>
        <v/>
      </c>
      <c r="R2354" s="39" t="str">
        <f>IF(AND($M2354=$P$7,$B2354&lt;'111'!$N$11),"x","")</f>
        <v/>
      </c>
      <c r="S2354" s="39" t="str">
        <f>IF(ISERROR(FIND('112'!$M$9,G2354,1)),"",IF((AND(FIND('112'!$M$9,G2354,1)&gt;=1,$B2354&gt;='112'!$N$8,$B2354&lt;='112'!$O$8,OR($L2354='112'!$I$6,$M2354='112'!$I$6))),"x",""))</f>
        <v/>
      </c>
      <c r="T2354" s="39" t="str">
        <f>IF(ISERROR(FIND('112'!$M$9,G2354,1)),"",IF((AND(LEFT(G2354,2)=LEFT('112'!$M$9,2),B2354&lt;'112'!$N$8,$L2354='112'!$I$6)),"x",""))</f>
        <v/>
      </c>
      <c r="U2354" s="39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39" t="str">
        <f>IF(OR(TH!L2354=TH!$W$7,M2354=TH!$W$7),"x","")</f>
        <v/>
      </c>
      <c r="X2354" s="39" t="str">
        <f>IF(AND(B2354&gt;='IN-NX'!$P$3,B2354&lt;='IN-NX'!$Q$3,'IN-NX'!$D$7=D2354,OR(LEFT(L2354,2)="15",AND(LEFT(M2354,2)&lt;&gt;"15",LEFT(M2354,2)&lt;&gt;"33"))),"x","")</f>
        <v/>
      </c>
      <c r="Y2354" s="39" t="str">
        <f>IF(AND(OR(LEFT(TH!L2354,2)="15",LEFT(TH!M2354,2)="15"),'152-CT'!$J$8=TH!F2354),"x","")</f>
        <v/>
      </c>
      <c r="Z2354" s="39" t="str">
        <f>IF(AND(OR(LEFT(TH!L2354,2)="15",LEFT(TH!M2354,2)="15"),TK!$E$7=TH!F2354),"x","")</f>
        <v/>
      </c>
      <c r="AA2354" s="39" t="str">
        <f>IF(AND(B2354&lt;=NKC!$N$8,B2354&gt;=NKC!$M$8),"x","")</f>
        <v/>
      </c>
      <c r="AB2354" s="821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108"/>
        <v/>
      </c>
      <c r="C2355" s="191"/>
      <c r="D2355" s="37"/>
      <c r="E2355" s="729"/>
      <c r="F2355" s="192"/>
      <c r="G2355" s="468"/>
      <c r="H2355" s="193"/>
      <c r="I2355" s="256"/>
      <c r="J2355" s="256"/>
      <c r="K2355" s="568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902" t="str">
        <f>IF(AND('341-CT'!$E$9=H2355,OR(LEFT(L2355,3)=$O$7,LEFT(M2355,3)=$O$7)),"x","")</f>
        <v/>
      </c>
      <c r="P2355" s="39" t="str">
        <f>IF(AND($B2355&gt;='111'!$N$11,$B2355&lt;='111'!$O$11,OR($L2355=$P$7,$M2355=$P$7)),"x","")</f>
        <v/>
      </c>
      <c r="Q2355" s="39" t="str">
        <f>IF(AND($L2355=$P$7,$B2355&lt;'111'!$N$11),"x","")</f>
        <v/>
      </c>
      <c r="R2355" s="39" t="str">
        <f>IF(AND($M2355=$P$7,$B2355&lt;'111'!$N$11),"x","")</f>
        <v/>
      </c>
      <c r="S2355" s="39" t="str">
        <f>IF(ISERROR(FIND('112'!$M$9,G2355,1)),"",IF((AND(FIND('112'!$M$9,G2355,1)&gt;=1,$B2355&gt;='112'!$N$8,$B2355&lt;='112'!$O$8,OR($L2355='112'!$I$6,$M2355='112'!$I$6))),"x",""))</f>
        <v/>
      </c>
      <c r="T2355" s="39" t="str">
        <f>IF(ISERROR(FIND('112'!$M$9,G2355,1)),"",IF((AND(LEFT(G2355,2)=LEFT('112'!$M$9,2),B2355&lt;'112'!$N$8,$L2355='112'!$I$6)),"x",""))</f>
        <v/>
      </c>
      <c r="U2355" s="39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39" t="str">
        <f>IF(OR(TH!L2355=TH!$W$7,M2355=TH!$W$7),"x","")</f>
        <v/>
      </c>
      <c r="X2355" s="39" t="str">
        <f>IF(AND(B2355&gt;='IN-NX'!$P$3,B2355&lt;='IN-NX'!$Q$3,'IN-NX'!$D$7=D2355,OR(LEFT(L2355,2)="15",AND(LEFT(M2355,2)&lt;&gt;"15",LEFT(M2355,2)&lt;&gt;"33"))),"x","")</f>
        <v/>
      </c>
      <c r="Y2355" s="39" t="str">
        <f>IF(AND(OR(LEFT(TH!L2355,2)="15",LEFT(TH!M2355,2)="15"),'152-CT'!$J$8=TH!F2355),"x","")</f>
        <v/>
      </c>
      <c r="Z2355" s="39" t="str">
        <f>IF(AND(OR(LEFT(TH!L2355,2)="15",LEFT(TH!M2355,2)="15"),TK!$E$7=TH!F2355),"x","")</f>
        <v/>
      </c>
      <c r="AA2355" s="39" t="str">
        <f>IF(AND(B2355&lt;=NKC!$N$8,B2355&gt;=NKC!$M$8),"x","")</f>
        <v/>
      </c>
      <c r="AB2355" s="821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108"/>
        <v/>
      </c>
      <c r="C2356" s="191"/>
      <c r="D2356" s="191"/>
      <c r="E2356" s="786"/>
      <c r="F2356" s="192"/>
      <c r="G2356" s="468"/>
      <c r="H2356" s="193"/>
      <c r="I2356" s="256"/>
      <c r="J2356" s="256"/>
      <c r="K2356" s="568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902" t="str">
        <f>IF(AND('341-CT'!$E$9=H2356,OR(LEFT(L2356,3)=$O$7,LEFT(M2356,3)=$O$7)),"x","")</f>
        <v/>
      </c>
      <c r="P2356" s="39" t="str">
        <f>IF(AND($B2356&gt;='111'!$N$11,$B2356&lt;='111'!$O$11,OR($L2356=$P$7,$M2356=$P$7)),"x","")</f>
        <v/>
      </c>
      <c r="Q2356" s="39" t="str">
        <f>IF(AND($L2356=$P$7,$B2356&lt;'111'!$N$11),"x","")</f>
        <v/>
      </c>
      <c r="R2356" s="39" t="str">
        <f>IF(AND($M2356=$P$7,$B2356&lt;'111'!$N$11),"x","")</f>
        <v/>
      </c>
      <c r="S2356" s="39" t="str">
        <f>IF(ISERROR(FIND('112'!$M$9,G2356,1)),"",IF((AND(FIND('112'!$M$9,G2356,1)&gt;=1,$B2356&gt;='112'!$N$8,$B2356&lt;='112'!$O$8,OR($L2356='112'!$I$6,$M2356='112'!$I$6))),"x",""))</f>
        <v/>
      </c>
      <c r="T2356" s="39" t="str">
        <f>IF(ISERROR(FIND('112'!$M$9,G2356,1)),"",IF((AND(LEFT(G2356,2)=LEFT('112'!$M$9,2),B2356&lt;'112'!$N$8,$L2356='112'!$I$6)),"x",""))</f>
        <v/>
      </c>
      <c r="U2356" s="39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39" t="str">
        <f>IF(OR(TH!L2356=TH!$W$7,M2356=TH!$W$7),"x","")</f>
        <v/>
      </c>
      <c r="X2356" s="39" t="str">
        <f>IF(AND(B2356&gt;='IN-NX'!$P$3,B2356&lt;='IN-NX'!$Q$3,'IN-NX'!$D$7=D2356,OR(LEFT(L2356,2)="15",AND(LEFT(M2356,2)&lt;&gt;"15",LEFT(M2356,2)&lt;&gt;"33"))),"x","")</f>
        <v/>
      </c>
      <c r="Y2356" s="39" t="str">
        <f>IF(AND(OR(LEFT(TH!L2356,2)="15",LEFT(TH!M2356,2)="15"),'152-CT'!$J$8=TH!F2356),"x","")</f>
        <v/>
      </c>
      <c r="Z2356" s="39" t="str">
        <f>IF(AND(OR(LEFT(TH!L2356,2)="15",LEFT(TH!M2356,2)="15"),TK!$E$7=TH!F2356),"x","")</f>
        <v/>
      </c>
      <c r="AA2356" s="39" t="str">
        <f>IF(AND(B2356&lt;=NKC!$N$8,B2356&gt;=NKC!$M$8),"x","")</f>
        <v/>
      </c>
      <c r="AB2356" s="821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108"/>
        <v/>
      </c>
      <c r="C2357" s="191"/>
      <c r="D2357" s="191"/>
      <c r="E2357" s="786"/>
      <c r="F2357" s="192"/>
      <c r="G2357" s="468"/>
      <c r="H2357" s="193"/>
      <c r="I2357" s="256"/>
      <c r="J2357" s="256"/>
      <c r="K2357" s="38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902" t="str">
        <f>IF(AND('341-CT'!$E$9=H2357,OR(LEFT(L2357,3)=$O$7,LEFT(M2357,3)=$O$7)),"x","")</f>
        <v/>
      </c>
      <c r="P2357" s="39" t="str">
        <f>IF(AND($B2357&gt;='111'!$N$11,$B2357&lt;='111'!$O$11,OR($L2357=$P$7,$M2357=$P$7)),"x","")</f>
        <v/>
      </c>
      <c r="Q2357" s="39" t="str">
        <f>IF(AND($L2357=$P$7,$B2357&lt;'111'!$N$11),"x","")</f>
        <v/>
      </c>
      <c r="R2357" s="39" t="str">
        <f>IF(AND($M2357=$P$7,$B2357&lt;'111'!$N$11),"x","")</f>
        <v/>
      </c>
      <c r="S2357" s="39" t="str">
        <f>IF(ISERROR(FIND('112'!$M$9,G2357,1)),"",IF((AND(FIND('112'!$M$9,G2357,1)&gt;=1,$B2357&gt;='112'!$N$8,$B2357&lt;='112'!$O$8,OR($L2357='112'!$I$6,$M2357='112'!$I$6))),"x",""))</f>
        <v/>
      </c>
      <c r="T2357" s="39" t="str">
        <f>IF(ISERROR(FIND('112'!$M$9,G2357,1)),"",IF((AND(LEFT(G2357,2)=LEFT('112'!$M$9,2),B2357&lt;'112'!$N$8,$L2357='112'!$I$6)),"x",""))</f>
        <v/>
      </c>
      <c r="U2357" s="39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39" t="str">
        <f>IF(OR(TH!L2357=TH!$W$7,M2357=TH!$W$7),"x","")</f>
        <v/>
      </c>
      <c r="X2357" s="39" t="str">
        <f>IF(AND(B2357&gt;='IN-NX'!$P$3,B2357&lt;='IN-NX'!$Q$3,'IN-NX'!$D$7=D2357,OR(LEFT(L2357,2)="15",AND(LEFT(M2357,2)&lt;&gt;"15",LEFT(M2357,2)&lt;&gt;"33"))),"x","")</f>
        <v/>
      </c>
      <c r="Y2357" s="39" t="str">
        <f>IF(AND(OR(LEFT(TH!L2357,2)="15",LEFT(TH!M2357,2)="15"),'152-CT'!$J$8=TH!F2357),"x","")</f>
        <v/>
      </c>
      <c r="Z2357" s="39" t="str">
        <f>IF(AND(OR(LEFT(TH!L2357,2)="15",LEFT(TH!M2357,2)="15"),TK!$E$7=TH!F2357),"x","")</f>
        <v/>
      </c>
      <c r="AA2357" s="39" t="str">
        <f>IF(AND(B2357&lt;=NKC!$N$8,B2357&gt;=NKC!$M$8),"x","")</f>
        <v/>
      </c>
      <c r="AB2357" s="821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108"/>
        <v/>
      </c>
      <c r="C2358" s="191"/>
      <c r="D2358" s="191"/>
      <c r="E2358" s="786"/>
      <c r="F2358" s="192"/>
      <c r="G2358" s="468"/>
      <c r="H2358" s="7"/>
      <c r="I2358" s="257"/>
      <c r="J2358" s="257"/>
      <c r="K2358" s="568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902" t="str">
        <f>IF(AND('341-CT'!$E$9=H2358,OR(LEFT(L2358,3)=$O$7,LEFT(M2358,3)=$O$7)),"x","")</f>
        <v/>
      </c>
      <c r="P2358" s="39" t="str">
        <f>IF(AND($B2358&gt;='111'!$N$11,$B2358&lt;='111'!$O$11,OR($L2358=$P$7,$M2358=$P$7)),"x","")</f>
        <v/>
      </c>
      <c r="Q2358" s="39" t="str">
        <f>IF(AND($L2358=$P$7,$B2358&lt;'111'!$N$11),"x","")</f>
        <v/>
      </c>
      <c r="R2358" s="39" t="str">
        <f>IF(AND($M2358=$P$7,$B2358&lt;'111'!$N$11),"x","")</f>
        <v/>
      </c>
      <c r="S2358" s="39" t="str">
        <f>IF(ISERROR(FIND('112'!$M$9,G2358,1)),"",IF((AND(FIND('112'!$M$9,G2358,1)&gt;=1,$B2358&gt;='112'!$N$8,$B2358&lt;='112'!$O$8,OR($L2358='112'!$I$6,$M2358='112'!$I$6))),"x",""))</f>
        <v/>
      </c>
      <c r="T2358" s="39" t="str">
        <f>IF(ISERROR(FIND('112'!$M$9,G2358,1)),"",IF((AND(LEFT(G2358,2)=LEFT('112'!$M$9,2),B2358&lt;'112'!$N$8,$L2358='112'!$I$6)),"x",""))</f>
        <v/>
      </c>
      <c r="U2358" s="39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39" t="str">
        <f>IF(OR(TH!L2358=TH!$W$7,M2358=TH!$W$7),"x","")</f>
        <v/>
      </c>
      <c r="X2358" s="39" t="str">
        <f>IF(AND(B2358&gt;='IN-NX'!$P$3,B2358&lt;='IN-NX'!$Q$3,'IN-NX'!$D$7=D2358,OR(LEFT(L2358,2)="15",AND(LEFT(M2358,2)&lt;&gt;"15",LEFT(M2358,2)&lt;&gt;"33"))),"x","")</f>
        <v/>
      </c>
      <c r="Y2358" s="39" t="str">
        <f>IF(AND(OR(LEFT(TH!L2358,2)="15",LEFT(TH!M2358,2)="15"),'152-CT'!$J$8=TH!F2358),"x","")</f>
        <v/>
      </c>
      <c r="Z2358" s="39" t="str">
        <f>IF(AND(OR(LEFT(TH!L2358,2)="15",LEFT(TH!M2358,2)="15"),TK!$E$7=TH!F2358),"x","")</f>
        <v/>
      </c>
      <c r="AA2358" s="39" t="str">
        <f>IF(AND(B2358&lt;=NKC!$N$8,B2358&gt;=NKC!$M$8),"x","")</f>
        <v/>
      </c>
      <c r="AB2358" s="821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108"/>
        <v/>
      </c>
      <c r="C2359" s="191"/>
      <c r="D2359" s="191"/>
      <c r="E2359" s="786"/>
      <c r="F2359" s="192"/>
      <c r="G2359" s="468"/>
      <c r="H2359" s="7"/>
      <c r="I2359" s="257"/>
      <c r="J2359" s="257"/>
      <c r="K2359" s="38"/>
      <c r="L2359" s="194"/>
      <c r="M2359" s="194"/>
      <c r="N2359" s="39" t="str">
        <f>IF(AND('331-CT'!$E$7=TH!H2359,OR(L2359="331",M2359="331")),"331",IF(AND(OR(L2359="131",M2359="131"),H2359='131-CT'!$E$7),"131",""))</f>
        <v/>
      </c>
      <c r="O2359" s="902" t="str">
        <f>IF(AND('341-CT'!$E$9=H2359,OR(LEFT(L2359,3)=$O$7,LEFT(M2359,3)=$O$7)),"x","")</f>
        <v/>
      </c>
      <c r="P2359" s="39" t="str">
        <f>IF(AND($B2359&gt;='111'!$N$11,$B2359&lt;='111'!$O$11,OR($L2359=$P$7,$M2359=$P$7)),"x","")</f>
        <v/>
      </c>
      <c r="Q2359" s="39" t="str">
        <f>IF(AND($L2359=$P$7,$B2359&lt;'111'!$N$11),"x","")</f>
        <v/>
      </c>
      <c r="R2359" s="39" t="str">
        <f>IF(AND($M2359=$P$7,$B2359&lt;'111'!$N$11),"x","")</f>
        <v/>
      </c>
      <c r="S2359" s="39" t="str">
        <f>IF(ISERROR(FIND('112'!$M$9,G2359,1)),"",IF((AND(FIND('112'!$M$9,G2359,1)&gt;=1,$B2359&gt;='112'!$N$8,$B2359&lt;='112'!$O$8,OR($L2359='112'!$I$6,$M2359='112'!$I$6))),"x",""))</f>
        <v/>
      </c>
      <c r="T2359" s="39" t="str">
        <f>IF(ISERROR(FIND('112'!$M$9,G2359,1)),"",IF((AND(LEFT(G2359,2)=LEFT('112'!$M$9,2),B2359&lt;'112'!$N$8,$L2359='112'!$I$6)),"x",""))</f>
        <v/>
      </c>
      <c r="U2359" s="39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39" t="str">
        <f>IF(OR(TH!L2359=TH!$W$7,M2359=TH!$W$7),"x","")</f>
        <v/>
      </c>
      <c r="X2359" s="39" t="str">
        <f>IF(AND(B2359&gt;='IN-NX'!$P$3,B2359&lt;='IN-NX'!$Q$3,'IN-NX'!$D$7=D2359,OR(LEFT(L2359,2)="15",AND(LEFT(M2359,2)&lt;&gt;"15",LEFT(M2359,2)&lt;&gt;"33"))),"x","")</f>
        <v/>
      </c>
      <c r="Y2359" s="39" t="str">
        <f>IF(AND(OR(LEFT(TH!L2359,2)="15",LEFT(TH!M2359,2)="15"),'152-CT'!$J$8=TH!F2359),"x","")</f>
        <v/>
      </c>
      <c r="Z2359" s="39" t="str">
        <f>IF(AND(OR(LEFT(TH!L2359,2)="15",LEFT(TH!M2359,2)="15"),TK!$E$7=TH!F2359),"x","")</f>
        <v/>
      </c>
      <c r="AA2359" s="39" t="str">
        <f>IF(AND(B2359&lt;=NKC!$N$8,B2359&gt;=NKC!$M$8),"x","")</f>
        <v/>
      </c>
      <c r="AB2359" s="821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108"/>
        <v/>
      </c>
      <c r="C2360" s="184"/>
      <c r="D2360" s="184"/>
      <c r="E2360" s="795"/>
      <c r="F2360" s="189"/>
      <c r="G2360" s="570"/>
      <c r="H2360" s="7"/>
      <c r="I2360" s="256"/>
      <c r="J2360" s="256"/>
      <c r="K2360" s="568"/>
      <c r="L2360" s="569"/>
      <c r="M2360" s="569"/>
      <c r="N2360" s="39" t="str">
        <f>IF(AND('331-CT'!$E$7=TH!H2360,OR(L2360="331",M2360="331")),"331",IF(AND(OR(L2360="131",M2360="131"),H2360='131-CT'!$E$7),"131",""))</f>
        <v/>
      </c>
      <c r="O2360" s="902" t="str">
        <f>IF(AND('341-CT'!$E$9=H2360,OR(LEFT(L2360,3)=$O$7,LEFT(M2360,3)=$O$7)),"x","")</f>
        <v/>
      </c>
      <c r="P2360" s="39" t="str">
        <f>IF(AND($B2360&gt;='111'!$N$11,$B2360&lt;='111'!$O$11,OR($L2360=$P$7,$M2360=$P$7)),"x","")</f>
        <v/>
      </c>
      <c r="Q2360" s="39" t="str">
        <f>IF(AND($L2360=$P$7,$B2360&lt;'111'!$N$11),"x","")</f>
        <v/>
      </c>
      <c r="R2360" s="39" t="str">
        <f>IF(AND($M2360=$P$7,$B2360&lt;'111'!$N$11),"x","")</f>
        <v/>
      </c>
      <c r="S2360" s="39" t="str">
        <f>IF(ISERROR(FIND('112'!$M$9,G2360,1)),"",IF((AND(FIND('112'!$M$9,G2360,1)&gt;=1,$B2360&gt;='112'!$N$8,$B2360&lt;='112'!$O$8,OR($L2360='112'!$I$6,$M2360='112'!$I$6))),"x",""))</f>
        <v/>
      </c>
      <c r="T2360" s="39" t="str">
        <f>IF(ISERROR(FIND('112'!$M$9,G2360,1)),"",IF((AND(LEFT(G2360,2)=LEFT('112'!$M$9,2),B2360&lt;'112'!$N$8,$L2360='112'!$I$6)),"x",""))</f>
        <v/>
      </c>
      <c r="U2360" s="39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39" t="str">
        <f>IF(OR(TH!L2360=TH!$W$7,M2360=TH!$W$7),"x","")</f>
        <v/>
      </c>
      <c r="X2360" s="39" t="str">
        <f>IF(AND(B2360&gt;='IN-NX'!$P$3,B2360&lt;='IN-NX'!$Q$3,'IN-NX'!$D$7=D2360,OR(LEFT(L2360,2)="15",AND(LEFT(M2360,2)&lt;&gt;"15",LEFT(M2360,2)&lt;&gt;"33"))),"x","")</f>
        <v/>
      </c>
      <c r="Y2360" s="39" t="str">
        <f>IF(AND(OR(LEFT(TH!L2360,2)="15",LEFT(TH!M2360,2)="15"),'152-CT'!$J$8=TH!F2360),"x","")</f>
        <v/>
      </c>
      <c r="Z2360" s="39" t="str">
        <f>IF(AND(OR(LEFT(TH!L2360,2)="15",LEFT(TH!M2360,2)="15"),TK!$E$7=TH!F2360),"x","")</f>
        <v/>
      </c>
      <c r="AA2360" s="39" t="str">
        <f>IF(AND(B2360&lt;=NKC!$N$8,B2360&gt;=NKC!$M$8),"x","")</f>
        <v/>
      </c>
      <c r="AB2360" s="821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ref="B2361:B2424" si="109">IF(C2361&lt;&gt;"",MONTH(C2361),"")</f>
        <v/>
      </c>
      <c r="C2361" s="191"/>
      <c r="D2361" s="191"/>
      <c r="E2361" s="786"/>
      <c r="F2361" s="192"/>
      <c r="G2361" s="468"/>
      <c r="H2361" s="193"/>
      <c r="I2361" s="256"/>
      <c r="J2361" s="256"/>
      <c r="K2361" s="568"/>
      <c r="L2361" s="194"/>
      <c r="M2361" s="194"/>
      <c r="N2361" s="39" t="str">
        <f>IF(AND('331-CT'!$E$7=TH!H2361,OR(L2361="331",M2361="331")),"331",IF(AND(OR(L2361="131",M2361="131"),H2361='131-CT'!$E$7),"131",""))</f>
        <v/>
      </c>
      <c r="O2361" s="902" t="str">
        <f>IF(AND('341-CT'!$E$9=H2361,OR(LEFT(L2361,3)=$O$7,LEFT(M2361,3)=$O$7)),"x","")</f>
        <v/>
      </c>
      <c r="P2361" s="39" t="str">
        <f>IF(AND($B2361&gt;='111'!$N$11,$B2361&lt;='111'!$O$11,OR($L2361=$P$7,$M2361=$P$7)),"x","")</f>
        <v/>
      </c>
      <c r="Q2361" s="39" t="str">
        <f>IF(AND($L2361=$P$7,$B2361&lt;'111'!$N$11),"x","")</f>
        <v/>
      </c>
      <c r="R2361" s="39" t="str">
        <f>IF(AND($M2361=$P$7,$B2361&lt;'111'!$N$11),"x","")</f>
        <v/>
      </c>
      <c r="S2361" s="39" t="str">
        <f>IF(ISERROR(FIND('112'!$M$9,G2361,1)),"",IF((AND(FIND('112'!$M$9,G2361,1)&gt;=1,$B2361&gt;='112'!$N$8,$B2361&lt;='112'!$O$8,OR($L2361='112'!$I$6,$M2361='112'!$I$6))),"x",""))</f>
        <v/>
      </c>
      <c r="T2361" s="39" t="str">
        <f>IF(ISERROR(FIND('112'!$M$9,G2361,1)),"",IF((AND(LEFT(G2361,2)=LEFT('112'!$M$9,2),B2361&lt;'112'!$N$8,$L2361='112'!$I$6)),"x",""))</f>
        <v/>
      </c>
      <c r="U2361" s="39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39" t="str">
        <f>IF(OR(TH!L2361=TH!$W$7,M2361=TH!$W$7),"x","")</f>
        <v/>
      </c>
      <c r="X2361" s="39" t="str">
        <f>IF(AND(B2361&gt;='IN-NX'!$P$3,B2361&lt;='IN-NX'!$Q$3,'IN-NX'!$D$7=D2361,OR(LEFT(L2361,2)="15",AND(LEFT(M2361,2)&lt;&gt;"15",LEFT(M2361,2)&lt;&gt;"33"))),"x","")</f>
        <v/>
      </c>
      <c r="Y2361" s="39" t="str">
        <f>IF(AND(OR(LEFT(TH!L2361,2)="15",LEFT(TH!M2361,2)="15"),'152-CT'!$J$8=TH!F2361),"x","")</f>
        <v/>
      </c>
      <c r="Z2361" s="39" t="str">
        <f>IF(AND(OR(LEFT(TH!L2361,2)="15",LEFT(TH!M2361,2)="15"),TK!$E$7=TH!F2361),"x","")</f>
        <v/>
      </c>
      <c r="AA2361" s="39" t="str">
        <f>IF(AND(B2361&lt;=NKC!$N$8,B2361&gt;=NKC!$M$8),"x","")</f>
        <v/>
      </c>
      <c r="AB2361" s="821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109"/>
        <v/>
      </c>
      <c r="C2362" s="191"/>
      <c r="D2362" s="191"/>
      <c r="E2362" s="786"/>
      <c r="F2362" s="192"/>
      <c r="G2362" s="468"/>
      <c r="H2362" s="193"/>
      <c r="I2362" s="256"/>
      <c r="J2362" s="256"/>
      <c r="K2362" s="568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902" t="str">
        <f>IF(AND('341-CT'!$E$9=H2362,OR(LEFT(L2362,3)=$O$7,LEFT(M2362,3)=$O$7)),"x","")</f>
        <v/>
      </c>
      <c r="P2362" s="39" t="str">
        <f>IF(AND($B2362&gt;='111'!$N$11,$B2362&lt;='111'!$O$11,OR($L2362=$P$7,$M2362=$P$7)),"x","")</f>
        <v/>
      </c>
      <c r="Q2362" s="39" t="str">
        <f>IF(AND($L2362=$P$7,$B2362&lt;'111'!$N$11),"x","")</f>
        <v/>
      </c>
      <c r="R2362" s="39" t="str">
        <f>IF(AND($M2362=$P$7,$B2362&lt;'111'!$N$11),"x","")</f>
        <v/>
      </c>
      <c r="S2362" s="39" t="str">
        <f>IF(ISERROR(FIND('112'!$M$9,G2362,1)),"",IF((AND(FIND('112'!$M$9,G2362,1)&gt;=1,$B2362&gt;='112'!$N$8,$B2362&lt;='112'!$O$8,OR($L2362='112'!$I$6,$M2362='112'!$I$6))),"x",""))</f>
        <v/>
      </c>
      <c r="T2362" s="39" t="str">
        <f>IF(ISERROR(FIND('112'!$M$9,G2362,1)),"",IF((AND(LEFT(G2362,2)=LEFT('112'!$M$9,2),B2362&lt;'112'!$N$8,$L2362='112'!$I$6)),"x",""))</f>
        <v/>
      </c>
      <c r="U2362" s="39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39" t="str">
        <f>IF(OR(TH!L2362=TH!$W$7,M2362=TH!$W$7),"x","")</f>
        <v/>
      </c>
      <c r="X2362" s="39" t="str">
        <f>IF(AND(B2362&gt;='IN-NX'!$P$3,B2362&lt;='IN-NX'!$Q$3,'IN-NX'!$D$7=D2362,OR(LEFT(L2362,2)="15",AND(LEFT(M2362,2)&lt;&gt;"15",LEFT(M2362,2)&lt;&gt;"33"))),"x","")</f>
        <v/>
      </c>
      <c r="Y2362" s="39" t="str">
        <f>IF(AND(OR(LEFT(TH!L2362,2)="15",LEFT(TH!M2362,2)="15"),'152-CT'!$J$8=TH!F2362),"x","")</f>
        <v/>
      </c>
      <c r="Z2362" s="39" t="str">
        <f>IF(AND(OR(LEFT(TH!L2362,2)="15",LEFT(TH!M2362,2)="15"),TK!$E$7=TH!F2362),"x","")</f>
        <v/>
      </c>
      <c r="AA2362" s="39" t="str">
        <f>IF(AND(B2362&lt;=NKC!$N$8,B2362&gt;=NKC!$M$8),"x","")</f>
        <v/>
      </c>
      <c r="AB2362" s="821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109"/>
        <v/>
      </c>
      <c r="C2363" s="191"/>
      <c r="D2363" s="191"/>
      <c r="E2363" s="786"/>
      <c r="F2363" s="192"/>
      <c r="G2363" s="468"/>
      <c r="H2363" s="193"/>
      <c r="I2363" s="256"/>
      <c r="J2363" s="256"/>
      <c r="K2363" s="56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902" t="str">
        <f>IF(AND('341-CT'!$E$9=H2363,OR(LEFT(L2363,3)=$O$7,LEFT(M2363,3)=$O$7)),"x","")</f>
        <v/>
      </c>
      <c r="P2363" s="39" t="str">
        <f>IF(AND($B2363&gt;='111'!$N$11,$B2363&lt;='111'!$O$11,OR($L2363=$P$7,$M2363=$P$7)),"x","")</f>
        <v/>
      </c>
      <c r="Q2363" s="39" t="str">
        <f>IF(AND($L2363=$P$7,$B2363&lt;'111'!$N$11),"x","")</f>
        <v/>
      </c>
      <c r="R2363" s="39" t="str">
        <f>IF(AND($M2363=$P$7,$B2363&lt;'111'!$N$11),"x","")</f>
        <v/>
      </c>
      <c r="S2363" s="39" t="str">
        <f>IF(ISERROR(FIND('112'!$M$9,G2363,1)),"",IF((AND(FIND('112'!$M$9,G2363,1)&gt;=1,$B2363&gt;='112'!$N$8,$B2363&lt;='112'!$O$8,OR($L2363='112'!$I$6,$M2363='112'!$I$6))),"x",""))</f>
        <v/>
      </c>
      <c r="T2363" s="39" t="str">
        <f>IF(ISERROR(FIND('112'!$M$9,G2363,1)),"",IF((AND(LEFT(G2363,2)=LEFT('112'!$M$9,2),B2363&lt;'112'!$N$8,$L2363='112'!$I$6)),"x",""))</f>
        <v/>
      </c>
      <c r="U2363" s="39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39" t="str">
        <f>IF(OR(TH!L2363=TH!$W$7,M2363=TH!$W$7),"x","")</f>
        <v/>
      </c>
      <c r="X2363" s="39" t="str">
        <f>IF(AND(B2363&gt;='IN-NX'!$P$3,B2363&lt;='IN-NX'!$Q$3,'IN-NX'!$D$7=D2363,OR(LEFT(L2363,2)="15",AND(LEFT(M2363,2)&lt;&gt;"15",LEFT(M2363,2)&lt;&gt;"33"))),"x","")</f>
        <v/>
      </c>
      <c r="Y2363" s="39" t="str">
        <f>IF(AND(OR(LEFT(TH!L2363,2)="15",LEFT(TH!M2363,2)="15"),'152-CT'!$J$8=TH!F2363),"x","")</f>
        <v/>
      </c>
      <c r="Z2363" s="39" t="str">
        <f>IF(AND(OR(LEFT(TH!L2363,2)="15",LEFT(TH!M2363,2)="15"),TK!$E$7=TH!F2363),"x","")</f>
        <v/>
      </c>
      <c r="AA2363" s="39" t="str">
        <f>IF(AND(B2363&lt;=NKC!$N$8,B2363&gt;=NKC!$M$8),"x","")</f>
        <v/>
      </c>
      <c r="AB2363" s="821"/>
    </row>
    <row r="2364" spans="1:28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109"/>
        <v/>
      </c>
      <c r="C2364" s="191"/>
      <c r="D2364" s="191"/>
      <c r="E2364" s="786"/>
      <c r="F2364" s="192"/>
      <c r="G2364" s="468"/>
      <c r="H2364" s="193"/>
      <c r="I2364" s="256"/>
      <c r="J2364" s="256"/>
      <c r="K2364" s="38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902" t="str">
        <f>IF(AND('341-CT'!$E$9=H2364,OR(LEFT(L2364,3)=$O$7,LEFT(M2364,3)=$O$7)),"x","")</f>
        <v/>
      </c>
      <c r="P2364" s="39" t="str">
        <f>IF(AND($B2364&gt;='111'!$N$11,$B2364&lt;='111'!$O$11,OR($L2364=$P$7,$M2364=$P$7)),"x","")</f>
        <v/>
      </c>
      <c r="Q2364" s="39" t="str">
        <f>IF(AND($L2364=$P$7,$B2364&lt;'111'!$N$11),"x","")</f>
        <v/>
      </c>
      <c r="R2364" s="39" t="str">
        <f>IF(AND($M2364=$P$7,$B2364&lt;'111'!$N$11),"x","")</f>
        <v/>
      </c>
      <c r="S2364" s="39" t="str">
        <f>IF(ISERROR(FIND('112'!$M$9,G2364,1)),"",IF((AND(FIND('112'!$M$9,G2364,1)&gt;=1,$B2364&gt;='112'!$N$8,$B2364&lt;='112'!$O$8,OR($L2364='112'!$I$6,$M2364='112'!$I$6))),"x",""))</f>
        <v/>
      </c>
      <c r="T2364" s="39" t="str">
        <f>IF(ISERROR(FIND('112'!$M$9,G2364,1)),"",IF((AND(LEFT(G2364,2)=LEFT('112'!$M$9,2),B2364&lt;'112'!$N$8,$L2364='112'!$I$6)),"x",""))</f>
        <v/>
      </c>
      <c r="U2364" s="39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39" t="str">
        <f>IF(OR(TH!L2364=TH!$W$7,M2364=TH!$W$7),"x","")</f>
        <v/>
      </c>
      <c r="X2364" s="39" t="str">
        <f>IF(AND(B2364&gt;='IN-NX'!$P$3,B2364&lt;='IN-NX'!$Q$3,'IN-NX'!$D$7=D2364,OR(LEFT(L2364,2)="15",AND(LEFT(M2364,2)&lt;&gt;"15",LEFT(M2364,2)&lt;&gt;"33"))),"x","")</f>
        <v/>
      </c>
      <c r="Y2364" s="39" t="str">
        <f>IF(AND(OR(LEFT(TH!L2364,2)="15",LEFT(TH!M2364,2)="15"),'152-CT'!$J$8=TH!F2364),"x","")</f>
        <v/>
      </c>
      <c r="Z2364" s="39" t="str">
        <f>IF(AND(OR(LEFT(TH!L2364,2)="15",LEFT(TH!M2364,2)="15"),TK!$E$7=TH!F2364),"x","")</f>
        <v/>
      </c>
      <c r="AA2364" s="39" t="str">
        <f>IF(AND(B2364&lt;=NKC!$N$8,B2364&gt;=NKC!$M$8),"x","")</f>
        <v/>
      </c>
      <c r="AB2364" s="821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109"/>
        <v/>
      </c>
      <c r="C2365" s="191"/>
      <c r="D2365" s="191"/>
      <c r="E2365" s="729"/>
      <c r="F2365" s="189"/>
      <c r="G2365" s="40"/>
      <c r="H2365" s="7"/>
      <c r="I2365" s="256"/>
      <c r="J2365" s="256"/>
      <c r="K2365" s="568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902" t="str">
        <f>IF(AND('341-CT'!$E$9=H2365,OR(LEFT(L2365,3)=$O$7,LEFT(M2365,3)=$O$7)),"x","")</f>
        <v/>
      </c>
      <c r="P2365" s="39" t="str">
        <f>IF(AND($B2365&gt;='111'!$N$11,$B2365&lt;='111'!$O$11,OR($L2365=$P$7,$M2365=$P$7)),"x","")</f>
        <v/>
      </c>
      <c r="Q2365" s="39" t="str">
        <f>IF(AND($L2365=$P$7,$B2365&lt;'111'!$N$11),"x","")</f>
        <v/>
      </c>
      <c r="R2365" s="39" t="str">
        <f>IF(AND($M2365=$P$7,$B2365&lt;'111'!$N$11),"x","")</f>
        <v/>
      </c>
      <c r="S2365" s="39" t="str">
        <f>IF(ISERROR(FIND('112'!$M$9,G2365,1)),"",IF((AND(FIND('112'!$M$9,G2365,1)&gt;=1,$B2365&gt;='112'!$N$8,$B2365&lt;='112'!$O$8,OR($L2365='112'!$I$6,$M2365='112'!$I$6))),"x",""))</f>
        <v/>
      </c>
      <c r="T2365" s="39" t="str">
        <f>IF(ISERROR(FIND('112'!$M$9,G2365,1)),"",IF((AND(LEFT(G2365,2)=LEFT('112'!$M$9,2),B2365&lt;'112'!$N$8,$L2365='112'!$I$6)),"x",""))</f>
        <v/>
      </c>
      <c r="U2365" s="39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39" t="str">
        <f>IF(OR(TH!L2365=TH!$W$7,M2365=TH!$W$7),"x","")</f>
        <v/>
      </c>
      <c r="X2365" s="39" t="str">
        <f>IF(AND(B2365&gt;='IN-NX'!$P$3,B2365&lt;='IN-NX'!$Q$3,'IN-NX'!$D$7=D2365,OR(LEFT(L2365,2)="15",AND(LEFT(M2365,2)&lt;&gt;"15",LEFT(M2365,2)&lt;&gt;"33"))),"x","")</f>
        <v/>
      </c>
      <c r="Y2365" s="39" t="str">
        <f>IF(AND(OR(LEFT(TH!L2365,2)="15",LEFT(TH!M2365,2)="15"),'152-CT'!$J$8=TH!F2365),"x","")</f>
        <v/>
      </c>
      <c r="Z2365" s="39" t="str">
        <f>IF(AND(OR(LEFT(TH!L2365,2)="15",LEFT(TH!M2365,2)="15"),TK!$E$7=TH!F2365),"x","")</f>
        <v/>
      </c>
      <c r="AA2365" s="39" t="str">
        <f>IF(AND(B2365&lt;=NKC!$N$8,B2365&gt;=NKC!$M$8),"x","")</f>
        <v/>
      </c>
      <c r="AB2365" s="821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109"/>
        <v/>
      </c>
      <c r="C2366" s="191"/>
      <c r="D2366" s="191"/>
      <c r="E2366" s="729"/>
      <c r="F2366" s="189"/>
      <c r="G2366" s="40"/>
      <c r="H2366" s="7"/>
      <c r="I2366" s="256"/>
      <c r="J2366" s="256"/>
      <c r="K2366" s="56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902" t="str">
        <f>IF(AND('341-CT'!$E$9=H2366,OR(LEFT(L2366,3)=$O$7,LEFT(M2366,3)=$O$7)),"x","")</f>
        <v/>
      </c>
      <c r="P2366" s="39" t="str">
        <f>IF(AND($B2366&gt;='111'!$N$11,$B2366&lt;='111'!$O$11,OR($L2366=$P$7,$M2366=$P$7)),"x","")</f>
        <v/>
      </c>
      <c r="Q2366" s="39" t="str">
        <f>IF(AND($L2366=$P$7,$B2366&lt;'111'!$N$11),"x","")</f>
        <v/>
      </c>
      <c r="R2366" s="39" t="str">
        <f>IF(AND($M2366=$P$7,$B2366&lt;'111'!$N$11),"x","")</f>
        <v/>
      </c>
      <c r="S2366" s="39" t="str">
        <f>IF(ISERROR(FIND('112'!$M$9,G2366,1)),"",IF((AND(FIND('112'!$M$9,G2366,1)&gt;=1,$B2366&gt;='112'!$N$8,$B2366&lt;='112'!$O$8,OR($L2366='112'!$I$6,$M2366='112'!$I$6))),"x",""))</f>
        <v/>
      </c>
      <c r="T2366" s="39" t="str">
        <f>IF(ISERROR(FIND('112'!$M$9,G2366,1)),"",IF((AND(LEFT(G2366,2)=LEFT('112'!$M$9,2),B2366&lt;'112'!$N$8,$L2366='112'!$I$6)),"x",""))</f>
        <v/>
      </c>
      <c r="U2366" s="39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39" t="str">
        <f>IF(OR(TH!L2366=TH!$W$7,M2366=TH!$W$7),"x","")</f>
        <v/>
      </c>
      <c r="X2366" s="39" t="str">
        <f>IF(AND(B2366&gt;='IN-NX'!$P$3,B2366&lt;='IN-NX'!$Q$3,'IN-NX'!$D$7=D2366,OR(LEFT(L2366,2)="15",AND(LEFT(M2366,2)&lt;&gt;"15",LEFT(M2366,2)&lt;&gt;"33"))),"x","")</f>
        <v/>
      </c>
      <c r="Y2366" s="39" t="str">
        <f>IF(AND(OR(LEFT(TH!L2366,2)="15",LEFT(TH!M2366,2)="15"),'152-CT'!$J$8=TH!F2366),"x","")</f>
        <v/>
      </c>
      <c r="Z2366" s="39" t="str">
        <f>IF(AND(OR(LEFT(TH!L2366,2)="15",LEFT(TH!M2366,2)="15"),TK!$E$7=TH!F2366),"x","")</f>
        <v/>
      </c>
      <c r="AA2366" s="39" t="str">
        <f>IF(AND(B2366&lt;=NKC!$N$8,B2366&gt;=NKC!$M$8),"x","")</f>
        <v/>
      </c>
      <c r="AB2366" s="821"/>
    </row>
    <row r="2367" spans="1:28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109"/>
        <v/>
      </c>
      <c r="C2367" s="191"/>
      <c r="D2367" s="191"/>
      <c r="E2367" s="729"/>
      <c r="F2367" s="189"/>
      <c r="G2367" s="40"/>
      <c r="H2367" s="7"/>
      <c r="I2367" s="256"/>
      <c r="J2367" s="256"/>
      <c r="K2367" s="56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902" t="str">
        <f>IF(AND('341-CT'!$E$9=H2367,OR(LEFT(L2367,3)=$O$7,LEFT(M2367,3)=$O$7)),"x","")</f>
        <v/>
      </c>
      <c r="P2367" s="39" t="str">
        <f>IF(AND($B2367&gt;='111'!$N$11,$B2367&lt;='111'!$O$11,OR($L2367=$P$7,$M2367=$P$7)),"x","")</f>
        <v/>
      </c>
      <c r="Q2367" s="39" t="str">
        <f>IF(AND($L2367=$P$7,$B2367&lt;'111'!$N$11),"x","")</f>
        <v/>
      </c>
      <c r="R2367" s="39" t="str">
        <f>IF(AND($M2367=$P$7,$B2367&lt;'111'!$N$11),"x","")</f>
        <v/>
      </c>
      <c r="S2367" s="39" t="str">
        <f>IF(ISERROR(FIND('112'!$M$9,G2367,1)),"",IF((AND(FIND('112'!$M$9,G2367,1)&gt;=1,$B2367&gt;='112'!$N$8,$B2367&lt;='112'!$O$8,OR($L2367='112'!$I$6,$M2367='112'!$I$6))),"x",""))</f>
        <v/>
      </c>
      <c r="T2367" s="39" t="str">
        <f>IF(ISERROR(FIND('112'!$M$9,G2367,1)),"",IF((AND(LEFT(G2367,2)=LEFT('112'!$M$9,2),B2367&lt;'112'!$N$8,$L2367='112'!$I$6)),"x",""))</f>
        <v/>
      </c>
      <c r="U2367" s="39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39" t="str">
        <f>IF(OR(TH!L2367=TH!$W$7,M2367=TH!$W$7),"x","")</f>
        <v/>
      </c>
      <c r="X2367" s="39" t="str">
        <f>IF(AND(B2367&gt;='IN-NX'!$P$3,B2367&lt;='IN-NX'!$Q$3,'IN-NX'!$D$7=D2367,OR(LEFT(L2367,2)="15",AND(LEFT(M2367,2)&lt;&gt;"15",LEFT(M2367,2)&lt;&gt;"33"))),"x","")</f>
        <v/>
      </c>
      <c r="Y2367" s="39" t="str">
        <f>IF(AND(OR(LEFT(TH!L2367,2)="15",LEFT(TH!M2367,2)="15"),'152-CT'!$J$8=TH!F2367),"x","")</f>
        <v/>
      </c>
      <c r="Z2367" s="39" t="str">
        <f>IF(AND(OR(LEFT(TH!L2367,2)="15",LEFT(TH!M2367,2)="15"),TK!$E$7=TH!F2367),"x","")</f>
        <v/>
      </c>
      <c r="AA2367" s="39" t="str">
        <f>IF(AND(B2367&lt;=NKC!$N$8,B2367&gt;=NKC!$M$8),"x","")</f>
        <v/>
      </c>
      <c r="AB2367" s="821"/>
    </row>
    <row r="2368" spans="1:28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109"/>
        <v/>
      </c>
      <c r="C2368" s="191"/>
      <c r="D2368" s="191"/>
      <c r="E2368" s="729"/>
      <c r="F2368" s="40"/>
      <c r="G2368" s="40"/>
      <c r="H2368" s="7"/>
      <c r="I2368" s="256"/>
      <c r="J2368" s="256"/>
      <c r="K2368" s="568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902" t="str">
        <f>IF(AND('341-CT'!$E$9=H2368,OR(LEFT(L2368,3)=$O$7,LEFT(M2368,3)=$O$7)),"x","")</f>
        <v/>
      </c>
      <c r="P2368" s="39" t="str">
        <f>IF(AND($B2368&gt;='111'!$N$11,$B2368&lt;='111'!$O$11,OR($L2368=$P$7,$M2368=$P$7)),"x","")</f>
        <v/>
      </c>
      <c r="Q2368" s="39" t="str">
        <f>IF(AND($L2368=$P$7,$B2368&lt;'111'!$N$11),"x","")</f>
        <v/>
      </c>
      <c r="R2368" s="39" t="str">
        <f>IF(AND($M2368=$P$7,$B2368&lt;'111'!$N$11),"x","")</f>
        <v/>
      </c>
      <c r="S2368" s="39" t="str">
        <f>IF(ISERROR(FIND('112'!$M$9,G2368,1)),"",IF((AND(FIND('112'!$M$9,G2368,1)&gt;=1,$B2368&gt;='112'!$N$8,$B2368&lt;='112'!$O$8,OR($L2368='112'!$I$6,$M2368='112'!$I$6))),"x",""))</f>
        <v/>
      </c>
      <c r="T2368" s="39" t="str">
        <f>IF(ISERROR(FIND('112'!$M$9,G2368,1)),"",IF((AND(LEFT(G2368,2)=LEFT('112'!$M$9,2),B2368&lt;'112'!$N$8,$L2368='112'!$I$6)),"x",""))</f>
        <v/>
      </c>
      <c r="U2368" s="39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39" t="str">
        <f>IF(OR(TH!L2368=TH!$W$7,M2368=TH!$W$7),"x","")</f>
        <v/>
      </c>
      <c r="X2368" s="39" t="str">
        <f>IF(AND(B2368&gt;='IN-NX'!$P$3,B2368&lt;='IN-NX'!$Q$3,'IN-NX'!$D$7=D2368,OR(LEFT(L2368,2)="15",AND(LEFT(M2368,2)&lt;&gt;"15",LEFT(M2368,2)&lt;&gt;"33"))),"x","")</f>
        <v/>
      </c>
      <c r="Y2368" s="39" t="str">
        <f>IF(AND(OR(LEFT(TH!L2368,2)="15",LEFT(TH!M2368,2)="15"),'152-CT'!$J$8=TH!F2368),"x","")</f>
        <v/>
      </c>
      <c r="Z2368" s="39" t="str">
        <f>IF(AND(OR(LEFT(TH!L2368,2)="15",LEFT(TH!M2368,2)="15"),TK!$E$7=TH!F2368),"x","")</f>
        <v/>
      </c>
      <c r="AA2368" s="39" t="str">
        <f>IF(AND(B2368&lt;=NKC!$N$8,B2368&gt;=NKC!$M$8),"x","")</f>
        <v/>
      </c>
      <c r="AB2368" s="821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109"/>
        <v/>
      </c>
      <c r="C2369" s="191"/>
      <c r="D2369" s="191"/>
      <c r="E2369" s="729"/>
      <c r="F2369" s="40"/>
      <c r="G2369" s="40"/>
      <c r="H2369" s="7"/>
      <c r="I2369" s="256"/>
      <c r="J2369" s="256"/>
      <c r="K2369" s="568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902" t="str">
        <f>IF(AND('341-CT'!$E$9=H2369,OR(LEFT(L2369,3)=$O$7,LEFT(M2369,3)=$O$7)),"x","")</f>
        <v/>
      </c>
      <c r="P2369" s="39" t="str">
        <f>IF(AND($B2369&gt;='111'!$N$11,$B2369&lt;='111'!$O$11,OR($L2369=$P$7,$M2369=$P$7)),"x","")</f>
        <v/>
      </c>
      <c r="Q2369" s="39" t="str">
        <f>IF(AND($L2369=$P$7,$B2369&lt;'111'!$N$11),"x","")</f>
        <v/>
      </c>
      <c r="R2369" s="39" t="str">
        <f>IF(AND($M2369=$P$7,$B2369&lt;'111'!$N$11),"x","")</f>
        <v/>
      </c>
      <c r="S2369" s="39" t="str">
        <f>IF(ISERROR(FIND('112'!$M$9,G2369,1)),"",IF((AND(FIND('112'!$M$9,G2369,1)&gt;=1,$B2369&gt;='112'!$N$8,$B2369&lt;='112'!$O$8,OR($L2369='112'!$I$6,$M2369='112'!$I$6))),"x",""))</f>
        <v/>
      </c>
      <c r="T2369" s="39" t="str">
        <f>IF(ISERROR(FIND('112'!$M$9,G2369,1)),"",IF((AND(LEFT(G2369,2)=LEFT('112'!$M$9,2),B2369&lt;'112'!$N$8,$L2369='112'!$I$6)),"x",""))</f>
        <v/>
      </c>
      <c r="U2369" s="39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39" t="str">
        <f>IF(OR(TH!L2369=TH!$W$7,M2369=TH!$W$7),"x","")</f>
        <v/>
      </c>
      <c r="X2369" s="39" t="str">
        <f>IF(AND(B2369&gt;='IN-NX'!$P$3,B2369&lt;='IN-NX'!$Q$3,'IN-NX'!$D$7=D2369,OR(LEFT(L2369,2)="15",AND(LEFT(M2369,2)&lt;&gt;"15",LEFT(M2369,2)&lt;&gt;"33"))),"x","")</f>
        <v/>
      </c>
      <c r="Y2369" s="39" t="str">
        <f>IF(AND(OR(LEFT(TH!L2369,2)="15",LEFT(TH!M2369,2)="15"),'152-CT'!$J$8=TH!F2369),"x","")</f>
        <v/>
      </c>
      <c r="Z2369" s="39" t="str">
        <f>IF(AND(OR(LEFT(TH!L2369,2)="15",LEFT(TH!M2369,2)="15"),TK!$E$7=TH!F2369),"x","")</f>
        <v/>
      </c>
      <c r="AA2369" s="39" t="str">
        <f>IF(AND(B2369&lt;=NKC!$N$8,B2369&gt;=NKC!$M$8),"x","")</f>
        <v/>
      </c>
      <c r="AB2369" s="821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109"/>
        <v/>
      </c>
      <c r="C2370" s="191"/>
      <c r="D2370" s="191"/>
      <c r="E2370" s="786"/>
      <c r="F2370" s="192"/>
      <c r="G2370" s="468"/>
      <c r="H2370" s="193"/>
      <c r="I2370" s="256"/>
      <c r="J2370" s="256"/>
      <c r="K2370" s="56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902" t="str">
        <f>IF(AND('341-CT'!$E$9=H2370,OR(LEFT(L2370,3)=$O$7,LEFT(M2370,3)=$O$7)),"x","")</f>
        <v/>
      </c>
      <c r="P2370" s="39" t="str">
        <f>IF(AND($B2370&gt;='111'!$N$11,$B2370&lt;='111'!$O$11,OR($L2370=$P$7,$M2370=$P$7)),"x","")</f>
        <v/>
      </c>
      <c r="Q2370" s="39" t="str">
        <f>IF(AND($L2370=$P$7,$B2370&lt;'111'!$N$11),"x","")</f>
        <v/>
      </c>
      <c r="R2370" s="39" t="str">
        <f>IF(AND($M2370=$P$7,$B2370&lt;'111'!$N$11),"x","")</f>
        <v/>
      </c>
      <c r="S2370" s="39" t="str">
        <f>IF(ISERROR(FIND('112'!$M$9,G2370,1)),"",IF((AND(FIND('112'!$M$9,G2370,1)&gt;=1,$B2370&gt;='112'!$N$8,$B2370&lt;='112'!$O$8,OR($L2370='112'!$I$6,$M2370='112'!$I$6))),"x",""))</f>
        <v/>
      </c>
      <c r="T2370" s="39" t="str">
        <f>IF(ISERROR(FIND('112'!$M$9,G2370,1)),"",IF((AND(LEFT(G2370,2)=LEFT('112'!$M$9,2),B2370&lt;'112'!$N$8,$L2370='112'!$I$6)),"x",""))</f>
        <v/>
      </c>
      <c r="U2370" s="39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39" t="str">
        <f>IF(OR(TH!L2370=TH!$W$7,M2370=TH!$W$7),"x","")</f>
        <v/>
      </c>
      <c r="X2370" s="39" t="str">
        <f>IF(AND(B2370&gt;='IN-NX'!$P$3,B2370&lt;='IN-NX'!$Q$3,'IN-NX'!$D$7=D2370,OR(LEFT(L2370,2)="15",AND(LEFT(M2370,2)&lt;&gt;"15",LEFT(M2370,2)&lt;&gt;"33"))),"x","")</f>
        <v/>
      </c>
      <c r="Y2370" s="39" t="str">
        <f>IF(AND(OR(LEFT(TH!L2370,2)="15",LEFT(TH!M2370,2)="15"),'152-CT'!$J$8=TH!F2370),"x","")</f>
        <v/>
      </c>
      <c r="Z2370" s="39" t="str">
        <f>IF(AND(OR(LEFT(TH!L2370,2)="15",LEFT(TH!M2370,2)="15"),TK!$E$7=TH!F2370),"x","")</f>
        <v/>
      </c>
      <c r="AA2370" s="39" t="str">
        <f>IF(AND(B2370&lt;=NKC!$N$8,B2370&gt;=NKC!$M$8),"x","")</f>
        <v/>
      </c>
      <c r="AB2370" s="821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109"/>
        <v/>
      </c>
      <c r="C2371" s="191"/>
      <c r="D2371" s="191"/>
      <c r="E2371" s="786"/>
      <c r="F2371" s="192"/>
      <c r="G2371" s="468"/>
      <c r="H2371" s="193"/>
      <c r="I2371" s="256"/>
      <c r="J2371" s="256"/>
      <c r="K2371" s="38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902" t="str">
        <f>IF(AND('341-CT'!$E$9=H2371,OR(LEFT(L2371,3)=$O$7,LEFT(M2371,3)=$O$7)),"x","")</f>
        <v/>
      </c>
      <c r="P2371" s="39" t="str">
        <f>IF(AND($B2371&gt;='111'!$N$11,$B2371&lt;='111'!$O$11,OR($L2371=$P$7,$M2371=$P$7)),"x","")</f>
        <v/>
      </c>
      <c r="Q2371" s="39" t="str">
        <f>IF(AND($L2371=$P$7,$B2371&lt;'111'!$N$11),"x","")</f>
        <v/>
      </c>
      <c r="R2371" s="39" t="str">
        <f>IF(AND($M2371=$P$7,$B2371&lt;'111'!$N$11),"x","")</f>
        <v/>
      </c>
      <c r="S2371" s="39" t="str">
        <f>IF(ISERROR(FIND('112'!$M$9,G2371,1)),"",IF((AND(FIND('112'!$M$9,G2371,1)&gt;=1,$B2371&gt;='112'!$N$8,$B2371&lt;='112'!$O$8,OR($L2371='112'!$I$6,$M2371='112'!$I$6))),"x",""))</f>
        <v/>
      </c>
      <c r="T2371" s="39" t="str">
        <f>IF(ISERROR(FIND('112'!$M$9,G2371,1)),"",IF((AND(LEFT(G2371,2)=LEFT('112'!$M$9,2),B2371&lt;'112'!$N$8,$L2371='112'!$I$6)),"x",""))</f>
        <v/>
      </c>
      <c r="U2371" s="39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39" t="str">
        <f>IF(OR(TH!L2371=TH!$W$7,M2371=TH!$W$7),"x","")</f>
        <v/>
      </c>
      <c r="X2371" s="39" t="str">
        <f>IF(AND(B2371&gt;='IN-NX'!$P$3,B2371&lt;='IN-NX'!$Q$3,'IN-NX'!$D$7=D2371,OR(LEFT(L2371,2)="15",AND(LEFT(M2371,2)&lt;&gt;"15",LEFT(M2371,2)&lt;&gt;"33"))),"x","")</f>
        <v/>
      </c>
      <c r="Y2371" s="39" t="str">
        <f>IF(AND(OR(LEFT(TH!L2371,2)="15",LEFT(TH!M2371,2)="15"),'152-CT'!$J$8=TH!F2371),"x","")</f>
        <v/>
      </c>
      <c r="Z2371" s="39" t="str">
        <f>IF(AND(OR(LEFT(TH!L2371,2)="15",LEFT(TH!M2371,2)="15"),TK!$E$7=TH!F2371),"x","")</f>
        <v/>
      </c>
      <c r="AA2371" s="39" t="str">
        <f>IF(AND(B2371&lt;=NKC!$N$8,B2371&gt;=NKC!$M$8),"x","")</f>
        <v/>
      </c>
      <c r="AB2371" s="821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109"/>
        <v/>
      </c>
      <c r="C2372" s="191"/>
      <c r="D2372" s="191"/>
      <c r="E2372" s="786"/>
      <c r="F2372" s="192"/>
      <c r="G2372" s="468"/>
      <c r="H2372" s="45"/>
      <c r="I2372" s="256"/>
      <c r="J2372" s="256"/>
      <c r="K2372" s="38"/>
      <c r="L2372" s="194"/>
      <c r="M2372" s="569"/>
      <c r="N2372" s="39" t="str">
        <f>IF(AND('331-CT'!$E$7=TH!H2372,OR(L2372="331",M2372="331")),"331",IF(AND(OR(L2372="131",M2372="131"),H2372='131-CT'!$E$7),"131",""))</f>
        <v/>
      </c>
      <c r="O2372" s="902" t="str">
        <f>IF(AND('341-CT'!$E$9=H2372,OR(LEFT(L2372,3)=$O$7,LEFT(M2372,3)=$O$7)),"x","")</f>
        <v/>
      </c>
      <c r="P2372" s="39" t="str">
        <f>IF(AND($B2372&gt;='111'!$N$11,$B2372&lt;='111'!$O$11,OR($L2372=$P$7,$M2372=$P$7)),"x","")</f>
        <v/>
      </c>
      <c r="Q2372" s="39" t="str">
        <f>IF(AND($L2372=$P$7,$B2372&lt;'111'!$N$11),"x","")</f>
        <v/>
      </c>
      <c r="R2372" s="39" t="str">
        <f>IF(AND($M2372=$P$7,$B2372&lt;'111'!$N$11),"x","")</f>
        <v/>
      </c>
      <c r="S2372" s="39" t="str">
        <f>IF(ISERROR(FIND('112'!$M$9,G2372,1)),"",IF((AND(FIND('112'!$M$9,G2372,1)&gt;=1,$B2372&gt;='112'!$N$8,$B2372&lt;='112'!$O$8,OR($L2372='112'!$I$6,$M2372='112'!$I$6))),"x",""))</f>
        <v/>
      </c>
      <c r="T2372" s="39" t="str">
        <f>IF(ISERROR(FIND('112'!$M$9,G2372,1)),"",IF((AND(LEFT(G2372,2)=LEFT('112'!$M$9,2),B2372&lt;'112'!$N$8,$L2372='112'!$I$6)),"x",""))</f>
        <v/>
      </c>
      <c r="U2372" s="39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39" t="str">
        <f>IF(OR(TH!L2372=TH!$W$7,M2372=TH!$W$7),"x","")</f>
        <v/>
      </c>
      <c r="X2372" s="39" t="str">
        <f>IF(AND(B2372&gt;='IN-NX'!$P$3,B2372&lt;='IN-NX'!$Q$3,'IN-NX'!$D$7=D2372,OR(LEFT(L2372,2)="15",AND(LEFT(M2372,2)&lt;&gt;"15",LEFT(M2372,2)&lt;&gt;"33"))),"x","")</f>
        <v/>
      </c>
      <c r="Y2372" s="39" t="str">
        <f>IF(AND(OR(LEFT(TH!L2372,2)="15",LEFT(TH!M2372,2)="15"),'152-CT'!$J$8=TH!F2372),"x","")</f>
        <v/>
      </c>
      <c r="Z2372" s="39" t="str">
        <f>IF(AND(OR(LEFT(TH!L2372,2)="15",LEFT(TH!M2372,2)="15"),TK!$E$7=TH!F2372),"x","")</f>
        <v/>
      </c>
      <c r="AA2372" s="39" t="str">
        <f>IF(AND(B2372&lt;=NKC!$N$8,B2372&gt;=NKC!$M$8),"x","")</f>
        <v/>
      </c>
      <c r="AB2372" s="821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109"/>
        <v/>
      </c>
      <c r="C2373" s="191"/>
      <c r="D2373" s="191"/>
      <c r="E2373" s="786"/>
      <c r="F2373" s="192"/>
      <c r="G2373" s="468"/>
      <c r="H2373" s="193"/>
      <c r="I2373" s="256"/>
      <c r="J2373" s="256"/>
      <c r="K2373" s="568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902" t="str">
        <f>IF(AND('341-CT'!$E$9=H2373,OR(LEFT(L2373,3)=$O$7,LEFT(M2373,3)=$O$7)),"x","")</f>
        <v/>
      </c>
      <c r="P2373" s="39" t="str">
        <f>IF(AND($B2373&gt;='111'!$N$11,$B2373&lt;='111'!$O$11,OR($L2373=$P$7,$M2373=$P$7)),"x","")</f>
        <v/>
      </c>
      <c r="Q2373" s="39" t="str">
        <f>IF(AND($L2373=$P$7,$B2373&lt;'111'!$N$11),"x","")</f>
        <v/>
      </c>
      <c r="R2373" s="39" t="str">
        <f>IF(AND($M2373=$P$7,$B2373&lt;'111'!$N$11),"x","")</f>
        <v/>
      </c>
      <c r="S2373" s="39" t="str">
        <f>IF(ISERROR(FIND('112'!$M$9,G2373,1)),"",IF((AND(FIND('112'!$M$9,G2373,1)&gt;=1,$B2373&gt;='112'!$N$8,$B2373&lt;='112'!$O$8,OR($L2373='112'!$I$6,$M2373='112'!$I$6))),"x",""))</f>
        <v/>
      </c>
      <c r="T2373" s="39" t="str">
        <f>IF(ISERROR(FIND('112'!$M$9,G2373,1)),"",IF((AND(LEFT(G2373,2)=LEFT('112'!$M$9,2),B2373&lt;'112'!$N$8,$L2373='112'!$I$6)),"x",""))</f>
        <v/>
      </c>
      <c r="U2373" s="39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39" t="str">
        <f>IF(OR(TH!L2373=TH!$W$7,M2373=TH!$W$7),"x","")</f>
        <v/>
      </c>
      <c r="X2373" s="39" t="str">
        <f>IF(AND(B2373&gt;='IN-NX'!$P$3,B2373&lt;='IN-NX'!$Q$3,'IN-NX'!$D$7=D2373,OR(LEFT(L2373,2)="15",AND(LEFT(M2373,2)&lt;&gt;"15",LEFT(M2373,2)&lt;&gt;"33"))),"x","")</f>
        <v/>
      </c>
      <c r="Y2373" s="39" t="str">
        <f>IF(AND(OR(LEFT(TH!L2373,2)="15",LEFT(TH!M2373,2)="15"),'152-CT'!$J$8=TH!F2373),"x","")</f>
        <v/>
      </c>
      <c r="Z2373" s="39" t="str">
        <f>IF(AND(OR(LEFT(TH!L2373,2)="15",LEFT(TH!M2373,2)="15"),TK!$E$7=TH!F2373),"x","")</f>
        <v/>
      </c>
      <c r="AA2373" s="39" t="str">
        <f>IF(AND(B2373&lt;=NKC!$N$8,B2373&gt;=NKC!$M$8),"x","")</f>
        <v/>
      </c>
      <c r="AB2373" s="821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109"/>
        <v/>
      </c>
      <c r="C2374" s="191"/>
      <c r="D2374" s="191"/>
      <c r="E2374" s="786"/>
      <c r="F2374" s="192"/>
      <c r="G2374" s="468"/>
      <c r="H2374" s="193"/>
      <c r="I2374" s="256"/>
      <c r="J2374" s="256"/>
      <c r="K2374" s="568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902" t="str">
        <f>IF(AND('341-CT'!$E$9=H2374,OR(LEFT(L2374,3)=$O$7,LEFT(M2374,3)=$O$7)),"x","")</f>
        <v/>
      </c>
      <c r="P2374" s="39" t="str">
        <f>IF(AND($B2374&gt;='111'!$N$11,$B2374&lt;='111'!$O$11,OR($L2374=$P$7,$M2374=$P$7)),"x","")</f>
        <v/>
      </c>
      <c r="Q2374" s="39" t="str">
        <f>IF(AND($L2374=$P$7,$B2374&lt;'111'!$N$11),"x","")</f>
        <v/>
      </c>
      <c r="R2374" s="39" t="str">
        <f>IF(AND($M2374=$P$7,$B2374&lt;'111'!$N$11),"x","")</f>
        <v/>
      </c>
      <c r="S2374" s="39" t="str">
        <f>IF(ISERROR(FIND('112'!$M$9,G2374,1)),"",IF((AND(FIND('112'!$M$9,G2374,1)&gt;=1,$B2374&gt;='112'!$N$8,$B2374&lt;='112'!$O$8,OR($L2374='112'!$I$6,$M2374='112'!$I$6))),"x",""))</f>
        <v/>
      </c>
      <c r="T2374" s="39" t="str">
        <f>IF(ISERROR(FIND('112'!$M$9,G2374,1)),"",IF((AND(LEFT(G2374,2)=LEFT('112'!$M$9,2),B2374&lt;'112'!$N$8,$L2374='112'!$I$6)),"x",""))</f>
        <v/>
      </c>
      <c r="U2374" s="39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39" t="str">
        <f>IF(OR(TH!L2374=TH!$W$7,M2374=TH!$W$7),"x","")</f>
        <v/>
      </c>
      <c r="X2374" s="39" t="str">
        <f>IF(AND(B2374&gt;='IN-NX'!$P$3,B2374&lt;='IN-NX'!$Q$3,'IN-NX'!$D$7=D2374,OR(LEFT(L2374,2)="15",AND(LEFT(M2374,2)&lt;&gt;"15",LEFT(M2374,2)&lt;&gt;"33"))),"x","")</f>
        <v/>
      </c>
      <c r="Y2374" s="39" t="str">
        <f>IF(AND(OR(LEFT(TH!L2374,2)="15",LEFT(TH!M2374,2)="15"),'152-CT'!$J$8=TH!F2374),"x","")</f>
        <v/>
      </c>
      <c r="Z2374" s="39" t="str">
        <f>IF(AND(OR(LEFT(TH!L2374,2)="15",LEFT(TH!M2374,2)="15"),TK!$E$7=TH!F2374),"x","")</f>
        <v/>
      </c>
      <c r="AA2374" s="39" t="str">
        <f>IF(AND(B2374&lt;=NKC!$N$8,B2374&gt;=NKC!$M$8),"x","")</f>
        <v/>
      </c>
      <c r="AB2374" s="821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109"/>
        <v/>
      </c>
      <c r="C2375" s="191"/>
      <c r="D2375" s="191"/>
      <c r="E2375" s="786"/>
      <c r="F2375" s="192"/>
      <c r="G2375" s="468"/>
      <c r="H2375" s="193"/>
      <c r="I2375" s="256"/>
      <c r="J2375" s="256"/>
      <c r="K2375" s="38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902" t="str">
        <f>IF(AND('341-CT'!$E$9=H2375,OR(LEFT(L2375,3)=$O$7,LEFT(M2375,3)=$O$7)),"x","")</f>
        <v/>
      </c>
      <c r="P2375" s="39" t="str">
        <f>IF(AND($B2375&gt;='111'!$N$11,$B2375&lt;='111'!$O$11,OR($L2375=$P$7,$M2375=$P$7)),"x","")</f>
        <v/>
      </c>
      <c r="Q2375" s="39" t="str">
        <f>IF(AND($L2375=$P$7,$B2375&lt;'111'!$N$11),"x","")</f>
        <v/>
      </c>
      <c r="R2375" s="39" t="str">
        <f>IF(AND($M2375=$P$7,$B2375&lt;'111'!$N$11),"x","")</f>
        <v/>
      </c>
      <c r="S2375" s="39" t="str">
        <f>IF(ISERROR(FIND('112'!$M$9,G2375,1)),"",IF((AND(FIND('112'!$M$9,G2375,1)&gt;=1,$B2375&gt;='112'!$N$8,$B2375&lt;='112'!$O$8,OR($L2375='112'!$I$6,$M2375='112'!$I$6))),"x",""))</f>
        <v/>
      </c>
      <c r="T2375" s="39" t="str">
        <f>IF(ISERROR(FIND('112'!$M$9,G2375,1)),"",IF((AND(LEFT(G2375,2)=LEFT('112'!$M$9,2),B2375&lt;'112'!$N$8,$L2375='112'!$I$6)),"x",""))</f>
        <v/>
      </c>
      <c r="U2375" s="39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39" t="str">
        <f>IF(OR(TH!L2375=TH!$W$7,M2375=TH!$W$7),"x","")</f>
        <v/>
      </c>
      <c r="X2375" s="39" t="str">
        <f>IF(AND(B2375&gt;='IN-NX'!$P$3,B2375&lt;='IN-NX'!$Q$3,'IN-NX'!$D$7=D2375,OR(LEFT(L2375,2)="15",AND(LEFT(M2375,2)&lt;&gt;"15",LEFT(M2375,2)&lt;&gt;"33"))),"x","")</f>
        <v/>
      </c>
      <c r="Y2375" s="39" t="str">
        <f>IF(AND(OR(LEFT(TH!L2375,2)="15",LEFT(TH!M2375,2)="15"),'152-CT'!$J$8=TH!F2375),"x","")</f>
        <v/>
      </c>
      <c r="Z2375" s="39" t="str">
        <f>IF(AND(OR(LEFT(TH!L2375,2)="15",LEFT(TH!M2375,2)="15"),TK!$E$7=TH!F2375),"x","")</f>
        <v/>
      </c>
      <c r="AA2375" s="39" t="str">
        <f>IF(AND(B2375&lt;=NKC!$N$8,B2375&gt;=NKC!$M$8),"x","")</f>
        <v/>
      </c>
      <c r="AB2375" s="821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109"/>
        <v/>
      </c>
      <c r="C2376" s="184"/>
      <c r="D2376" s="184"/>
      <c r="E2376" s="786"/>
      <c r="F2376" s="189"/>
      <c r="G2376" s="570"/>
      <c r="H2376" s="7"/>
      <c r="I2376" s="256"/>
      <c r="J2376" s="256"/>
      <c r="K2376" s="568"/>
      <c r="L2376" s="569"/>
      <c r="M2376" s="569"/>
      <c r="N2376" s="39" t="str">
        <f>IF(AND('331-CT'!$E$7=TH!H2376,OR(L2376="331",M2376="331")),"331",IF(AND(OR(L2376="131",M2376="131"),H2376='131-CT'!$E$7),"131",""))</f>
        <v/>
      </c>
      <c r="O2376" s="902" t="str">
        <f>IF(AND('341-CT'!$E$9=H2376,OR(LEFT(L2376,3)=$O$7,LEFT(M2376,3)=$O$7)),"x","")</f>
        <v/>
      </c>
      <c r="P2376" s="39" t="str">
        <f>IF(AND($B2376&gt;='111'!$N$11,$B2376&lt;='111'!$O$11,OR($L2376=$P$7,$M2376=$P$7)),"x","")</f>
        <v/>
      </c>
      <c r="Q2376" s="39" t="str">
        <f>IF(AND($L2376=$P$7,$B2376&lt;'111'!$N$11),"x","")</f>
        <v/>
      </c>
      <c r="R2376" s="39" t="str">
        <f>IF(AND($M2376=$P$7,$B2376&lt;'111'!$N$11),"x","")</f>
        <v/>
      </c>
      <c r="S2376" s="39" t="str">
        <f>IF(ISERROR(FIND('112'!$M$9,G2376,1)),"",IF((AND(FIND('112'!$M$9,G2376,1)&gt;=1,$B2376&gt;='112'!$N$8,$B2376&lt;='112'!$O$8,OR($L2376='112'!$I$6,$M2376='112'!$I$6))),"x",""))</f>
        <v/>
      </c>
      <c r="T2376" s="39" t="str">
        <f>IF(ISERROR(FIND('112'!$M$9,G2376,1)),"",IF((AND(LEFT(G2376,2)=LEFT('112'!$M$9,2),B2376&lt;'112'!$N$8,$L2376='112'!$I$6)),"x",""))</f>
        <v/>
      </c>
      <c r="U2376" s="39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39" t="str">
        <f>IF(OR(TH!L2376=TH!$W$7,M2376=TH!$W$7),"x","")</f>
        <v/>
      </c>
      <c r="X2376" s="39" t="str">
        <f>IF(AND(B2376&gt;='IN-NX'!$P$3,B2376&lt;='IN-NX'!$Q$3,'IN-NX'!$D$7=D2376,OR(LEFT(L2376,2)="15",AND(LEFT(M2376,2)&lt;&gt;"15",LEFT(M2376,2)&lt;&gt;"33"))),"x","")</f>
        <v/>
      </c>
      <c r="Y2376" s="39" t="str">
        <f>IF(AND(OR(LEFT(TH!L2376,2)="15",LEFT(TH!M2376,2)="15"),'152-CT'!$J$8=TH!F2376),"x","")</f>
        <v/>
      </c>
      <c r="Z2376" s="39" t="str">
        <f>IF(AND(OR(LEFT(TH!L2376,2)="15",LEFT(TH!M2376,2)="15"),TK!$E$7=TH!F2376),"x","")</f>
        <v/>
      </c>
      <c r="AA2376" s="39" t="str">
        <f>IF(AND(B2376&lt;=NKC!$N$8,B2376&gt;=NKC!$M$8),"x","")</f>
        <v/>
      </c>
      <c r="AB2376" s="821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109"/>
        <v/>
      </c>
      <c r="C2377" s="184"/>
      <c r="D2377" s="184"/>
      <c r="E2377" s="786"/>
      <c r="F2377" s="189"/>
      <c r="G2377" s="570"/>
      <c r="H2377" s="7"/>
      <c r="I2377" s="256"/>
      <c r="J2377" s="256"/>
      <c r="K2377" s="568"/>
      <c r="L2377" s="569"/>
      <c r="M2377" s="569"/>
      <c r="N2377" s="39" t="str">
        <f>IF(AND('331-CT'!$E$7=TH!H2377,OR(L2377="331",M2377="331")),"331",IF(AND(OR(L2377="131",M2377="131"),H2377='131-CT'!$E$7),"131",""))</f>
        <v/>
      </c>
      <c r="O2377" s="902" t="str">
        <f>IF(AND('341-CT'!$E$9=H2377,OR(LEFT(L2377,3)=$O$7,LEFT(M2377,3)=$O$7)),"x","")</f>
        <v/>
      </c>
      <c r="P2377" s="39" t="str">
        <f>IF(AND($B2377&gt;='111'!$N$11,$B2377&lt;='111'!$O$11,OR($L2377=$P$7,$M2377=$P$7)),"x","")</f>
        <v/>
      </c>
      <c r="Q2377" s="39" t="str">
        <f>IF(AND($L2377=$P$7,$B2377&lt;'111'!$N$11),"x","")</f>
        <v/>
      </c>
      <c r="R2377" s="39" t="str">
        <f>IF(AND($M2377=$P$7,$B2377&lt;'111'!$N$11),"x","")</f>
        <v/>
      </c>
      <c r="S2377" s="39" t="str">
        <f>IF(ISERROR(FIND('112'!$M$9,G2377,1)),"",IF((AND(FIND('112'!$M$9,G2377,1)&gt;=1,$B2377&gt;='112'!$N$8,$B2377&lt;='112'!$O$8,OR($L2377='112'!$I$6,$M2377='112'!$I$6))),"x",""))</f>
        <v/>
      </c>
      <c r="T2377" s="39" t="str">
        <f>IF(ISERROR(FIND('112'!$M$9,G2377,1)),"",IF((AND(LEFT(G2377,2)=LEFT('112'!$M$9,2),B2377&lt;'112'!$N$8,$L2377='112'!$I$6)),"x",""))</f>
        <v/>
      </c>
      <c r="U2377" s="39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39" t="str">
        <f>IF(OR(TH!L2377=TH!$W$7,M2377=TH!$W$7),"x","")</f>
        <v/>
      </c>
      <c r="X2377" s="39" t="str">
        <f>IF(AND(B2377&gt;='IN-NX'!$P$3,B2377&lt;='IN-NX'!$Q$3,'IN-NX'!$D$7=D2377,OR(LEFT(L2377,2)="15",AND(LEFT(M2377,2)&lt;&gt;"15",LEFT(M2377,2)&lt;&gt;"33"))),"x","")</f>
        <v/>
      </c>
      <c r="Y2377" s="39" t="str">
        <f>IF(AND(OR(LEFT(TH!L2377,2)="15",LEFT(TH!M2377,2)="15"),'152-CT'!$J$8=TH!F2377),"x","")</f>
        <v/>
      </c>
      <c r="Z2377" s="39" t="str">
        <f>IF(AND(OR(LEFT(TH!L2377,2)="15",LEFT(TH!M2377,2)="15"),TK!$E$7=TH!F2377),"x","")</f>
        <v/>
      </c>
      <c r="AA2377" s="39" t="str">
        <f>IF(AND(B2377&lt;=NKC!$N$8,B2377&gt;=NKC!$M$8),"x","")</f>
        <v/>
      </c>
      <c r="AB2377" s="821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109"/>
        <v/>
      </c>
      <c r="C2378" s="184"/>
      <c r="D2378" s="184"/>
      <c r="E2378" s="786"/>
      <c r="F2378" s="189"/>
      <c r="G2378" s="570"/>
      <c r="H2378" s="7"/>
      <c r="I2378" s="256"/>
      <c r="J2378" s="256"/>
      <c r="K2378" s="568"/>
      <c r="L2378" s="569"/>
      <c r="M2378" s="569"/>
      <c r="N2378" s="39" t="str">
        <f>IF(AND('331-CT'!$E$7=TH!H2378,OR(L2378="331",M2378="331")),"331",IF(AND(OR(L2378="131",M2378="131"),H2378='131-CT'!$E$7),"131",""))</f>
        <v/>
      </c>
      <c r="O2378" s="902" t="str">
        <f>IF(AND('341-CT'!$E$9=H2378,OR(LEFT(L2378,3)=$O$7,LEFT(M2378,3)=$O$7)),"x","")</f>
        <v/>
      </c>
      <c r="P2378" s="39" t="str">
        <f>IF(AND($B2378&gt;='111'!$N$11,$B2378&lt;='111'!$O$11,OR($L2378=$P$7,$M2378=$P$7)),"x","")</f>
        <v/>
      </c>
      <c r="Q2378" s="39" t="str">
        <f>IF(AND($L2378=$P$7,$B2378&lt;'111'!$N$11),"x","")</f>
        <v/>
      </c>
      <c r="R2378" s="39" t="str">
        <f>IF(AND($M2378=$P$7,$B2378&lt;'111'!$N$11),"x","")</f>
        <v/>
      </c>
      <c r="S2378" s="39" t="str">
        <f>IF(ISERROR(FIND('112'!$M$9,G2378,1)),"",IF((AND(FIND('112'!$M$9,G2378,1)&gt;=1,$B2378&gt;='112'!$N$8,$B2378&lt;='112'!$O$8,OR($L2378='112'!$I$6,$M2378='112'!$I$6))),"x",""))</f>
        <v/>
      </c>
      <c r="T2378" s="39" t="str">
        <f>IF(ISERROR(FIND('112'!$M$9,G2378,1)),"",IF((AND(LEFT(G2378,2)=LEFT('112'!$M$9,2),B2378&lt;'112'!$N$8,$L2378='112'!$I$6)),"x",""))</f>
        <v/>
      </c>
      <c r="U2378" s="39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39" t="str">
        <f>IF(OR(TH!L2378=TH!$W$7,M2378=TH!$W$7),"x","")</f>
        <v/>
      </c>
      <c r="X2378" s="39" t="str">
        <f>IF(AND(B2378&gt;='IN-NX'!$P$3,B2378&lt;='IN-NX'!$Q$3,'IN-NX'!$D$7=D2378,OR(LEFT(L2378,2)="15",AND(LEFT(M2378,2)&lt;&gt;"15",LEFT(M2378,2)&lt;&gt;"33"))),"x","")</f>
        <v/>
      </c>
      <c r="Y2378" s="39" t="str">
        <f>IF(AND(OR(LEFT(TH!L2378,2)="15",LEFT(TH!M2378,2)="15"),'152-CT'!$J$8=TH!F2378),"x","")</f>
        <v/>
      </c>
      <c r="Z2378" s="39" t="str">
        <f>IF(AND(OR(LEFT(TH!L2378,2)="15",LEFT(TH!M2378,2)="15"),TK!$E$7=TH!F2378),"x","")</f>
        <v/>
      </c>
      <c r="AA2378" s="39" t="str">
        <f>IF(AND(B2378&lt;=NKC!$N$8,B2378&gt;=NKC!$M$8),"x","")</f>
        <v/>
      </c>
      <c r="AB2378" s="821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109"/>
        <v/>
      </c>
      <c r="C2379" s="191"/>
      <c r="D2379" s="191"/>
      <c r="E2379" s="786"/>
      <c r="F2379" s="192"/>
      <c r="G2379" s="468"/>
      <c r="H2379" s="193"/>
      <c r="I2379" s="256"/>
      <c r="J2379" s="256"/>
      <c r="K2379" s="56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902" t="str">
        <f>IF(AND('341-CT'!$E$9=H2379,OR(LEFT(L2379,3)=$O$7,LEFT(M2379,3)=$O$7)),"x","")</f>
        <v/>
      </c>
      <c r="P2379" s="39" t="str">
        <f>IF(AND($B2379&gt;='111'!$N$11,$B2379&lt;='111'!$O$11,OR($L2379=$P$7,$M2379=$P$7)),"x","")</f>
        <v/>
      </c>
      <c r="Q2379" s="39" t="str">
        <f>IF(AND($L2379=$P$7,$B2379&lt;'111'!$N$11),"x","")</f>
        <v/>
      </c>
      <c r="R2379" s="39" t="str">
        <f>IF(AND($M2379=$P$7,$B2379&lt;'111'!$N$11),"x","")</f>
        <v/>
      </c>
      <c r="S2379" s="39" t="str">
        <f>IF(ISERROR(FIND('112'!$M$9,G2379,1)),"",IF((AND(FIND('112'!$M$9,G2379,1)&gt;=1,$B2379&gt;='112'!$N$8,$B2379&lt;='112'!$O$8,OR($L2379='112'!$I$6,$M2379='112'!$I$6))),"x",""))</f>
        <v/>
      </c>
      <c r="T2379" s="39" t="str">
        <f>IF(ISERROR(FIND('112'!$M$9,G2379,1)),"",IF((AND(LEFT(G2379,2)=LEFT('112'!$M$9,2),B2379&lt;'112'!$N$8,$L2379='112'!$I$6)),"x",""))</f>
        <v/>
      </c>
      <c r="U2379" s="39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39" t="str">
        <f>IF(OR(TH!L2379=TH!$W$7,M2379=TH!$W$7),"x","")</f>
        <v/>
      </c>
      <c r="X2379" s="39" t="str">
        <f>IF(AND(B2379&gt;='IN-NX'!$P$3,B2379&lt;='IN-NX'!$Q$3,'IN-NX'!$D$7=D2379,OR(LEFT(L2379,2)="15",AND(LEFT(M2379,2)&lt;&gt;"15",LEFT(M2379,2)&lt;&gt;"33"))),"x","")</f>
        <v/>
      </c>
      <c r="Y2379" s="39" t="str">
        <f>IF(AND(OR(LEFT(TH!L2379,2)="15",LEFT(TH!M2379,2)="15"),'152-CT'!$J$8=TH!F2379),"x","")</f>
        <v/>
      </c>
      <c r="Z2379" s="39" t="str">
        <f>IF(AND(OR(LEFT(TH!L2379,2)="15",LEFT(TH!M2379,2)="15"),TK!$E$7=TH!F2379),"x","")</f>
        <v/>
      </c>
      <c r="AA2379" s="39" t="str">
        <f>IF(AND(B2379&lt;=NKC!$N$8,B2379&gt;=NKC!$M$8),"x","")</f>
        <v/>
      </c>
      <c r="AB2379" s="821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109"/>
        <v/>
      </c>
      <c r="C2380" s="191"/>
      <c r="D2380" s="191"/>
      <c r="E2380" s="786"/>
      <c r="F2380" s="192"/>
      <c r="G2380" s="468"/>
      <c r="H2380" s="193"/>
      <c r="I2380" s="256"/>
      <c r="J2380" s="256"/>
      <c r="K2380" s="568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902" t="str">
        <f>IF(AND('341-CT'!$E$9=H2380,OR(LEFT(L2380,3)=$O$7,LEFT(M2380,3)=$O$7)),"x","")</f>
        <v/>
      </c>
      <c r="P2380" s="39" t="str">
        <f>IF(AND($B2380&gt;='111'!$N$11,$B2380&lt;='111'!$O$11,OR($L2380=$P$7,$M2380=$P$7)),"x","")</f>
        <v/>
      </c>
      <c r="Q2380" s="39" t="str">
        <f>IF(AND($L2380=$P$7,$B2380&lt;'111'!$N$11),"x","")</f>
        <v/>
      </c>
      <c r="R2380" s="39" t="str">
        <f>IF(AND($M2380=$P$7,$B2380&lt;'111'!$N$11),"x","")</f>
        <v/>
      </c>
      <c r="S2380" s="39" t="str">
        <f>IF(ISERROR(FIND('112'!$M$9,G2380,1)),"",IF((AND(FIND('112'!$M$9,G2380,1)&gt;=1,$B2380&gt;='112'!$N$8,$B2380&lt;='112'!$O$8,OR($L2380='112'!$I$6,$M2380='112'!$I$6))),"x",""))</f>
        <v/>
      </c>
      <c r="T2380" s="39" t="str">
        <f>IF(ISERROR(FIND('112'!$M$9,G2380,1)),"",IF((AND(LEFT(G2380,2)=LEFT('112'!$M$9,2),B2380&lt;'112'!$N$8,$L2380='112'!$I$6)),"x",""))</f>
        <v/>
      </c>
      <c r="U2380" s="39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39" t="str">
        <f>IF(OR(TH!L2380=TH!$W$7,M2380=TH!$W$7),"x","")</f>
        <v/>
      </c>
      <c r="X2380" s="39" t="str">
        <f>IF(AND(B2380&gt;='IN-NX'!$P$3,B2380&lt;='IN-NX'!$Q$3,'IN-NX'!$D$7=D2380,OR(LEFT(L2380,2)="15",AND(LEFT(M2380,2)&lt;&gt;"15",LEFT(M2380,2)&lt;&gt;"33"))),"x","")</f>
        <v/>
      </c>
      <c r="Y2380" s="39" t="str">
        <f>IF(AND(OR(LEFT(TH!L2380,2)="15",LEFT(TH!M2380,2)="15"),'152-CT'!$J$8=TH!F2380),"x","")</f>
        <v/>
      </c>
      <c r="Z2380" s="39" t="str">
        <f>IF(AND(OR(LEFT(TH!L2380,2)="15",LEFT(TH!M2380,2)="15"),TK!$E$7=TH!F2380),"x","")</f>
        <v/>
      </c>
      <c r="AA2380" s="39" t="str">
        <f>IF(AND(B2380&lt;=NKC!$N$8,B2380&gt;=NKC!$M$8),"x","")</f>
        <v/>
      </c>
      <c r="AB2380" s="821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109"/>
        <v/>
      </c>
      <c r="C2381" s="191"/>
      <c r="D2381" s="191"/>
      <c r="E2381" s="786"/>
      <c r="F2381" s="192"/>
      <c r="G2381" s="468"/>
      <c r="H2381" s="193"/>
      <c r="I2381" s="256"/>
      <c r="J2381" s="256"/>
      <c r="K2381" s="568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902" t="str">
        <f>IF(AND('341-CT'!$E$9=H2381,OR(LEFT(L2381,3)=$O$7,LEFT(M2381,3)=$O$7)),"x","")</f>
        <v/>
      </c>
      <c r="P2381" s="39" t="str">
        <f>IF(AND($B2381&gt;='111'!$N$11,$B2381&lt;='111'!$O$11,OR($L2381=$P$7,$M2381=$P$7)),"x","")</f>
        <v/>
      </c>
      <c r="Q2381" s="39" t="str">
        <f>IF(AND($L2381=$P$7,$B2381&lt;'111'!$N$11),"x","")</f>
        <v/>
      </c>
      <c r="R2381" s="39" t="str">
        <f>IF(AND($M2381=$P$7,$B2381&lt;'111'!$N$11),"x","")</f>
        <v/>
      </c>
      <c r="S2381" s="39" t="str">
        <f>IF(ISERROR(FIND('112'!$M$9,G2381,1)),"",IF((AND(FIND('112'!$M$9,G2381,1)&gt;=1,$B2381&gt;='112'!$N$8,$B2381&lt;='112'!$O$8,OR($L2381='112'!$I$6,$M2381='112'!$I$6))),"x",""))</f>
        <v/>
      </c>
      <c r="T2381" s="39" t="str">
        <f>IF(ISERROR(FIND('112'!$M$9,G2381,1)),"",IF((AND(LEFT(G2381,2)=LEFT('112'!$M$9,2),B2381&lt;'112'!$N$8,$L2381='112'!$I$6)),"x",""))</f>
        <v/>
      </c>
      <c r="U2381" s="39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39" t="str">
        <f>IF(OR(TH!L2381=TH!$W$7,M2381=TH!$W$7),"x","")</f>
        <v/>
      </c>
      <c r="X2381" s="39" t="str">
        <f>IF(AND(B2381&gt;='IN-NX'!$P$3,B2381&lt;='IN-NX'!$Q$3,'IN-NX'!$D$7=D2381,OR(LEFT(L2381,2)="15",AND(LEFT(M2381,2)&lt;&gt;"15",LEFT(M2381,2)&lt;&gt;"33"))),"x","")</f>
        <v/>
      </c>
      <c r="Y2381" s="39" t="str">
        <f>IF(AND(OR(LEFT(TH!L2381,2)="15",LEFT(TH!M2381,2)="15"),'152-CT'!$J$8=TH!F2381),"x","")</f>
        <v/>
      </c>
      <c r="Z2381" s="39" t="str">
        <f>IF(AND(OR(LEFT(TH!L2381,2)="15",LEFT(TH!M2381,2)="15"),TK!$E$7=TH!F2381),"x","")</f>
        <v/>
      </c>
      <c r="AA2381" s="39" t="str">
        <f>IF(AND(B2381&lt;=NKC!$N$8,B2381&gt;=NKC!$M$8),"x","")</f>
        <v/>
      </c>
      <c r="AB2381" s="821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109"/>
        <v/>
      </c>
      <c r="C2382" s="191"/>
      <c r="D2382" s="191"/>
      <c r="E2382" s="786"/>
      <c r="F2382" s="192"/>
      <c r="G2382" s="468"/>
      <c r="H2382" s="193"/>
      <c r="I2382" s="256"/>
      <c r="J2382" s="256"/>
      <c r="K2382" s="568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902" t="str">
        <f>IF(AND('341-CT'!$E$9=H2382,OR(LEFT(L2382,3)=$O$7,LEFT(M2382,3)=$O$7)),"x","")</f>
        <v/>
      </c>
      <c r="P2382" s="39" t="str">
        <f>IF(AND($B2382&gt;='111'!$N$11,$B2382&lt;='111'!$O$11,OR($L2382=$P$7,$M2382=$P$7)),"x","")</f>
        <v/>
      </c>
      <c r="Q2382" s="39" t="str">
        <f>IF(AND($L2382=$P$7,$B2382&lt;'111'!$N$11),"x","")</f>
        <v/>
      </c>
      <c r="R2382" s="39" t="str">
        <f>IF(AND($M2382=$P$7,$B2382&lt;'111'!$N$11),"x","")</f>
        <v/>
      </c>
      <c r="S2382" s="39" t="str">
        <f>IF(ISERROR(FIND('112'!$M$9,G2382,1)),"",IF((AND(FIND('112'!$M$9,G2382,1)&gt;=1,$B2382&gt;='112'!$N$8,$B2382&lt;='112'!$O$8,OR($L2382='112'!$I$6,$M2382='112'!$I$6))),"x",""))</f>
        <v/>
      </c>
      <c r="T2382" s="39" t="str">
        <f>IF(ISERROR(FIND('112'!$M$9,G2382,1)),"",IF((AND(LEFT(G2382,2)=LEFT('112'!$M$9,2),B2382&lt;'112'!$N$8,$L2382='112'!$I$6)),"x",""))</f>
        <v/>
      </c>
      <c r="U2382" s="39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39" t="str">
        <f>IF(OR(TH!L2382=TH!$W$7,M2382=TH!$W$7),"x","")</f>
        <v/>
      </c>
      <c r="X2382" s="39" t="str">
        <f>IF(AND(B2382&gt;='IN-NX'!$P$3,B2382&lt;='IN-NX'!$Q$3,'IN-NX'!$D$7=D2382,OR(LEFT(L2382,2)="15",AND(LEFT(M2382,2)&lt;&gt;"15",LEFT(M2382,2)&lt;&gt;"33"))),"x","")</f>
        <v/>
      </c>
      <c r="Y2382" s="39" t="str">
        <f>IF(AND(OR(LEFT(TH!L2382,2)="15",LEFT(TH!M2382,2)="15"),'152-CT'!$J$8=TH!F2382),"x","")</f>
        <v/>
      </c>
      <c r="Z2382" s="39" t="str">
        <f>IF(AND(OR(LEFT(TH!L2382,2)="15",LEFT(TH!M2382,2)="15"),TK!$E$7=TH!F2382),"x","")</f>
        <v/>
      </c>
      <c r="AA2382" s="39" t="str">
        <f>IF(AND(B2382&lt;=NKC!$N$8,B2382&gt;=NKC!$M$8),"x","")</f>
        <v/>
      </c>
      <c r="AB2382" s="821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109"/>
        <v/>
      </c>
      <c r="C2383" s="191"/>
      <c r="D2383" s="191"/>
      <c r="E2383" s="786"/>
      <c r="F2383" s="192"/>
      <c r="G2383" s="468"/>
      <c r="H2383" s="193"/>
      <c r="I2383" s="256"/>
      <c r="J2383" s="256"/>
      <c r="K2383" s="568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902" t="str">
        <f>IF(AND('341-CT'!$E$9=H2383,OR(LEFT(L2383,3)=$O$7,LEFT(M2383,3)=$O$7)),"x","")</f>
        <v/>
      </c>
      <c r="P2383" s="39" t="str">
        <f>IF(AND($B2383&gt;='111'!$N$11,$B2383&lt;='111'!$O$11,OR($L2383=$P$7,$M2383=$P$7)),"x","")</f>
        <v/>
      </c>
      <c r="Q2383" s="39" t="str">
        <f>IF(AND($L2383=$P$7,$B2383&lt;'111'!$N$11),"x","")</f>
        <v/>
      </c>
      <c r="R2383" s="39" t="str">
        <f>IF(AND($M2383=$P$7,$B2383&lt;'111'!$N$11),"x","")</f>
        <v/>
      </c>
      <c r="S2383" s="39" t="str">
        <f>IF(ISERROR(FIND('112'!$M$9,G2383,1)),"",IF((AND(FIND('112'!$M$9,G2383,1)&gt;=1,$B2383&gt;='112'!$N$8,$B2383&lt;='112'!$O$8,OR($L2383='112'!$I$6,$M2383='112'!$I$6))),"x",""))</f>
        <v/>
      </c>
      <c r="T2383" s="39" t="str">
        <f>IF(ISERROR(FIND('112'!$M$9,G2383,1)),"",IF((AND(LEFT(G2383,2)=LEFT('112'!$M$9,2),B2383&lt;'112'!$N$8,$L2383='112'!$I$6)),"x",""))</f>
        <v/>
      </c>
      <c r="U2383" s="39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39" t="str">
        <f>IF(OR(TH!L2383=TH!$W$7,M2383=TH!$W$7),"x","")</f>
        <v/>
      </c>
      <c r="X2383" s="39" t="str">
        <f>IF(AND(B2383&gt;='IN-NX'!$P$3,B2383&lt;='IN-NX'!$Q$3,'IN-NX'!$D$7=D2383,OR(LEFT(L2383,2)="15",AND(LEFT(M2383,2)&lt;&gt;"15",LEFT(M2383,2)&lt;&gt;"33"))),"x","")</f>
        <v/>
      </c>
      <c r="Y2383" s="39" t="str">
        <f>IF(AND(OR(LEFT(TH!L2383,2)="15",LEFT(TH!M2383,2)="15"),'152-CT'!$J$8=TH!F2383),"x","")</f>
        <v/>
      </c>
      <c r="Z2383" s="39" t="str">
        <f>IF(AND(OR(LEFT(TH!L2383,2)="15",LEFT(TH!M2383,2)="15"),TK!$E$7=TH!F2383),"x","")</f>
        <v/>
      </c>
      <c r="AA2383" s="39" t="str">
        <f>IF(AND(B2383&lt;=NKC!$N$8,B2383&gt;=NKC!$M$8),"x","")</f>
        <v/>
      </c>
      <c r="AB2383" s="821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109"/>
        <v/>
      </c>
      <c r="C2384" s="191"/>
      <c r="D2384" s="191"/>
      <c r="E2384" s="786"/>
      <c r="F2384" s="192"/>
      <c r="G2384" s="468"/>
      <c r="H2384" s="193"/>
      <c r="I2384" s="256"/>
      <c r="J2384" s="256"/>
      <c r="K2384" s="568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902" t="str">
        <f>IF(AND('341-CT'!$E$9=H2384,OR(LEFT(L2384,3)=$O$7,LEFT(M2384,3)=$O$7)),"x","")</f>
        <v/>
      </c>
      <c r="P2384" s="39" t="str">
        <f>IF(AND($B2384&gt;='111'!$N$11,$B2384&lt;='111'!$O$11,OR($L2384=$P$7,$M2384=$P$7)),"x","")</f>
        <v/>
      </c>
      <c r="Q2384" s="39" t="str">
        <f>IF(AND($L2384=$P$7,$B2384&lt;'111'!$N$11),"x","")</f>
        <v/>
      </c>
      <c r="R2384" s="39" t="str">
        <f>IF(AND($M2384=$P$7,$B2384&lt;'111'!$N$11),"x","")</f>
        <v/>
      </c>
      <c r="S2384" s="39" t="str">
        <f>IF(ISERROR(FIND('112'!$M$9,G2384,1)),"",IF((AND(FIND('112'!$M$9,G2384,1)&gt;=1,$B2384&gt;='112'!$N$8,$B2384&lt;='112'!$O$8,OR($L2384='112'!$I$6,$M2384='112'!$I$6))),"x",""))</f>
        <v/>
      </c>
      <c r="T2384" s="39" t="str">
        <f>IF(ISERROR(FIND('112'!$M$9,G2384,1)),"",IF((AND(LEFT(G2384,2)=LEFT('112'!$M$9,2),B2384&lt;'112'!$N$8,$L2384='112'!$I$6)),"x",""))</f>
        <v/>
      </c>
      <c r="U2384" s="39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39" t="str">
        <f>IF(OR(TH!L2384=TH!$W$7,M2384=TH!$W$7),"x","")</f>
        <v/>
      </c>
      <c r="X2384" s="39" t="str">
        <f>IF(AND(B2384&gt;='IN-NX'!$P$3,B2384&lt;='IN-NX'!$Q$3,'IN-NX'!$D$7=D2384,OR(LEFT(L2384,2)="15",AND(LEFT(M2384,2)&lt;&gt;"15",LEFT(M2384,2)&lt;&gt;"33"))),"x","")</f>
        <v/>
      </c>
      <c r="Y2384" s="39" t="str">
        <f>IF(AND(OR(LEFT(TH!L2384,2)="15",LEFT(TH!M2384,2)="15"),'152-CT'!$J$8=TH!F2384),"x","")</f>
        <v/>
      </c>
      <c r="Z2384" s="39" t="str">
        <f>IF(AND(OR(LEFT(TH!L2384,2)="15",LEFT(TH!M2384,2)="15"),TK!$E$7=TH!F2384),"x","")</f>
        <v/>
      </c>
      <c r="AA2384" s="39" t="str">
        <f>IF(AND(B2384&lt;=NKC!$N$8,B2384&gt;=NKC!$M$8),"x","")</f>
        <v/>
      </c>
      <c r="AB2384" s="821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109"/>
        <v/>
      </c>
      <c r="C2385" s="191"/>
      <c r="D2385" s="191"/>
      <c r="E2385" s="786"/>
      <c r="F2385" s="192"/>
      <c r="G2385" s="468"/>
      <c r="H2385" s="193"/>
      <c r="I2385" s="256"/>
      <c r="J2385" s="256"/>
      <c r="K2385" s="568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902" t="str">
        <f>IF(AND('341-CT'!$E$9=H2385,OR(LEFT(L2385,3)=$O$7,LEFT(M2385,3)=$O$7)),"x","")</f>
        <v/>
      </c>
      <c r="P2385" s="39" t="str">
        <f>IF(AND($B2385&gt;='111'!$N$11,$B2385&lt;='111'!$O$11,OR($L2385=$P$7,$M2385=$P$7)),"x","")</f>
        <v/>
      </c>
      <c r="Q2385" s="39" t="str">
        <f>IF(AND($L2385=$P$7,$B2385&lt;'111'!$N$11),"x","")</f>
        <v/>
      </c>
      <c r="R2385" s="39" t="str">
        <f>IF(AND($M2385=$P$7,$B2385&lt;'111'!$N$11),"x","")</f>
        <v/>
      </c>
      <c r="S2385" s="39" t="str">
        <f>IF(ISERROR(FIND('112'!$M$9,G2385,1)),"",IF((AND(FIND('112'!$M$9,G2385,1)&gt;=1,$B2385&gt;='112'!$N$8,$B2385&lt;='112'!$O$8,OR($L2385='112'!$I$6,$M2385='112'!$I$6))),"x",""))</f>
        <v/>
      </c>
      <c r="T2385" s="39" t="str">
        <f>IF(ISERROR(FIND('112'!$M$9,G2385,1)),"",IF((AND(LEFT(G2385,2)=LEFT('112'!$M$9,2),B2385&lt;'112'!$N$8,$L2385='112'!$I$6)),"x",""))</f>
        <v/>
      </c>
      <c r="U2385" s="39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39" t="str">
        <f>IF(OR(TH!L2385=TH!$W$7,M2385=TH!$W$7),"x","")</f>
        <v/>
      </c>
      <c r="X2385" s="39" t="str">
        <f>IF(AND(B2385&gt;='IN-NX'!$P$3,B2385&lt;='IN-NX'!$Q$3,'IN-NX'!$D$7=D2385,OR(LEFT(L2385,2)="15",AND(LEFT(M2385,2)&lt;&gt;"15",LEFT(M2385,2)&lt;&gt;"33"))),"x","")</f>
        <v/>
      </c>
      <c r="Y2385" s="39" t="str">
        <f>IF(AND(OR(LEFT(TH!L2385,2)="15",LEFT(TH!M2385,2)="15"),'152-CT'!$J$8=TH!F2385),"x","")</f>
        <v/>
      </c>
      <c r="Z2385" s="39" t="str">
        <f>IF(AND(OR(LEFT(TH!L2385,2)="15",LEFT(TH!M2385,2)="15"),TK!$E$7=TH!F2385),"x","")</f>
        <v/>
      </c>
      <c r="AA2385" s="39" t="str">
        <f>IF(AND(B2385&lt;=NKC!$N$8,B2385&gt;=NKC!$M$8),"x","")</f>
        <v/>
      </c>
      <c r="AB2385" s="821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109"/>
        <v/>
      </c>
      <c r="C2386" s="191"/>
      <c r="D2386" s="191"/>
      <c r="E2386" s="786"/>
      <c r="F2386" s="192"/>
      <c r="G2386" s="468"/>
      <c r="H2386" s="193"/>
      <c r="I2386" s="256"/>
      <c r="J2386" s="256"/>
      <c r="K2386" s="568"/>
      <c r="L2386" s="194"/>
      <c r="M2386" s="194"/>
      <c r="N2386" s="39" t="str">
        <f>IF(AND('331-CT'!$E$7=TH!H2386,OR(L2386="331",M2386="331")),"331",IF(AND(OR(L2386="131",M2386="131"),H2386='131-CT'!$E$7),"131",""))</f>
        <v/>
      </c>
      <c r="O2386" s="902" t="str">
        <f>IF(AND('341-CT'!$E$9=H2386,OR(LEFT(L2386,3)=$O$7,LEFT(M2386,3)=$O$7)),"x","")</f>
        <v/>
      </c>
      <c r="P2386" s="39" t="str">
        <f>IF(AND($B2386&gt;='111'!$N$11,$B2386&lt;='111'!$O$11,OR($L2386=$P$7,$M2386=$P$7)),"x","")</f>
        <v/>
      </c>
      <c r="Q2386" s="39" t="str">
        <f>IF(AND($L2386=$P$7,$B2386&lt;'111'!$N$11),"x","")</f>
        <v/>
      </c>
      <c r="R2386" s="39" t="str">
        <f>IF(AND($M2386=$P$7,$B2386&lt;'111'!$N$11),"x","")</f>
        <v/>
      </c>
      <c r="S2386" s="39" t="str">
        <f>IF(ISERROR(FIND('112'!$M$9,G2386,1)),"",IF((AND(FIND('112'!$M$9,G2386,1)&gt;=1,$B2386&gt;='112'!$N$8,$B2386&lt;='112'!$O$8,OR($L2386='112'!$I$6,$M2386='112'!$I$6))),"x",""))</f>
        <v/>
      </c>
      <c r="T2386" s="39" t="str">
        <f>IF(ISERROR(FIND('112'!$M$9,G2386,1)),"",IF((AND(LEFT(G2386,2)=LEFT('112'!$M$9,2),B2386&lt;'112'!$N$8,$L2386='112'!$I$6)),"x",""))</f>
        <v/>
      </c>
      <c r="U2386" s="39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39" t="str">
        <f>IF(OR(TH!L2386=TH!$W$7,M2386=TH!$W$7),"x","")</f>
        <v/>
      </c>
      <c r="X2386" s="39" t="str">
        <f>IF(AND(B2386&gt;='IN-NX'!$P$3,B2386&lt;='IN-NX'!$Q$3,'IN-NX'!$D$7=D2386,OR(LEFT(L2386,2)="15",AND(LEFT(M2386,2)&lt;&gt;"15",LEFT(M2386,2)&lt;&gt;"33"))),"x","")</f>
        <v/>
      </c>
      <c r="Y2386" s="39" t="str">
        <f>IF(AND(OR(LEFT(TH!L2386,2)="15",LEFT(TH!M2386,2)="15"),'152-CT'!$J$8=TH!F2386),"x","")</f>
        <v/>
      </c>
      <c r="Z2386" s="39" t="str">
        <f>IF(AND(OR(LEFT(TH!L2386,2)="15",LEFT(TH!M2386,2)="15"),TK!$E$7=TH!F2386),"x","")</f>
        <v/>
      </c>
      <c r="AA2386" s="39" t="str">
        <f>IF(AND(B2386&lt;=NKC!$N$8,B2386&gt;=NKC!$M$8),"x","")</f>
        <v/>
      </c>
      <c r="AB2386" s="821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109"/>
        <v/>
      </c>
      <c r="C2387" s="191"/>
      <c r="D2387" s="191"/>
      <c r="E2387" s="786"/>
      <c r="F2387" s="192"/>
      <c r="G2387" s="468"/>
      <c r="H2387" s="193"/>
      <c r="I2387" s="256"/>
      <c r="J2387" s="256"/>
      <c r="K2387" s="38"/>
      <c r="L2387" s="194"/>
      <c r="M2387" s="194"/>
      <c r="N2387" s="39" t="str">
        <f>IF(AND('331-CT'!$E$7=TH!H2387,OR(L2387="331",M2387="331")),"331",IF(AND(OR(L2387="131",M2387="131"),H2387='131-CT'!$E$7),"131",""))</f>
        <v/>
      </c>
      <c r="O2387" s="902" t="str">
        <f>IF(AND('341-CT'!$E$9=H2387,OR(LEFT(L2387,3)=$O$7,LEFT(M2387,3)=$O$7)),"x","")</f>
        <v/>
      </c>
      <c r="P2387" s="39" t="str">
        <f>IF(AND($B2387&gt;='111'!$N$11,$B2387&lt;='111'!$O$11,OR($L2387=$P$7,$M2387=$P$7)),"x","")</f>
        <v/>
      </c>
      <c r="Q2387" s="39" t="str">
        <f>IF(AND($L2387=$P$7,$B2387&lt;'111'!$N$11),"x","")</f>
        <v/>
      </c>
      <c r="R2387" s="39" t="str">
        <f>IF(AND($M2387=$P$7,$B2387&lt;'111'!$N$11),"x","")</f>
        <v/>
      </c>
      <c r="S2387" s="39" t="str">
        <f>IF(ISERROR(FIND('112'!$M$9,G2387,1)),"",IF((AND(FIND('112'!$M$9,G2387,1)&gt;=1,$B2387&gt;='112'!$N$8,$B2387&lt;='112'!$O$8,OR($L2387='112'!$I$6,$M2387='112'!$I$6))),"x",""))</f>
        <v/>
      </c>
      <c r="T2387" s="39" t="str">
        <f>IF(ISERROR(FIND('112'!$M$9,G2387,1)),"",IF((AND(LEFT(G2387,2)=LEFT('112'!$M$9,2),B2387&lt;'112'!$N$8,$L2387='112'!$I$6)),"x",""))</f>
        <v/>
      </c>
      <c r="U2387" s="39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39" t="str">
        <f>IF(OR(TH!L2387=TH!$W$7,M2387=TH!$W$7),"x","")</f>
        <v/>
      </c>
      <c r="X2387" s="39" t="str">
        <f>IF(AND(B2387&gt;='IN-NX'!$P$3,B2387&lt;='IN-NX'!$Q$3,'IN-NX'!$D$7=D2387,OR(LEFT(L2387,2)="15",AND(LEFT(M2387,2)&lt;&gt;"15",LEFT(M2387,2)&lt;&gt;"33"))),"x","")</f>
        <v/>
      </c>
      <c r="Y2387" s="39" t="str">
        <f>IF(AND(OR(LEFT(TH!L2387,2)="15",LEFT(TH!M2387,2)="15"),'152-CT'!$J$8=TH!F2387),"x","")</f>
        <v/>
      </c>
      <c r="Z2387" s="39" t="str">
        <f>IF(AND(OR(LEFT(TH!L2387,2)="15",LEFT(TH!M2387,2)="15"),TK!$E$7=TH!F2387),"x","")</f>
        <v/>
      </c>
      <c r="AA2387" s="39" t="str">
        <f>IF(AND(B2387&lt;=NKC!$N$8,B2387&gt;=NKC!$M$8),"x","")</f>
        <v/>
      </c>
      <c r="AB2387" s="821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109"/>
        <v/>
      </c>
      <c r="C2388" s="191"/>
      <c r="D2388" s="191"/>
      <c r="E2388" s="786"/>
      <c r="F2388" s="192"/>
      <c r="G2388" s="468"/>
      <c r="H2388" s="193"/>
      <c r="I2388" s="256"/>
      <c r="J2388" s="256"/>
      <c r="K2388" s="568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902" t="str">
        <f>IF(AND('341-CT'!$E$9=H2388,OR(LEFT(L2388,3)=$O$7,LEFT(M2388,3)=$O$7)),"x","")</f>
        <v/>
      </c>
      <c r="P2388" s="39" t="str">
        <f>IF(AND($B2388&gt;='111'!$N$11,$B2388&lt;='111'!$O$11,OR($L2388=$P$7,$M2388=$P$7)),"x","")</f>
        <v/>
      </c>
      <c r="Q2388" s="39" t="str">
        <f>IF(AND($L2388=$P$7,$B2388&lt;'111'!$N$11),"x","")</f>
        <v/>
      </c>
      <c r="R2388" s="39" t="str">
        <f>IF(AND($M2388=$P$7,$B2388&lt;'111'!$N$11),"x","")</f>
        <v/>
      </c>
      <c r="S2388" s="39" t="str">
        <f>IF(ISERROR(FIND('112'!$M$9,G2388,1)),"",IF((AND(FIND('112'!$M$9,G2388,1)&gt;=1,$B2388&gt;='112'!$N$8,$B2388&lt;='112'!$O$8,OR($L2388='112'!$I$6,$M2388='112'!$I$6))),"x",""))</f>
        <v/>
      </c>
      <c r="T2388" s="39" t="str">
        <f>IF(ISERROR(FIND('112'!$M$9,G2388,1)),"",IF((AND(LEFT(G2388,2)=LEFT('112'!$M$9,2),B2388&lt;'112'!$N$8,$L2388='112'!$I$6)),"x",""))</f>
        <v/>
      </c>
      <c r="U2388" s="39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39" t="str">
        <f>IF(OR(TH!L2388=TH!$W$7,M2388=TH!$W$7),"x","")</f>
        <v/>
      </c>
      <c r="X2388" s="39" t="str">
        <f>IF(AND(B2388&gt;='IN-NX'!$P$3,B2388&lt;='IN-NX'!$Q$3,'IN-NX'!$D$7=D2388,OR(LEFT(L2388,2)="15",AND(LEFT(M2388,2)&lt;&gt;"15",LEFT(M2388,2)&lt;&gt;"33"))),"x","")</f>
        <v/>
      </c>
      <c r="Y2388" s="39" t="str">
        <f>IF(AND(OR(LEFT(TH!L2388,2)="15",LEFT(TH!M2388,2)="15"),'152-CT'!$J$8=TH!F2388),"x","")</f>
        <v/>
      </c>
      <c r="Z2388" s="39" t="str">
        <f>IF(AND(OR(LEFT(TH!L2388,2)="15",LEFT(TH!M2388,2)="15"),TK!$E$7=TH!F2388),"x","")</f>
        <v/>
      </c>
      <c r="AA2388" s="39" t="str">
        <f>IF(AND(B2388&lt;=NKC!$N$8,B2388&gt;=NKC!$M$8),"x","")</f>
        <v/>
      </c>
      <c r="AB2388" s="821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109"/>
        <v/>
      </c>
      <c r="C2389" s="191"/>
      <c r="D2389" s="191"/>
      <c r="E2389" s="786"/>
      <c r="F2389" s="192"/>
      <c r="G2389" s="468"/>
      <c r="H2389" s="193"/>
      <c r="I2389" s="256"/>
      <c r="J2389" s="256"/>
      <c r="K2389" s="56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902" t="str">
        <f>IF(AND('341-CT'!$E$9=H2389,OR(LEFT(L2389,3)=$O$7,LEFT(M2389,3)=$O$7)),"x","")</f>
        <v/>
      </c>
      <c r="P2389" s="39" t="str">
        <f>IF(AND($B2389&gt;='111'!$N$11,$B2389&lt;='111'!$O$11,OR($L2389=$P$7,$M2389=$P$7)),"x","")</f>
        <v/>
      </c>
      <c r="Q2389" s="39" t="str">
        <f>IF(AND($L2389=$P$7,$B2389&lt;'111'!$N$11),"x","")</f>
        <v/>
      </c>
      <c r="R2389" s="39" t="str">
        <f>IF(AND($M2389=$P$7,$B2389&lt;'111'!$N$11),"x","")</f>
        <v/>
      </c>
      <c r="S2389" s="39" t="str">
        <f>IF(ISERROR(FIND('112'!$M$9,G2389,1)),"",IF((AND(FIND('112'!$M$9,G2389,1)&gt;=1,$B2389&gt;='112'!$N$8,$B2389&lt;='112'!$O$8,OR($L2389='112'!$I$6,$M2389='112'!$I$6))),"x",""))</f>
        <v/>
      </c>
      <c r="T2389" s="39" t="str">
        <f>IF(ISERROR(FIND('112'!$M$9,G2389,1)),"",IF((AND(LEFT(G2389,2)=LEFT('112'!$M$9,2),B2389&lt;'112'!$N$8,$L2389='112'!$I$6)),"x",""))</f>
        <v/>
      </c>
      <c r="U2389" s="39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39" t="str">
        <f>IF(OR(TH!L2389=TH!$W$7,M2389=TH!$W$7),"x","")</f>
        <v/>
      </c>
      <c r="X2389" s="39" t="str">
        <f>IF(AND(B2389&gt;='IN-NX'!$P$3,B2389&lt;='IN-NX'!$Q$3,'IN-NX'!$D$7=D2389,OR(LEFT(L2389,2)="15",AND(LEFT(M2389,2)&lt;&gt;"15",LEFT(M2389,2)&lt;&gt;"33"))),"x","")</f>
        <v/>
      </c>
      <c r="Y2389" s="39" t="str">
        <f>IF(AND(OR(LEFT(TH!L2389,2)="15",LEFT(TH!M2389,2)="15"),'152-CT'!$J$8=TH!F2389),"x","")</f>
        <v/>
      </c>
      <c r="Z2389" s="39" t="str">
        <f>IF(AND(OR(LEFT(TH!L2389,2)="15",LEFT(TH!M2389,2)="15"),TK!$E$7=TH!F2389),"x","")</f>
        <v/>
      </c>
      <c r="AA2389" s="39" t="str">
        <f>IF(AND(B2389&lt;=NKC!$N$8,B2389&gt;=NKC!$M$8),"x","")</f>
        <v/>
      </c>
      <c r="AB2389" s="821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109"/>
        <v/>
      </c>
      <c r="C2390" s="191"/>
      <c r="D2390" s="191"/>
      <c r="E2390" s="786"/>
      <c r="F2390" s="192"/>
      <c r="G2390" s="468"/>
      <c r="H2390" s="193"/>
      <c r="I2390" s="256"/>
      <c r="J2390" s="256"/>
      <c r="K2390" s="38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902" t="str">
        <f>IF(AND('341-CT'!$E$9=H2390,OR(LEFT(L2390,3)=$O$7,LEFT(M2390,3)=$O$7)),"x","")</f>
        <v/>
      </c>
      <c r="P2390" s="39" t="str">
        <f>IF(AND($B2390&gt;='111'!$N$11,$B2390&lt;='111'!$O$11,OR($L2390=$P$7,$M2390=$P$7)),"x","")</f>
        <v/>
      </c>
      <c r="Q2390" s="39" t="str">
        <f>IF(AND($L2390=$P$7,$B2390&lt;'111'!$N$11),"x","")</f>
        <v/>
      </c>
      <c r="R2390" s="39" t="str">
        <f>IF(AND($M2390=$P$7,$B2390&lt;'111'!$N$11),"x","")</f>
        <v/>
      </c>
      <c r="S2390" s="39" t="str">
        <f>IF(ISERROR(FIND('112'!$M$9,G2390,1)),"",IF((AND(FIND('112'!$M$9,G2390,1)&gt;=1,$B2390&gt;='112'!$N$8,$B2390&lt;='112'!$O$8,OR($L2390='112'!$I$6,$M2390='112'!$I$6))),"x",""))</f>
        <v/>
      </c>
      <c r="T2390" s="39" t="str">
        <f>IF(ISERROR(FIND('112'!$M$9,G2390,1)),"",IF((AND(LEFT(G2390,2)=LEFT('112'!$M$9,2),B2390&lt;'112'!$N$8,$L2390='112'!$I$6)),"x",""))</f>
        <v/>
      </c>
      <c r="U2390" s="39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39" t="str">
        <f>IF(OR(TH!L2390=TH!$W$7,M2390=TH!$W$7),"x","")</f>
        <v/>
      </c>
      <c r="X2390" s="39" t="str">
        <f>IF(AND(B2390&gt;='IN-NX'!$P$3,B2390&lt;='IN-NX'!$Q$3,'IN-NX'!$D$7=D2390,OR(LEFT(L2390,2)="15",AND(LEFT(M2390,2)&lt;&gt;"15",LEFT(M2390,2)&lt;&gt;"33"))),"x","")</f>
        <v/>
      </c>
      <c r="Y2390" s="39" t="str">
        <f>IF(AND(OR(LEFT(TH!L2390,2)="15",LEFT(TH!M2390,2)="15"),'152-CT'!$J$8=TH!F2390),"x","")</f>
        <v/>
      </c>
      <c r="Z2390" s="39" t="str">
        <f>IF(AND(OR(LEFT(TH!L2390,2)="15",LEFT(TH!M2390,2)="15"),TK!$E$7=TH!F2390),"x","")</f>
        <v/>
      </c>
      <c r="AA2390" s="39" t="str">
        <f>IF(AND(B2390&lt;=NKC!$N$8,B2390&gt;=NKC!$M$8),"x","")</f>
        <v/>
      </c>
      <c r="AB2390" s="821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109"/>
        <v/>
      </c>
      <c r="C2391" s="191"/>
      <c r="D2391" s="191"/>
      <c r="E2391" s="786"/>
      <c r="F2391" s="192"/>
      <c r="G2391" s="468"/>
      <c r="H2391" s="193"/>
      <c r="I2391" s="256"/>
      <c r="J2391" s="256"/>
      <c r="K2391" s="56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902" t="str">
        <f>IF(AND('341-CT'!$E$9=H2391,OR(LEFT(L2391,3)=$O$7,LEFT(M2391,3)=$O$7)),"x","")</f>
        <v/>
      </c>
      <c r="P2391" s="39" t="str">
        <f>IF(AND($B2391&gt;='111'!$N$11,$B2391&lt;='111'!$O$11,OR($L2391=$P$7,$M2391=$P$7)),"x","")</f>
        <v/>
      </c>
      <c r="Q2391" s="39" t="str">
        <f>IF(AND($L2391=$P$7,$B2391&lt;'111'!$N$11),"x","")</f>
        <v/>
      </c>
      <c r="R2391" s="39" t="str">
        <f>IF(AND($M2391=$P$7,$B2391&lt;'111'!$N$11),"x","")</f>
        <v/>
      </c>
      <c r="S2391" s="39" t="str">
        <f>IF(ISERROR(FIND('112'!$M$9,G2391,1)),"",IF((AND(FIND('112'!$M$9,G2391,1)&gt;=1,$B2391&gt;='112'!$N$8,$B2391&lt;='112'!$O$8,OR($L2391='112'!$I$6,$M2391='112'!$I$6))),"x",""))</f>
        <v/>
      </c>
      <c r="T2391" s="39" t="str">
        <f>IF(ISERROR(FIND('112'!$M$9,G2391,1)),"",IF((AND(LEFT(G2391,2)=LEFT('112'!$M$9,2),B2391&lt;'112'!$N$8,$L2391='112'!$I$6)),"x",""))</f>
        <v/>
      </c>
      <c r="U2391" s="39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39" t="str">
        <f>IF(OR(TH!L2391=TH!$W$7,M2391=TH!$W$7),"x","")</f>
        <v/>
      </c>
      <c r="X2391" s="39" t="str">
        <f>IF(AND(B2391&gt;='IN-NX'!$P$3,B2391&lt;='IN-NX'!$Q$3,'IN-NX'!$D$7=D2391,OR(LEFT(L2391,2)="15",AND(LEFT(M2391,2)&lt;&gt;"15",LEFT(M2391,2)&lt;&gt;"33"))),"x","")</f>
        <v/>
      </c>
      <c r="Y2391" s="39" t="str">
        <f>IF(AND(OR(LEFT(TH!L2391,2)="15",LEFT(TH!M2391,2)="15"),'152-CT'!$J$8=TH!F2391),"x","")</f>
        <v/>
      </c>
      <c r="Z2391" s="39" t="str">
        <f>IF(AND(OR(LEFT(TH!L2391,2)="15",LEFT(TH!M2391,2)="15"),TK!$E$7=TH!F2391),"x","")</f>
        <v/>
      </c>
      <c r="AA2391" s="39" t="str">
        <f>IF(AND(B2391&lt;=NKC!$N$8,B2391&gt;=NKC!$M$8),"x","")</f>
        <v/>
      </c>
      <c r="AB2391" s="821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109"/>
        <v/>
      </c>
      <c r="C2392" s="191"/>
      <c r="D2392" s="191"/>
      <c r="E2392" s="786"/>
      <c r="F2392" s="192"/>
      <c r="G2392" s="468"/>
      <c r="H2392" s="193"/>
      <c r="I2392" s="256"/>
      <c r="J2392" s="256"/>
      <c r="K2392" s="568"/>
      <c r="L2392" s="194"/>
      <c r="M2392" s="194"/>
      <c r="N2392" s="39" t="str">
        <f>IF(AND('331-CT'!$E$7=TH!H2392,OR(L2392="331",M2392="331")),"331",IF(AND(OR(L2392="131",M2392="131"),H2392='131-CT'!$E$7),"131",""))</f>
        <v/>
      </c>
      <c r="O2392" s="902" t="str">
        <f>IF(AND('341-CT'!$E$9=H2392,OR(LEFT(L2392,3)=$O$7,LEFT(M2392,3)=$O$7)),"x","")</f>
        <v/>
      </c>
      <c r="P2392" s="39" t="str">
        <f>IF(AND($B2392&gt;='111'!$N$11,$B2392&lt;='111'!$O$11,OR($L2392=$P$7,$M2392=$P$7)),"x","")</f>
        <v/>
      </c>
      <c r="Q2392" s="39" t="str">
        <f>IF(AND($L2392=$P$7,$B2392&lt;'111'!$N$11),"x","")</f>
        <v/>
      </c>
      <c r="R2392" s="39" t="str">
        <f>IF(AND($M2392=$P$7,$B2392&lt;'111'!$N$11),"x","")</f>
        <v/>
      </c>
      <c r="S2392" s="39" t="str">
        <f>IF(ISERROR(FIND('112'!$M$9,G2392,1)),"",IF((AND(FIND('112'!$M$9,G2392,1)&gt;=1,$B2392&gt;='112'!$N$8,$B2392&lt;='112'!$O$8,OR($L2392='112'!$I$6,$M2392='112'!$I$6))),"x",""))</f>
        <v/>
      </c>
      <c r="T2392" s="39" t="str">
        <f>IF(ISERROR(FIND('112'!$M$9,G2392,1)),"",IF((AND(LEFT(G2392,2)=LEFT('112'!$M$9,2),B2392&lt;'112'!$N$8,$L2392='112'!$I$6)),"x",""))</f>
        <v/>
      </c>
      <c r="U2392" s="39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39" t="str">
        <f>IF(OR(TH!L2392=TH!$W$7,M2392=TH!$W$7),"x","")</f>
        <v/>
      </c>
      <c r="X2392" s="39" t="str">
        <f>IF(AND(B2392&gt;='IN-NX'!$P$3,B2392&lt;='IN-NX'!$Q$3,'IN-NX'!$D$7=D2392,OR(LEFT(L2392,2)="15",AND(LEFT(M2392,2)&lt;&gt;"15",LEFT(M2392,2)&lt;&gt;"33"))),"x","")</f>
        <v/>
      </c>
      <c r="Y2392" s="39" t="str">
        <f>IF(AND(OR(LEFT(TH!L2392,2)="15",LEFT(TH!M2392,2)="15"),'152-CT'!$J$8=TH!F2392),"x","")</f>
        <v/>
      </c>
      <c r="Z2392" s="39" t="str">
        <f>IF(AND(OR(LEFT(TH!L2392,2)="15",LEFT(TH!M2392,2)="15"),TK!$E$7=TH!F2392),"x","")</f>
        <v/>
      </c>
      <c r="AA2392" s="39" t="str">
        <f>IF(AND(B2392&lt;=NKC!$N$8,B2392&gt;=NKC!$M$8),"x","")</f>
        <v/>
      </c>
      <c r="AB2392" s="821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si="109"/>
        <v/>
      </c>
      <c r="C2393" s="191"/>
      <c r="D2393" s="191"/>
      <c r="E2393" s="786"/>
      <c r="F2393" s="192"/>
      <c r="G2393" s="468"/>
      <c r="H2393" s="193"/>
      <c r="I2393" s="256"/>
      <c r="J2393" s="256"/>
      <c r="K2393" s="568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902" t="str">
        <f>IF(AND('341-CT'!$E$9=H2393,OR(LEFT(L2393,3)=$O$7,LEFT(M2393,3)=$O$7)),"x","")</f>
        <v/>
      </c>
      <c r="P2393" s="39" t="str">
        <f>IF(AND($B2393&gt;='111'!$N$11,$B2393&lt;='111'!$O$11,OR($L2393=$P$7,$M2393=$P$7)),"x","")</f>
        <v/>
      </c>
      <c r="Q2393" s="39" t="str">
        <f>IF(AND($L2393=$P$7,$B2393&lt;'111'!$N$11),"x","")</f>
        <v/>
      </c>
      <c r="R2393" s="39" t="str">
        <f>IF(AND($M2393=$P$7,$B2393&lt;'111'!$N$11),"x","")</f>
        <v/>
      </c>
      <c r="S2393" s="39" t="str">
        <f>IF(ISERROR(FIND('112'!$M$9,G2393,1)),"",IF((AND(FIND('112'!$M$9,G2393,1)&gt;=1,$B2393&gt;='112'!$N$8,$B2393&lt;='112'!$O$8,OR($L2393='112'!$I$6,$M2393='112'!$I$6))),"x",""))</f>
        <v/>
      </c>
      <c r="T2393" s="39" t="str">
        <f>IF(ISERROR(FIND('112'!$M$9,G2393,1)),"",IF((AND(LEFT(G2393,2)=LEFT('112'!$M$9,2),B2393&lt;'112'!$N$8,$L2393='112'!$I$6)),"x",""))</f>
        <v/>
      </c>
      <c r="U2393" s="39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39" t="str">
        <f>IF(OR(TH!L2393=TH!$W$7,M2393=TH!$W$7),"x","")</f>
        <v/>
      </c>
      <c r="X2393" s="39" t="str">
        <f>IF(AND(B2393&gt;='IN-NX'!$P$3,B2393&lt;='IN-NX'!$Q$3,'IN-NX'!$D$7=D2393,OR(LEFT(L2393,2)="15",AND(LEFT(M2393,2)&lt;&gt;"15",LEFT(M2393,2)&lt;&gt;"33"))),"x","")</f>
        <v/>
      </c>
      <c r="Y2393" s="39" t="str">
        <f>IF(AND(OR(LEFT(TH!L2393,2)="15",LEFT(TH!M2393,2)="15"),'152-CT'!$J$8=TH!F2393),"x","")</f>
        <v/>
      </c>
      <c r="Z2393" s="39" t="str">
        <f>IF(AND(OR(LEFT(TH!L2393,2)="15",LEFT(TH!M2393,2)="15"),TK!$E$7=TH!F2393),"x","")</f>
        <v/>
      </c>
      <c r="AA2393" s="39" t="str">
        <f>IF(AND(B2393&lt;=NKC!$N$8,B2393&gt;=NKC!$M$8),"x","")</f>
        <v/>
      </c>
      <c r="AB2393" s="821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109"/>
        <v/>
      </c>
      <c r="C2394" s="191"/>
      <c r="D2394" s="191"/>
      <c r="E2394" s="786"/>
      <c r="F2394" s="192"/>
      <c r="G2394" s="468"/>
      <c r="H2394" s="193"/>
      <c r="I2394" s="257"/>
      <c r="J2394" s="257"/>
      <c r="K2394" s="568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902" t="str">
        <f>IF(AND('341-CT'!$E$9=H2394,OR(LEFT(L2394,3)=$O$7,LEFT(M2394,3)=$O$7)),"x","")</f>
        <v/>
      </c>
      <c r="P2394" s="39" t="str">
        <f>IF(AND($B2394&gt;='111'!$N$11,$B2394&lt;='111'!$O$11,OR($L2394=$P$7,$M2394=$P$7)),"x","")</f>
        <v/>
      </c>
      <c r="Q2394" s="39" t="str">
        <f>IF(AND($L2394=$P$7,$B2394&lt;'111'!$N$11),"x","")</f>
        <v/>
      </c>
      <c r="R2394" s="39" t="str">
        <f>IF(AND($M2394=$P$7,$B2394&lt;'111'!$N$11),"x","")</f>
        <v/>
      </c>
      <c r="S2394" s="39" t="str">
        <f>IF(ISERROR(FIND('112'!$M$9,G2394,1)),"",IF((AND(FIND('112'!$M$9,G2394,1)&gt;=1,$B2394&gt;='112'!$N$8,$B2394&lt;='112'!$O$8,OR($L2394='112'!$I$6,$M2394='112'!$I$6))),"x",""))</f>
        <v/>
      </c>
      <c r="T2394" s="39" t="str">
        <f>IF(ISERROR(FIND('112'!$M$9,G2394,1)),"",IF((AND(LEFT(G2394,2)=LEFT('112'!$M$9,2),B2394&lt;'112'!$N$8,$L2394='112'!$I$6)),"x",""))</f>
        <v/>
      </c>
      <c r="U2394" s="39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39" t="str">
        <f>IF(OR(TH!L2394=TH!$W$7,M2394=TH!$W$7),"x","")</f>
        <v/>
      </c>
      <c r="X2394" s="39" t="str">
        <f>IF(AND(B2394&gt;='IN-NX'!$P$3,B2394&lt;='IN-NX'!$Q$3,'IN-NX'!$D$7=D2394,OR(LEFT(L2394,2)="15",AND(LEFT(M2394,2)&lt;&gt;"15",LEFT(M2394,2)&lt;&gt;"33"))),"x","")</f>
        <v/>
      </c>
      <c r="Y2394" s="39" t="str">
        <f>IF(AND(OR(LEFT(TH!L2394,2)="15",LEFT(TH!M2394,2)="15"),'152-CT'!$J$8=TH!F2394),"x","")</f>
        <v/>
      </c>
      <c r="Z2394" s="39" t="str">
        <f>IF(AND(OR(LEFT(TH!L2394,2)="15",LEFT(TH!M2394,2)="15"),TK!$E$7=TH!F2394),"x","")</f>
        <v/>
      </c>
      <c r="AA2394" s="39" t="str">
        <f>IF(AND(B2394&lt;=NKC!$N$8,B2394&gt;=NKC!$M$8),"x","")</f>
        <v/>
      </c>
      <c r="AB2394" s="821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109"/>
        <v/>
      </c>
      <c r="C2395" s="191"/>
      <c r="D2395" s="191"/>
      <c r="E2395" s="786"/>
      <c r="F2395" s="192"/>
      <c r="G2395" s="468"/>
      <c r="H2395" s="7"/>
      <c r="I2395" s="256"/>
      <c r="J2395" s="256"/>
      <c r="K2395" s="568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902" t="str">
        <f>IF(AND('341-CT'!$E$9=H2395,OR(LEFT(L2395,3)=$O$7,LEFT(M2395,3)=$O$7)),"x","")</f>
        <v/>
      </c>
      <c r="P2395" s="39" t="str">
        <f>IF(AND($B2395&gt;='111'!$N$11,$B2395&lt;='111'!$O$11,OR($L2395=$P$7,$M2395=$P$7)),"x","")</f>
        <v/>
      </c>
      <c r="Q2395" s="39" t="str">
        <f>IF(AND($L2395=$P$7,$B2395&lt;'111'!$N$11),"x","")</f>
        <v/>
      </c>
      <c r="R2395" s="39" t="str">
        <f>IF(AND($M2395=$P$7,$B2395&lt;'111'!$N$11),"x","")</f>
        <v/>
      </c>
      <c r="S2395" s="39" t="str">
        <f>IF(ISERROR(FIND('112'!$M$9,G2395,1)),"",IF((AND(FIND('112'!$M$9,G2395,1)&gt;=1,$B2395&gt;='112'!$N$8,$B2395&lt;='112'!$O$8,OR($L2395='112'!$I$6,$M2395='112'!$I$6))),"x",""))</f>
        <v/>
      </c>
      <c r="T2395" s="39" t="str">
        <f>IF(ISERROR(FIND('112'!$M$9,G2395,1)),"",IF((AND(LEFT(G2395,2)=LEFT('112'!$M$9,2),B2395&lt;'112'!$N$8,$L2395='112'!$I$6)),"x",""))</f>
        <v/>
      </c>
      <c r="U2395" s="39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39" t="str">
        <f>IF(OR(TH!L2395=TH!$W$7,M2395=TH!$W$7),"x","")</f>
        <v/>
      </c>
      <c r="X2395" s="39" t="str">
        <f>IF(AND(B2395&gt;='IN-NX'!$P$3,B2395&lt;='IN-NX'!$Q$3,'IN-NX'!$D$7=D2395,OR(LEFT(L2395,2)="15",AND(LEFT(M2395,2)&lt;&gt;"15",LEFT(M2395,2)&lt;&gt;"33"))),"x","")</f>
        <v/>
      </c>
      <c r="Y2395" s="39" t="str">
        <f>IF(AND(OR(LEFT(TH!L2395,2)="15",LEFT(TH!M2395,2)="15"),'152-CT'!$J$8=TH!F2395),"x","")</f>
        <v/>
      </c>
      <c r="Z2395" s="39" t="str">
        <f>IF(AND(OR(LEFT(TH!L2395,2)="15",LEFT(TH!M2395,2)="15"),TK!$E$7=TH!F2395),"x","")</f>
        <v/>
      </c>
      <c r="AA2395" s="39" t="str">
        <f>IF(AND(B2395&lt;=NKC!$N$8,B2395&gt;=NKC!$M$8),"x","")</f>
        <v/>
      </c>
      <c r="AB2395" s="821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109"/>
        <v/>
      </c>
      <c r="C2396" s="191"/>
      <c r="D2396" s="191"/>
      <c r="E2396" s="786"/>
      <c r="F2396" s="192"/>
      <c r="G2396" s="468"/>
      <c r="H2396" s="7"/>
      <c r="I2396" s="256"/>
      <c r="J2396" s="256"/>
      <c r="K2396" s="56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902" t="str">
        <f>IF(AND('341-CT'!$E$9=H2396,OR(LEFT(L2396,3)=$O$7,LEFT(M2396,3)=$O$7)),"x","")</f>
        <v/>
      </c>
      <c r="P2396" s="39" t="str">
        <f>IF(AND($B2396&gt;='111'!$N$11,$B2396&lt;='111'!$O$11,OR($L2396=$P$7,$M2396=$P$7)),"x","")</f>
        <v/>
      </c>
      <c r="Q2396" s="39" t="str">
        <f>IF(AND($L2396=$P$7,$B2396&lt;'111'!$N$11),"x","")</f>
        <v/>
      </c>
      <c r="R2396" s="39" t="str">
        <f>IF(AND($M2396=$P$7,$B2396&lt;'111'!$N$11),"x","")</f>
        <v/>
      </c>
      <c r="S2396" s="39" t="str">
        <f>IF(ISERROR(FIND('112'!$M$9,G2396,1)),"",IF((AND(FIND('112'!$M$9,G2396,1)&gt;=1,$B2396&gt;='112'!$N$8,$B2396&lt;='112'!$O$8,OR($L2396='112'!$I$6,$M2396='112'!$I$6))),"x",""))</f>
        <v/>
      </c>
      <c r="T2396" s="39" t="str">
        <f>IF(ISERROR(FIND('112'!$M$9,G2396,1)),"",IF((AND(LEFT(G2396,2)=LEFT('112'!$M$9,2),B2396&lt;'112'!$N$8,$L2396='112'!$I$6)),"x",""))</f>
        <v/>
      </c>
      <c r="U2396" s="39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39" t="str">
        <f>IF(OR(TH!L2396=TH!$W$7,M2396=TH!$W$7),"x","")</f>
        <v/>
      </c>
      <c r="X2396" s="39" t="str">
        <f>IF(AND(B2396&gt;='IN-NX'!$P$3,B2396&lt;='IN-NX'!$Q$3,'IN-NX'!$D$7=D2396,OR(LEFT(L2396,2)="15",AND(LEFT(M2396,2)&lt;&gt;"15",LEFT(M2396,2)&lt;&gt;"33"))),"x","")</f>
        <v/>
      </c>
      <c r="Y2396" s="39" t="str">
        <f>IF(AND(OR(LEFT(TH!L2396,2)="15",LEFT(TH!M2396,2)="15"),'152-CT'!$J$8=TH!F2396),"x","")</f>
        <v/>
      </c>
      <c r="Z2396" s="39" t="str">
        <f>IF(AND(OR(LEFT(TH!L2396,2)="15",LEFT(TH!M2396,2)="15"),TK!$E$7=TH!F2396),"x","")</f>
        <v/>
      </c>
      <c r="AA2396" s="39" t="str">
        <f>IF(AND(B2396&lt;=NKC!$N$8,B2396&gt;=NKC!$M$8),"x","")</f>
        <v/>
      </c>
      <c r="AB2396" s="821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109"/>
        <v/>
      </c>
      <c r="C2397" s="191"/>
      <c r="D2397" s="191"/>
      <c r="E2397" s="786"/>
      <c r="F2397" s="192"/>
      <c r="G2397" s="468"/>
      <c r="H2397" s="7"/>
      <c r="I2397" s="256"/>
      <c r="J2397" s="256"/>
      <c r="K2397" s="568"/>
      <c r="L2397" s="194"/>
      <c r="M2397" s="194"/>
      <c r="N2397" s="39" t="str">
        <f>IF(AND('331-CT'!$E$7=TH!H2397,OR(L2397="331",M2397="331")),"331",IF(AND(OR(L2397="131",M2397="131"),H2397='131-CT'!$E$7),"131",""))</f>
        <v/>
      </c>
      <c r="O2397" s="902" t="str">
        <f>IF(AND('341-CT'!$E$9=H2397,OR(LEFT(L2397,3)=$O$7,LEFT(M2397,3)=$O$7)),"x","")</f>
        <v/>
      </c>
      <c r="P2397" s="39" t="str">
        <f>IF(AND($B2397&gt;='111'!$N$11,$B2397&lt;='111'!$O$11,OR($L2397=$P$7,$M2397=$P$7)),"x","")</f>
        <v/>
      </c>
      <c r="Q2397" s="39" t="str">
        <f>IF(AND($L2397=$P$7,$B2397&lt;'111'!$N$11),"x","")</f>
        <v/>
      </c>
      <c r="R2397" s="39" t="str">
        <f>IF(AND($M2397=$P$7,$B2397&lt;'111'!$N$11),"x","")</f>
        <v/>
      </c>
      <c r="S2397" s="39" t="str">
        <f>IF(ISERROR(FIND('112'!$M$9,G2397,1)),"",IF((AND(FIND('112'!$M$9,G2397,1)&gt;=1,$B2397&gt;='112'!$N$8,$B2397&lt;='112'!$O$8,OR($L2397='112'!$I$6,$M2397='112'!$I$6))),"x",""))</f>
        <v/>
      </c>
      <c r="T2397" s="39" t="str">
        <f>IF(ISERROR(FIND('112'!$M$9,G2397,1)),"",IF((AND(LEFT(G2397,2)=LEFT('112'!$M$9,2),B2397&lt;'112'!$N$8,$L2397='112'!$I$6)),"x",""))</f>
        <v/>
      </c>
      <c r="U2397" s="39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39" t="str">
        <f>IF(OR(TH!L2397=TH!$W$7,M2397=TH!$W$7),"x","")</f>
        <v/>
      </c>
      <c r="X2397" s="39" t="str">
        <f>IF(AND(B2397&gt;='IN-NX'!$P$3,B2397&lt;='IN-NX'!$Q$3,'IN-NX'!$D$7=D2397,OR(LEFT(L2397,2)="15",AND(LEFT(M2397,2)&lt;&gt;"15",LEFT(M2397,2)&lt;&gt;"33"))),"x","")</f>
        <v/>
      </c>
      <c r="Y2397" s="39" t="str">
        <f>IF(AND(OR(LEFT(TH!L2397,2)="15",LEFT(TH!M2397,2)="15"),'152-CT'!$J$8=TH!F2397),"x","")</f>
        <v/>
      </c>
      <c r="Z2397" s="39" t="str">
        <f>IF(AND(OR(LEFT(TH!L2397,2)="15",LEFT(TH!M2397,2)="15"),TK!$E$7=TH!F2397),"x","")</f>
        <v/>
      </c>
      <c r="AA2397" s="39" t="str">
        <f>IF(AND(B2397&lt;=NKC!$N$8,B2397&gt;=NKC!$M$8),"x","")</f>
        <v/>
      </c>
      <c r="AB2397" s="821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109"/>
        <v/>
      </c>
      <c r="C2398" s="191"/>
      <c r="D2398" s="37"/>
      <c r="E2398" s="729"/>
      <c r="F2398" s="40"/>
      <c r="G2398" s="40"/>
      <c r="H2398" s="7"/>
      <c r="I2398" s="256"/>
      <c r="J2398" s="256"/>
      <c r="K2398" s="568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902" t="str">
        <f>IF(AND('341-CT'!$E$9=H2398,OR(LEFT(L2398,3)=$O$7,LEFT(M2398,3)=$O$7)),"x","")</f>
        <v/>
      </c>
      <c r="P2398" s="39" t="str">
        <f>IF(AND($B2398&gt;='111'!$N$11,$B2398&lt;='111'!$O$11,OR($L2398=$P$7,$M2398=$P$7)),"x","")</f>
        <v/>
      </c>
      <c r="Q2398" s="39" t="str">
        <f>IF(AND($L2398=$P$7,$B2398&lt;'111'!$N$11),"x","")</f>
        <v/>
      </c>
      <c r="R2398" s="39" t="str">
        <f>IF(AND($M2398=$P$7,$B2398&lt;'111'!$N$11),"x","")</f>
        <v/>
      </c>
      <c r="S2398" s="39" t="str">
        <f>IF(ISERROR(FIND('112'!$M$9,G2398,1)),"",IF((AND(FIND('112'!$M$9,G2398,1)&gt;=1,$B2398&gt;='112'!$N$8,$B2398&lt;='112'!$O$8,OR($L2398='112'!$I$6,$M2398='112'!$I$6))),"x",""))</f>
        <v/>
      </c>
      <c r="T2398" s="39" t="str">
        <f>IF(ISERROR(FIND('112'!$M$9,G2398,1)),"",IF((AND(LEFT(G2398,2)=LEFT('112'!$M$9,2),B2398&lt;'112'!$N$8,$L2398='112'!$I$6)),"x",""))</f>
        <v/>
      </c>
      <c r="U2398" s="39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39" t="str">
        <f>IF(OR(TH!L2398=TH!$W$7,M2398=TH!$W$7),"x","")</f>
        <v/>
      </c>
      <c r="X2398" s="39" t="str">
        <f>IF(AND(B2398&gt;='IN-NX'!$P$3,B2398&lt;='IN-NX'!$Q$3,'IN-NX'!$D$7=D2398,OR(LEFT(L2398,2)="15",AND(LEFT(M2398,2)&lt;&gt;"15",LEFT(M2398,2)&lt;&gt;"33"))),"x","")</f>
        <v/>
      </c>
      <c r="Y2398" s="39" t="str">
        <f>IF(AND(OR(LEFT(TH!L2398,2)="15",LEFT(TH!M2398,2)="15"),'152-CT'!$J$8=TH!F2398),"x","")</f>
        <v/>
      </c>
      <c r="Z2398" s="39" t="str">
        <f>IF(AND(OR(LEFT(TH!L2398,2)="15",LEFT(TH!M2398,2)="15"),TK!$E$7=TH!F2398),"x","")</f>
        <v/>
      </c>
      <c r="AA2398" s="39" t="str">
        <f>IF(AND(B2398&lt;=NKC!$N$8,B2398&gt;=NKC!$M$8),"x","")</f>
        <v/>
      </c>
      <c r="AB2398" s="821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si="109"/>
        <v/>
      </c>
      <c r="C2399" s="191"/>
      <c r="D2399" s="37"/>
      <c r="E2399" s="729"/>
      <c r="F2399" s="40"/>
      <c r="G2399" s="40"/>
      <c r="H2399" s="7"/>
      <c r="I2399" s="256"/>
      <c r="J2399" s="256"/>
      <c r="K2399" s="568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902" t="str">
        <f>IF(AND('341-CT'!$E$9=H2399,OR(LEFT(L2399,3)=$O$7,LEFT(M2399,3)=$O$7)),"x","")</f>
        <v/>
      </c>
      <c r="P2399" s="39" t="str">
        <f>IF(AND($B2399&gt;='111'!$N$11,$B2399&lt;='111'!$O$11,OR($L2399=$P$7,$M2399=$P$7)),"x","")</f>
        <v/>
      </c>
      <c r="Q2399" s="39" t="str">
        <f>IF(AND($L2399=$P$7,$B2399&lt;'111'!$N$11),"x","")</f>
        <v/>
      </c>
      <c r="R2399" s="39" t="str">
        <f>IF(AND($M2399=$P$7,$B2399&lt;'111'!$N$11),"x","")</f>
        <v/>
      </c>
      <c r="S2399" s="39" t="str">
        <f>IF(ISERROR(FIND('112'!$M$9,G2399,1)),"",IF((AND(FIND('112'!$M$9,G2399,1)&gt;=1,$B2399&gt;='112'!$N$8,$B2399&lt;='112'!$O$8,OR($L2399='112'!$I$6,$M2399='112'!$I$6))),"x",""))</f>
        <v/>
      </c>
      <c r="T2399" s="39" t="str">
        <f>IF(ISERROR(FIND('112'!$M$9,G2399,1)),"",IF((AND(LEFT(G2399,2)=LEFT('112'!$M$9,2),B2399&lt;'112'!$N$8,$L2399='112'!$I$6)),"x",""))</f>
        <v/>
      </c>
      <c r="U2399" s="39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39" t="str">
        <f>IF(OR(TH!L2399=TH!$W$7,M2399=TH!$W$7),"x","")</f>
        <v/>
      </c>
      <c r="X2399" s="39" t="str">
        <f>IF(AND(B2399&gt;='IN-NX'!$P$3,B2399&lt;='IN-NX'!$Q$3,'IN-NX'!$D$7=D2399,OR(LEFT(L2399,2)="15",AND(LEFT(M2399,2)&lt;&gt;"15",LEFT(M2399,2)&lt;&gt;"33"))),"x","")</f>
        <v/>
      </c>
      <c r="Y2399" s="39" t="str">
        <f>IF(AND(OR(LEFT(TH!L2399,2)="15",LEFT(TH!M2399,2)="15"),'152-CT'!$J$8=TH!F2399),"x","")</f>
        <v/>
      </c>
      <c r="Z2399" s="39" t="str">
        <f>IF(AND(OR(LEFT(TH!L2399,2)="15",LEFT(TH!M2399,2)="15"),TK!$E$7=TH!F2399),"x","")</f>
        <v/>
      </c>
      <c r="AA2399" s="39" t="str">
        <f>IF(AND(B2399&lt;=NKC!$N$8,B2399&gt;=NKC!$M$8),"x","")</f>
        <v/>
      </c>
      <c r="AB2399" s="821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109"/>
        <v/>
      </c>
      <c r="C2400" s="191"/>
      <c r="D2400" s="37"/>
      <c r="E2400" s="729"/>
      <c r="F2400" s="40"/>
      <c r="G2400" s="40"/>
      <c r="H2400" s="7"/>
      <c r="I2400" s="256"/>
      <c r="J2400" s="256"/>
      <c r="K2400" s="568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902" t="str">
        <f>IF(AND('341-CT'!$E$9=H2400,OR(LEFT(L2400,3)=$O$7,LEFT(M2400,3)=$O$7)),"x","")</f>
        <v/>
      </c>
      <c r="P2400" s="39" t="str">
        <f>IF(AND($B2400&gt;='111'!$N$11,$B2400&lt;='111'!$O$11,OR($L2400=$P$7,$M2400=$P$7)),"x","")</f>
        <v/>
      </c>
      <c r="Q2400" s="39" t="str">
        <f>IF(AND($L2400=$P$7,$B2400&lt;'111'!$N$11),"x","")</f>
        <v/>
      </c>
      <c r="R2400" s="39" t="str">
        <f>IF(AND($M2400=$P$7,$B2400&lt;'111'!$N$11),"x","")</f>
        <v/>
      </c>
      <c r="S2400" s="39" t="str">
        <f>IF(ISERROR(FIND('112'!$M$9,G2400,1)),"",IF((AND(FIND('112'!$M$9,G2400,1)&gt;=1,$B2400&gt;='112'!$N$8,$B2400&lt;='112'!$O$8,OR($L2400='112'!$I$6,$M2400='112'!$I$6))),"x",""))</f>
        <v/>
      </c>
      <c r="T2400" s="39" t="str">
        <f>IF(ISERROR(FIND('112'!$M$9,G2400,1)),"",IF((AND(LEFT(G2400,2)=LEFT('112'!$M$9,2),B2400&lt;'112'!$N$8,$L2400='112'!$I$6)),"x",""))</f>
        <v/>
      </c>
      <c r="U2400" s="39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39" t="str">
        <f>IF(OR(TH!L2400=TH!$W$7,M2400=TH!$W$7),"x","")</f>
        <v/>
      </c>
      <c r="X2400" s="39" t="str">
        <f>IF(AND(B2400&gt;='IN-NX'!$P$3,B2400&lt;='IN-NX'!$Q$3,'IN-NX'!$D$7=D2400,OR(LEFT(L2400,2)="15",AND(LEFT(M2400,2)&lt;&gt;"15",LEFT(M2400,2)&lt;&gt;"33"))),"x","")</f>
        <v/>
      </c>
      <c r="Y2400" s="39" t="str">
        <f>IF(AND(OR(LEFT(TH!L2400,2)="15",LEFT(TH!M2400,2)="15"),'152-CT'!$J$8=TH!F2400),"x","")</f>
        <v/>
      </c>
      <c r="Z2400" s="39" t="str">
        <f>IF(AND(OR(LEFT(TH!L2400,2)="15",LEFT(TH!M2400,2)="15"),TK!$E$7=TH!F2400),"x","")</f>
        <v/>
      </c>
      <c r="AA2400" s="39" t="str">
        <f>IF(AND(B2400&lt;=NKC!$N$8,B2400&gt;=NKC!$M$8),"x","")</f>
        <v/>
      </c>
      <c r="AB2400" s="821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109"/>
        <v/>
      </c>
      <c r="C2401" s="191"/>
      <c r="D2401" s="37"/>
      <c r="E2401" s="729"/>
      <c r="F2401" s="40"/>
      <c r="G2401" s="40"/>
      <c r="H2401" s="7"/>
      <c r="I2401" s="256"/>
      <c r="J2401" s="256"/>
      <c r="K2401" s="568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902" t="str">
        <f>IF(AND('341-CT'!$E$9=H2401,OR(LEFT(L2401,3)=$O$7,LEFT(M2401,3)=$O$7)),"x","")</f>
        <v/>
      </c>
      <c r="P2401" s="39" t="str">
        <f>IF(AND($B2401&gt;='111'!$N$11,$B2401&lt;='111'!$O$11,OR($L2401=$P$7,$M2401=$P$7)),"x","")</f>
        <v/>
      </c>
      <c r="Q2401" s="39" t="str">
        <f>IF(AND($L2401=$P$7,$B2401&lt;'111'!$N$11),"x","")</f>
        <v/>
      </c>
      <c r="R2401" s="39" t="str">
        <f>IF(AND($M2401=$P$7,$B2401&lt;'111'!$N$11),"x","")</f>
        <v/>
      </c>
      <c r="S2401" s="39" t="str">
        <f>IF(ISERROR(FIND('112'!$M$9,G2401,1)),"",IF((AND(FIND('112'!$M$9,G2401,1)&gt;=1,$B2401&gt;='112'!$N$8,$B2401&lt;='112'!$O$8,OR($L2401='112'!$I$6,$M2401='112'!$I$6))),"x",""))</f>
        <v/>
      </c>
      <c r="T2401" s="39" t="str">
        <f>IF(ISERROR(FIND('112'!$M$9,G2401,1)),"",IF((AND(LEFT(G2401,2)=LEFT('112'!$M$9,2),B2401&lt;'112'!$N$8,$L2401='112'!$I$6)),"x",""))</f>
        <v/>
      </c>
      <c r="U2401" s="39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39" t="str">
        <f>IF(OR(TH!L2401=TH!$W$7,M2401=TH!$W$7),"x","")</f>
        <v/>
      </c>
      <c r="X2401" s="39" t="str">
        <f>IF(AND(B2401&gt;='IN-NX'!$P$3,B2401&lt;='IN-NX'!$Q$3,'IN-NX'!$D$7=D2401,OR(LEFT(L2401,2)="15",AND(LEFT(M2401,2)&lt;&gt;"15",LEFT(M2401,2)&lt;&gt;"33"))),"x","")</f>
        <v/>
      </c>
      <c r="Y2401" s="39" t="str">
        <f>IF(AND(OR(LEFT(TH!L2401,2)="15",LEFT(TH!M2401,2)="15"),'152-CT'!$J$8=TH!F2401),"x","")</f>
        <v/>
      </c>
      <c r="Z2401" s="39" t="str">
        <f>IF(AND(OR(LEFT(TH!L2401,2)="15",LEFT(TH!M2401,2)="15"),TK!$E$7=TH!F2401),"x","")</f>
        <v/>
      </c>
      <c r="AA2401" s="39" t="str">
        <f>IF(AND(B2401&lt;=NKC!$N$8,B2401&gt;=NKC!$M$8),"x","")</f>
        <v/>
      </c>
      <c r="AB2401" s="821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109"/>
        <v/>
      </c>
      <c r="C2402" s="191"/>
      <c r="D2402" s="37"/>
      <c r="E2402" s="729"/>
      <c r="F2402" s="40"/>
      <c r="G2402" s="40"/>
      <c r="H2402" s="7"/>
      <c r="I2402" s="256"/>
      <c r="J2402" s="256"/>
      <c r="K2402" s="568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902" t="str">
        <f>IF(AND('341-CT'!$E$9=H2402,OR(LEFT(L2402,3)=$O$7,LEFT(M2402,3)=$O$7)),"x","")</f>
        <v/>
      </c>
      <c r="P2402" s="39" t="str">
        <f>IF(AND($B2402&gt;='111'!$N$11,$B2402&lt;='111'!$O$11,OR($L2402=$P$7,$M2402=$P$7)),"x","")</f>
        <v/>
      </c>
      <c r="Q2402" s="39" t="str">
        <f>IF(AND($L2402=$P$7,$B2402&lt;'111'!$N$11),"x","")</f>
        <v/>
      </c>
      <c r="R2402" s="39" t="str">
        <f>IF(AND($M2402=$P$7,$B2402&lt;'111'!$N$11),"x","")</f>
        <v/>
      </c>
      <c r="S2402" s="39" t="str">
        <f>IF(ISERROR(FIND('112'!$M$9,G2402,1)),"",IF((AND(FIND('112'!$M$9,G2402,1)&gt;=1,$B2402&gt;='112'!$N$8,$B2402&lt;='112'!$O$8,OR($L2402='112'!$I$6,$M2402='112'!$I$6))),"x",""))</f>
        <v/>
      </c>
      <c r="T2402" s="39" t="str">
        <f>IF(ISERROR(FIND('112'!$M$9,G2402,1)),"",IF((AND(LEFT(G2402,2)=LEFT('112'!$M$9,2),B2402&lt;'112'!$N$8,$L2402='112'!$I$6)),"x",""))</f>
        <v/>
      </c>
      <c r="U2402" s="39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39" t="str">
        <f>IF(OR(TH!L2402=TH!$W$7,M2402=TH!$W$7),"x","")</f>
        <v/>
      </c>
      <c r="X2402" s="39" t="str">
        <f>IF(AND(B2402&gt;='IN-NX'!$P$3,B2402&lt;='IN-NX'!$Q$3,'IN-NX'!$D$7=D2402,OR(LEFT(L2402,2)="15",AND(LEFT(M2402,2)&lt;&gt;"15",LEFT(M2402,2)&lt;&gt;"33"))),"x","")</f>
        <v/>
      </c>
      <c r="Y2402" s="39" t="str">
        <f>IF(AND(OR(LEFT(TH!L2402,2)="15",LEFT(TH!M2402,2)="15"),'152-CT'!$J$8=TH!F2402),"x","")</f>
        <v/>
      </c>
      <c r="Z2402" s="39" t="str">
        <f>IF(AND(OR(LEFT(TH!L2402,2)="15",LEFT(TH!M2402,2)="15"),TK!$E$7=TH!F2402),"x","")</f>
        <v/>
      </c>
      <c r="AA2402" s="39" t="str">
        <f>IF(AND(B2402&lt;=NKC!$N$8,B2402&gt;=NKC!$M$8),"x","")</f>
        <v/>
      </c>
      <c r="AB2402" s="821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109"/>
        <v/>
      </c>
      <c r="C2403" s="191"/>
      <c r="D2403" s="37"/>
      <c r="E2403" s="729"/>
      <c r="F2403" s="192"/>
      <c r="G2403" s="468"/>
      <c r="H2403" s="193"/>
      <c r="I2403" s="256"/>
      <c r="J2403" s="256"/>
      <c r="K2403" s="56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902" t="str">
        <f>IF(AND('341-CT'!$E$9=H2403,OR(LEFT(L2403,3)=$O$7,LEFT(M2403,3)=$O$7)),"x","")</f>
        <v/>
      </c>
      <c r="P2403" s="39" t="str">
        <f>IF(AND($B2403&gt;='111'!$N$11,$B2403&lt;='111'!$O$11,OR($L2403=$P$7,$M2403=$P$7)),"x","")</f>
        <v/>
      </c>
      <c r="Q2403" s="39" t="str">
        <f>IF(AND($L2403=$P$7,$B2403&lt;'111'!$N$11),"x","")</f>
        <v/>
      </c>
      <c r="R2403" s="39" t="str">
        <f>IF(AND($M2403=$P$7,$B2403&lt;'111'!$N$11),"x","")</f>
        <v/>
      </c>
      <c r="S2403" s="39" t="str">
        <f>IF(ISERROR(FIND('112'!$M$9,G2403,1)),"",IF((AND(FIND('112'!$M$9,G2403,1)&gt;=1,$B2403&gt;='112'!$N$8,$B2403&lt;='112'!$O$8,OR($L2403='112'!$I$6,$M2403='112'!$I$6))),"x",""))</f>
        <v/>
      </c>
      <c r="T2403" s="39" t="str">
        <f>IF(ISERROR(FIND('112'!$M$9,G2403,1)),"",IF((AND(LEFT(G2403,2)=LEFT('112'!$M$9,2),B2403&lt;'112'!$N$8,$L2403='112'!$I$6)),"x",""))</f>
        <v/>
      </c>
      <c r="U2403" s="39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39" t="str">
        <f>IF(OR(TH!L2403=TH!$W$7,M2403=TH!$W$7),"x","")</f>
        <v/>
      </c>
      <c r="X2403" s="39" t="str">
        <f>IF(AND(B2403&gt;='IN-NX'!$P$3,B2403&lt;='IN-NX'!$Q$3,'IN-NX'!$D$7=D2403,OR(LEFT(L2403,2)="15",AND(LEFT(M2403,2)&lt;&gt;"15",LEFT(M2403,2)&lt;&gt;"33"))),"x","")</f>
        <v/>
      </c>
      <c r="Y2403" s="39" t="str">
        <f>IF(AND(OR(LEFT(TH!L2403,2)="15",LEFT(TH!M2403,2)="15"),'152-CT'!$J$8=TH!F2403),"x","")</f>
        <v/>
      </c>
      <c r="Z2403" s="39" t="str">
        <f>IF(AND(OR(LEFT(TH!L2403,2)="15",LEFT(TH!M2403,2)="15"),TK!$E$7=TH!F2403),"x","")</f>
        <v/>
      </c>
      <c r="AA2403" s="39" t="str">
        <f>IF(AND(B2403&lt;=NKC!$N$8,B2403&gt;=NKC!$M$8),"x","")</f>
        <v/>
      </c>
      <c r="AB2403" s="821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109"/>
        <v/>
      </c>
      <c r="C2404" s="191"/>
      <c r="D2404" s="37"/>
      <c r="E2404" s="729"/>
      <c r="F2404" s="192"/>
      <c r="G2404" s="468"/>
      <c r="H2404" s="193"/>
      <c r="I2404" s="256"/>
      <c r="J2404" s="256"/>
      <c r="K2404" s="56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902" t="str">
        <f>IF(AND('341-CT'!$E$9=H2404,OR(LEFT(L2404,3)=$O$7,LEFT(M2404,3)=$O$7)),"x","")</f>
        <v/>
      </c>
      <c r="P2404" s="39" t="str">
        <f>IF(AND($B2404&gt;='111'!$N$11,$B2404&lt;='111'!$O$11,OR($L2404=$P$7,$M2404=$P$7)),"x","")</f>
        <v/>
      </c>
      <c r="Q2404" s="39" t="str">
        <f>IF(AND($L2404=$P$7,$B2404&lt;'111'!$N$11),"x","")</f>
        <v/>
      </c>
      <c r="R2404" s="39" t="str">
        <f>IF(AND($M2404=$P$7,$B2404&lt;'111'!$N$11),"x","")</f>
        <v/>
      </c>
      <c r="S2404" s="39" t="str">
        <f>IF(ISERROR(FIND('112'!$M$9,G2404,1)),"",IF((AND(FIND('112'!$M$9,G2404,1)&gt;=1,$B2404&gt;='112'!$N$8,$B2404&lt;='112'!$O$8,OR($L2404='112'!$I$6,$M2404='112'!$I$6))),"x",""))</f>
        <v/>
      </c>
      <c r="T2404" s="39" t="str">
        <f>IF(ISERROR(FIND('112'!$M$9,G2404,1)),"",IF((AND(LEFT(G2404,2)=LEFT('112'!$M$9,2),B2404&lt;'112'!$N$8,$L2404='112'!$I$6)),"x",""))</f>
        <v/>
      </c>
      <c r="U2404" s="39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39" t="str">
        <f>IF(OR(TH!L2404=TH!$W$7,M2404=TH!$W$7),"x","")</f>
        <v/>
      </c>
      <c r="X2404" s="39" t="str">
        <f>IF(AND(B2404&gt;='IN-NX'!$P$3,B2404&lt;='IN-NX'!$Q$3,'IN-NX'!$D$7=D2404,OR(LEFT(L2404,2)="15",AND(LEFT(M2404,2)&lt;&gt;"15",LEFT(M2404,2)&lt;&gt;"33"))),"x","")</f>
        <v/>
      </c>
      <c r="Y2404" s="39" t="str">
        <f>IF(AND(OR(LEFT(TH!L2404,2)="15",LEFT(TH!M2404,2)="15"),'152-CT'!$J$8=TH!F2404),"x","")</f>
        <v/>
      </c>
      <c r="Z2404" s="39" t="str">
        <f>IF(AND(OR(LEFT(TH!L2404,2)="15",LEFT(TH!M2404,2)="15"),TK!$E$7=TH!F2404),"x","")</f>
        <v/>
      </c>
      <c r="AA2404" s="39" t="str">
        <f>IF(AND(B2404&lt;=NKC!$N$8,B2404&gt;=NKC!$M$8),"x","")</f>
        <v/>
      </c>
      <c r="AB2404" s="821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109"/>
        <v/>
      </c>
      <c r="C2405" s="191"/>
      <c r="D2405" s="37"/>
      <c r="E2405" s="729"/>
      <c r="F2405" s="192"/>
      <c r="G2405" s="468"/>
      <c r="H2405" s="193"/>
      <c r="I2405" s="256"/>
      <c r="J2405" s="256"/>
      <c r="K2405" s="56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902" t="str">
        <f>IF(AND('341-CT'!$E$9=H2405,OR(LEFT(L2405,3)=$O$7,LEFT(M2405,3)=$O$7)),"x","")</f>
        <v/>
      </c>
      <c r="P2405" s="39" t="str">
        <f>IF(AND($B2405&gt;='111'!$N$11,$B2405&lt;='111'!$O$11,OR($L2405=$P$7,$M2405=$P$7)),"x","")</f>
        <v/>
      </c>
      <c r="Q2405" s="39" t="str">
        <f>IF(AND($L2405=$P$7,$B2405&lt;'111'!$N$11),"x","")</f>
        <v/>
      </c>
      <c r="R2405" s="39" t="str">
        <f>IF(AND($M2405=$P$7,$B2405&lt;'111'!$N$11),"x","")</f>
        <v/>
      </c>
      <c r="S2405" s="39" t="str">
        <f>IF(ISERROR(FIND('112'!$M$9,G2405,1)),"",IF((AND(FIND('112'!$M$9,G2405,1)&gt;=1,$B2405&gt;='112'!$N$8,$B2405&lt;='112'!$O$8,OR($L2405='112'!$I$6,$M2405='112'!$I$6))),"x",""))</f>
        <v/>
      </c>
      <c r="T2405" s="39" t="str">
        <f>IF(ISERROR(FIND('112'!$M$9,G2405,1)),"",IF((AND(LEFT(G2405,2)=LEFT('112'!$M$9,2),B2405&lt;'112'!$N$8,$L2405='112'!$I$6)),"x",""))</f>
        <v/>
      </c>
      <c r="U2405" s="39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39" t="str">
        <f>IF(OR(TH!L2405=TH!$W$7,M2405=TH!$W$7),"x","")</f>
        <v/>
      </c>
      <c r="X2405" s="39" t="str">
        <f>IF(AND(B2405&gt;='IN-NX'!$P$3,B2405&lt;='IN-NX'!$Q$3,'IN-NX'!$D$7=D2405,OR(LEFT(L2405,2)="15",AND(LEFT(M2405,2)&lt;&gt;"15",LEFT(M2405,2)&lt;&gt;"33"))),"x","")</f>
        <v/>
      </c>
      <c r="Y2405" s="39" t="str">
        <f>IF(AND(OR(LEFT(TH!L2405,2)="15",LEFT(TH!M2405,2)="15"),'152-CT'!$J$8=TH!F2405),"x","")</f>
        <v/>
      </c>
      <c r="Z2405" s="39" t="str">
        <f>IF(AND(OR(LEFT(TH!L2405,2)="15",LEFT(TH!M2405,2)="15"),TK!$E$7=TH!F2405),"x","")</f>
        <v/>
      </c>
      <c r="AA2405" s="39" t="str">
        <f>IF(AND(B2405&lt;=NKC!$N$8,B2405&gt;=NKC!$M$8),"x","")</f>
        <v/>
      </c>
      <c r="AB2405" s="821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109"/>
        <v/>
      </c>
      <c r="C2406" s="191"/>
      <c r="D2406" s="37"/>
      <c r="E2406" s="729"/>
      <c r="F2406" s="192"/>
      <c r="G2406" s="468"/>
      <c r="H2406" s="7"/>
      <c r="I2406" s="256"/>
      <c r="J2406" s="256"/>
      <c r="K2406" s="568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902" t="str">
        <f>IF(AND('341-CT'!$E$9=H2406,OR(LEFT(L2406,3)=$O$7,LEFT(M2406,3)=$O$7)),"x","")</f>
        <v/>
      </c>
      <c r="P2406" s="39" t="str">
        <f>IF(AND($B2406&gt;='111'!$N$11,$B2406&lt;='111'!$O$11,OR($L2406=$P$7,$M2406=$P$7)),"x","")</f>
        <v/>
      </c>
      <c r="Q2406" s="39" t="str">
        <f>IF(AND($L2406=$P$7,$B2406&lt;'111'!$N$11),"x","")</f>
        <v/>
      </c>
      <c r="R2406" s="39" t="str">
        <f>IF(AND($M2406=$P$7,$B2406&lt;'111'!$N$11),"x","")</f>
        <v/>
      </c>
      <c r="S2406" s="39" t="str">
        <f>IF(ISERROR(FIND('112'!$M$9,G2406,1)),"",IF((AND(FIND('112'!$M$9,G2406,1)&gt;=1,$B2406&gt;='112'!$N$8,$B2406&lt;='112'!$O$8,OR($L2406='112'!$I$6,$M2406='112'!$I$6))),"x",""))</f>
        <v/>
      </c>
      <c r="T2406" s="39" t="str">
        <f>IF(ISERROR(FIND('112'!$M$9,G2406,1)),"",IF((AND(LEFT(G2406,2)=LEFT('112'!$M$9,2),B2406&lt;'112'!$N$8,$L2406='112'!$I$6)),"x",""))</f>
        <v/>
      </c>
      <c r="U2406" s="39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39" t="str">
        <f>IF(OR(TH!L2406=TH!$W$7,M2406=TH!$W$7),"x","")</f>
        <v/>
      </c>
      <c r="X2406" s="39" t="str">
        <f>IF(AND(B2406&gt;='IN-NX'!$P$3,B2406&lt;='IN-NX'!$Q$3,'IN-NX'!$D$7=D2406,OR(LEFT(L2406,2)="15",AND(LEFT(M2406,2)&lt;&gt;"15",LEFT(M2406,2)&lt;&gt;"33"))),"x","")</f>
        <v/>
      </c>
      <c r="Y2406" s="39" t="str">
        <f>IF(AND(OR(LEFT(TH!L2406,2)="15",LEFT(TH!M2406,2)="15"),'152-CT'!$J$8=TH!F2406),"x","")</f>
        <v/>
      </c>
      <c r="Z2406" s="39" t="str">
        <f>IF(AND(OR(LEFT(TH!L2406,2)="15",LEFT(TH!M2406,2)="15"),TK!$E$7=TH!F2406),"x","")</f>
        <v/>
      </c>
      <c r="AA2406" s="39" t="str">
        <f>IF(AND(B2406&lt;=NKC!$N$8,B2406&gt;=NKC!$M$8),"x","")</f>
        <v/>
      </c>
      <c r="AB2406" s="821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109"/>
        <v/>
      </c>
      <c r="C2407" s="191"/>
      <c r="D2407" s="37"/>
      <c r="E2407" s="729"/>
      <c r="F2407" s="192"/>
      <c r="G2407" s="468"/>
      <c r="H2407" s="7"/>
      <c r="I2407" s="256"/>
      <c r="J2407" s="256"/>
      <c r="K2407" s="56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902" t="str">
        <f>IF(AND('341-CT'!$E$9=H2407,OR(LEFT(L2407,3)=$O$7,LEFT(M2407,3)=$O$7)),"x","")</f>
        <v/>
      </c>
      <c r="P2407" s="39" t="str">
        <f>IF(AND($B2407&gt;='111'!$N$11,$B2407&lt;='111'!$O$11,OR($L2407=$P$7,$M2407=$P$7)),"x","")</f>
        <v/>
      </c>
      <c r="Q2407" s="39" t="str">
        <f>IF(AND($L2407=$P$7,$B2407&lt;'111'!$N$11),"x","")</f>
        <v/>
      </c>
      <c r="R2407" s="39" t="str">
        <f>IF(AND($M2407=$P$7,$B2407&lt;'111'!$N$11),"x","")</f>
        <v/>
      </c>
      <c r="S2407" s="39" t="str">
        <f>IF(ISERROR(FIND('112'!$M$9,G2407,1)),"",IF((AND(FIND('112'!$M$9,G2407,1)&gt;=1,$B2407&gt;='112'!$N$8,$B2407&lt;='112'!$O$8,OR($L2407='112'!$I$6,$M2407='112'!$I$6))),"x",""))</f>
        <v/>
      </c>
      <c r="T2407" s="39" t="str">
        <f>IF(ISERROR(FIND('112'!$M$9,G2407,1)),"",IF((AND(LEFT(G2407,2)=LEFT('112'!$M$9,2),B2407&lt;'112'!$N$8,$L2407='112'!$I$6)),"x",""))</f>
        <v/>
      </c>
      <c r="U2407" s="39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39" t="str">
        <f>IF(OR(TH!L2407=TH!$W$7,M2407=TH!$W$7),"x","")</f>
        <v/>
      </c>
      <c r="X2407" s="39" t="str">
        <f>IF(AND(B2407&gt;='IN-NX'!$P$3,B2407&lt;='IN-NX'!$Q$3,'IN-NX'!$D$7=D2407,OR(LEFT(L2407,2)="15",AND(LEFT(M2407,2)&lt;&gt;"15",LEFT(M2407,2)&lt;&gt;"33"))),"x","")</f>
        <v/>
      </c>
      <c r="Y2407" s="39" t="str">
        <f>IF(AND(OR(LEFT(TH!L2407,2)="15",LEFT(TH!M2407,2)="15"),'152-CT'!$J$8=TH!F2407),"x","")</f>
        <v/>
      </c>
      <c r="Z2407" s="39" t="str">
        <f>IF(AND(OR(LEFT(TH!L2407,2)="15",LEFT(TH!M2407,2)="15"),TK!$E$7=TH!F2407),"x","")</f>
        <v/>
      </c>
      <c r="AA2407" s="39" t="str">
        <f>IF(AND(B2407&lt;=NKC!$N$8,B2407&gt;=NKC!$M$8),"x","")</f>
        <v/>
      </c>
      <c r="AB2407" s="821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109"/>
        <v/>
      </c>
      <c r="C2408" s="184"/>
      <c r="D2408" s="184"/>
      <c r="E2408" s="795"/>
      <c r="F2408" s="189"/>
      <c r="G2408" s="570"/>
      <c r="H2408" s="764"/>
      <c r="I2408" s="256"/>
      <c r="J2408" s="256"/>
      <c r="K2408" s="568"/>
      <c r="L2408" s="569"/>
      <c r="M2408" s="569"/>
      <c r="N2408" s="39" t="str">
        <f>IF(AND('331-CT'!$E$7=TH!H2408,OR(L2408="331",M2408="331")),"331",IF(AND(OR(L2408="131",M2408="131"),H2408='131-CT'!$E$7),"131",""))</f>
        <v/>
      </c>
      <c r="O2408" s="902" t="str">
        <f>IF(AND('341-CT'!$E$9=H2408,OR(LEFT(L2408,3)=$O$7,LEFT(M2408,3)=$O$7)),"x","")</f>
        <v/>
      </c>
      <c r="P2408" s="39" t="str">
        <f>IF(AND($B2408&gt;='111'!$N$11,$B2408&lt;='111'!$O$11,OR($L2408=$P$7,$M2408=$P$7)),"x","")</f>
        <v/>
      </c>
      <c r="Q2408" s="39" t="str">
        <f>IF(AND($L2408=$P$7,$B2408&lt;'111'!$N$11),"x","")</f>
        <v/>
      </c>
      <c r="R2408" s="39" t="str">
        <f>IF(AND($M2408=$P$7,$B2408&lt;'111'!$N$11),"x","")</f>
        <v/>
      </c>
      <c r="S2408" s="39" t="str">
        <f>IF(ISERROR(FIND('112'!$M$9,G2408,1)),"",IF((AND(FIND('112'!$M$9,G2408,1)&gt;=1,$B2408&gt;='112'!$N$8,$B2408&lt;='112'!$O$8,OR($L2408='112'!$I$6,$M2408='112'!$I$6))),"x",""))</f>
        <v/>
      </c>
      <c r="T2408" s="39" t="str">
        <f>IF(ISERROR(FIND('112'!$M$9,G2408,1)),"",IF((AND(LEFT(G2408,2)=LEFT('112'!$M$9,2),B2408&lt;'112'!$N$8,$L2408='112'!$I$6)),"x",""))</f>
        <v/>
      </c>
      <c r="U2408" s="39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39" t="str">
        <f>IF(OR(TH!L2408=TH!$W$7,M2408=TH!$W$7),"x","")</f>
        <v/>
      </c>
      <c r="X2408" s="39" t="str">
        <f>IF(AND(B2408&gt;='IN-NX'!$P$3,B2408&lt;='IN-NX'!$Q$3,'IN-NX'!$D$7=D2408,OR(LEFT(L2408,2)="15",AND(LEFT(M2408,2)&lt;&gt;"15",LEFT(M2408,2)&lt;&gt;"33"))),"x","")</f>
        <v/>
      </c>
      <c r="Y2408" s="39" t="str">
        <f>IF(AND(OR(LEFT(TH!L2408,2)="15",LEFT(TH!M2408,2)="15"),'152-CT'!$J$8=TH!F2408),"x","")</f>
        <v/>
      </c>
      <c r="Z2408" s="39" t="str">
        <f>IF(AND(OR(LEFT(TH!L2408,2)="15",LEFT(TH!M2408,2)="15"),TK!$E$7=TH!F2408),"x","")</f>
        <v/>
      </c>
      <c r="AA2408" s="39" t="str">
        <f>IF(AND(B2408&lt;=NKC!$N$8,B2408&gt;=NKC!$M$8),"x","")</f>
        <v/>
      </c>
      <c r="AB2408" s="821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109"/>
        <v/>
      </c>
      <c r="C2409" s="191"/>
      <c r="D2409" s="191"/>
      <c r="E2409" s="786"/>
      <c r="F2409" s="189"/>
      <c r="G2409" s="40"/>
      <c r="H2409" s="7"/>
      <c r="I2409" s="256"/>
      <c r="J2409" s="256"/>
      <c r="K2409" s="568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902" t="str">
        <f>IF(AND('341-CT'!$E$9=H2409,OR(LEFT(L2409,3)=$O$7,LEFT(M2409,3)=$O$7)),"x","")</f>
        <v/>
      </c>
      <c r="P2409" s="39" t="str">
        <f>IF(AND($B2409&gt;='111'!$N$11,$B2409&lt;='111'!$O$11,OR($L2409=$P$7,$M2409=$P$7)),"x","")</f>
        <v/>
      </c>
      <c r="Q2409" s="39" t="str">
        <f>IF(AND($L2409=$P$7,$B2409&lt;'111'!$N$11),"x","")</f>
        <v/>
      </c>
      <c r="R2409" s="39" t="str">
        <f>IF(AND($M2409=$P$7,$B2409&lt;'111'!$N$11),"x","")</f>
        <v/>
      </c>
      <c r="S2409" s="39" t="str">
        <f>IF(ISERROR(FIND('112'!$M$9,G2409,1)),"",IF((AND(FIND('112'!$M$9,G2409,1)&gt;=1,$B2409&gt;='112'!$N$8,$B2409&lt;='112'!$O$8,OR($L2409='112'!$I$6,$M2409='112'!$I$6))),"x",""))</f>
        <v/>
      </c>
      <c r="T2409" s="39" t="str">
        <f>IF(ISERROR(FIND('112'!$M$9,G2409,1)),"",IF((AND(LEFT(G2409,2)=LEFT('112'!$M$9,2),B2409&lt;'112'!$N$8,$L2409='112'!$I$6)),"x",""))</f>
        <v/>
      </c>
      <c r="U2409" s="39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39" t="str">
        <f>IF(OR(TH!L2409=TH!$W$7,M2409=TH!$W$7),"x","")</f>
        <v/>
      </c>
      <c r="X2409" s="39" t="str">
        <f>IF(AND(B2409&gt;='IN-NX'!$P$3,B2409&lt;='IN-NX'!$Q$3,'IN-NX'!$D$7=D2409,OR(LEFT(L2409,2)="15",AND(LEFT(M2409,2)&lt;&gt;"15",LEFT(M2409,2)&lt;&gt;"33"))),"x","")</f>
        <v/>
      </c>
      <c r="Y2409" s="39" t="str">
        <f>IF(AND(OR(LEFT(TH!L2409,2)="15",LEFT(TH!M2409,2)="15"),'152-CT'!$J$8=TH!F2409),"x","")</f>
        <v/>
      </c>
      <c r="Z2409" s="39" t="str">
        <f>IF(AND(OR(LEFT(TH!L2409,2)="15",LEFT(TH!M2409,2)="15"),TK!$E$7=TH!F2409),"x","")</f>
        <v/>
      </c>
      <c r="AA2409" s="39" t="str">
        <f>IF(AND(B2409&lt;=NKC!$N$8,B2409&gt;=NKC!$M$8),"x","")</f>
        <v/>
      </c>
      <c r="AB2409" s="821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109"/>
        <v/>
      </c>
      <c r="C2410" s="191"/>
      <c r="D2410" s="191"/>
      <c r="E2410" s="786"/>
      <c r="F2410" s="40"/>
      <c r="G2410" s="40"/>
      <c r="H2410" s="7"/>
      <c r="I2410" s="256"/>
      <c r="J2410" s="256"/>
      <c r="K2410" s="568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902" t="str">
        <f>IF(AND('341-CT'!$E$9=H2410,OR(LEFT(L2410,3)=$O$7,LEFT(M2410,3)=$O$7)),"x","")</f>
        <v/>
      </c>
      <c r="P2410" s="39" t="str">
        <f>IF(AND($B2410&gt;='111'!$N$11,$B2410&lt;='111'!$O$11,OR($L2410=$P$7,$M2410=$P$7)),"x","")</f>
        <v/>
      </c>
      <c r="Q2410" s="39" t="str">
        <f>IF(AND($L2410=$P$7,$B2410&lt;'111'!$N$11),"x","")</f>
        <v/>
      </c>
      <c r="R2410" s="39" t="str">
        <f>IF(AND($M2410=$P$7,$B2410&lt;'111'!$N$11),"x","")</f>
        <v/>
      </c>
      <c r="S2410" s="39" t="str">
        <f>IF(ISERROR(FIND('112'!$M$9,G2410,1)),"",IF((AND(FIND('112'!$M$9,G2410,1)&gt;=1,$B2410&gt;='112'!$N$8,$B2410&lt;='112'!$O$8,OR($L2410='112'!$I$6,$M2410='112'!$I$6))),"x",""))</f>
        <v/>
      </c>
      <c r="T2410" s="39" t="str">
        <f>IF(ISERROR(FIND('112'!$M$9,G2410,1)),"",IF((AND(LEFT(G2410,2)=LEFT('112'!$M$9,2),B2410&lt;'112'!$N$8,$L2410='112'!$I$6)),"x",""))</f>
        <v/>
      </c>
      <c r="U2410" s="39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39" t="str">
        <f>IF(OR(TH!L2410=TH!$W$7,M2410=TH!$W$7),"x","")</f>
        <v/>
      </c>
      <c r="X2410" s="39" t="str">
        <f>IF(AND(B2410&gt;='IN-NX'!$P$3,B2410&lt;='IN-NX'!$Q$3,'IN-NX'!$D$7=D2410,OR(LEFT(L2410,2)="15",AND(LEFT(M2410,2)&lt;&gt;"15",LEFT(M2410,2)&lt;&gt;"33"))),"x","")</f>
        <v/>
      </c>
      <c r="Y2410" s="39" t="str">
        <f>IF(AND(OR(LEFT(TH!L2410,2)="15",LEFT(TH!M2410,2)="15"),'152-CT'!$J$8=TH!F2410),"x","")</f>
        <v/>
      </c>
      <c r="Z2410" s="39" t="str">
        <f>IF(AND(OR(LEFT(TH!L2410,2)="15",LEFT(TH!M2410,2)="15"),TK!$E$7=TH!F2410),"x","")</f>
        <v/>
      </c>
      <c r="AA2410" s="39" t="str">
        <f>IF(AND(B2410&lt;=NKC!$N$8,B2410&gt;=NKC!$M$8),"x","")</f>
        <v/>
      </c>
      <c r="AB2410" s="821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109"/>
        <v/>
      </c>
      <c r="C2411" s="191"/>
      <c r="D2411" s="191"/>
      <c r="E2411" s="786"/>
      <c r="F2411" s="189"/>
      <c r="G2411" s="40"/>
      <c r="H2411" s="7"/>
      <c r="I2411" s="256"/>
      <c r="J2411" s="256"/>
      <c r="K2411" s="568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902" t="str">
        <f>IF(AND('341-CT'!$E$9=H2411,OR(LEFT(L2411,3)=$O$7,LEFT(M2411,3)=$O$7)),"x","")</f>
        <v/>
      </c>
      <c r="P2411" s="39" t="str">
        <f>IF(AND($B2411&gt;='111'!$N$11,$B2411&lt;='111'!$O$11,OR($L2411=$P$7,$M2411=$P$7)),"x","")</f>
        <v/>
      </c>
      <c r="Q2411" s="39" t="str">
        <f>IF(AND($L2411=$P$7,$B2411&lt;'111'!$N$11),"x","")</f>
        <v/>
      </c>
      <c r="R2411" s="39" t="str">
        <f>IF(AND($M2411=$P$7,$B2411&lt;'111'!$N$11),"x","")</f>
        <v/>
      </c>
      <c r="S2411" s="39" t="str">
        <f>IF(ISERROR(FIND('112'!$M$9,G2411,1)),"",IF((AND(FIND('112'!$M$9,G2411,1)&gt;=1,$B2411&gt;='112'!$N$8,$B2411&lt;='112'!$O$8,OR($L2411='112'!$I$6,$M2411='112'!$I$6))),"x",""))</f>
        <v/>
      </c>
      <c r="T2411" s="39" t="str">
        <f>IF(ISERROR(FIND('112'!$M$9,G2411,1)),"",IF((AND(LEFT(G2411,2)=LEFT('112'!$M$9,2),B2411&lt;'112'!$N$8,$L2411='112'!$I$6)),"x",""))</f>
        <v/>
      </c>
      <c r="U2411" s="39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39" t="str">
        <f>IF(OR(TH!L2411=TH!$W$7,M2411=TH!$W$7),"x","")</f>
        <v/>
      </c>
      <c r="X2411" s="39" t="str">
        <f>IF(AND(B2411&gt;='IN-NX'!$P$3,B2411&lt;='IN-NX'!$Q$3,'IN-NX'!$D$7=D2411,OR(LEFT(L2411,2)="15",AND(LEFT(M2411,2)&lt;&gt;"15",LEFT(M2411,2)&lt;&gt;"33"))),"x","")</f>
        <v/>
      </c>
      <c r="Y2411" s="39" t="str">
        <f>IF(AND(OR(LEFT(TH!L2411,2)="15",LEFT(TH!M2411,2)="15"),'152-CT'!$J$8=TH!F2411),"x","")</f>
        <v/>
      </c>
      <c r="Z2411" s="39" t="str">
        <f>IF(AND(OR(LEFT(TH!L2411,2)="15",LEFT(TH!M2411,2)="15"),TK!$E$7=TH!F2411),"x","")</f>
        <v/>
      </c>
      <c r="AA2411" s="39" t="str">
        <f>IF(AND(B2411&lt;=NKC!$N$8,B2411&gt;=NKC!$M$8),"x","")</f>
        <v/>
      </c>
      <c r="AB2411" s="821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109"/>
        <v/>
      </c>
      <c r="C2412" s="191"/>
      <c r="D2412" s="191"/>
      <c r="E2412" s="786"/>
      <c r="F2412" s="40"/>
      <c r="G2412" s="40"/>
      <c r="H2412" s="7"/>
      <c r="I2412" s="256"/>
      <c r="J2412" s="256"/>
      <c r="K2412" s="568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902" t="str">
        <f>IF(AND('341-CT'!$E$9=H2412,OR(LEFT(L2412,3)=$O$7,LEFT(M2412,3)=$O$7)),"x","")</f>
        <v/>
      </c>
      <c r="P2412" s="39" t="str">
        <f>IF(AND($B2412&gt;='111'!$N$11,$B2412&lt;='111'!$O$11,OR($L2412=$P$7,$M2412=$P$7)),"x","")</f>
        <v/>
      </c>
      <c r="Q2412" s="39" t="str">
        <f>IF(AND($L2412=$P$7,$B2412&lt;'111'!$N$11),"x","")</f>
        <v/>
      </c>
      <c r="R2412" s="39" t="str">
        <f>IF(AND($M2412=$P$7,$B2412&lt;'111'!$N$11),"x","")</f>
        <v/>
      </c>
      <c r="S2412" s="39" t="str">
        <f>IF(ISERROR(FIND('112'!$M$9,G2412,1)),"",IF((AND(FIND('112'!$M$9,G2412,1)&gt;=1,$B2412&gt;='112'!$N$8,$B2412&lt;='112'!$O$8,OR($L2412='112'!$I$6,$M2412='112'!$I$6))),"x",""))</f>
        <v/>
      </c>
      <c r="T2412" s="39" t="str">
        <f>IF(ISERROR(FIND('112'!$M$9,G2412,1)),"",IF((AND(LEFT(G2412,2)=LEFT('112'!$M$9,2),B2412&lt;'112'!$N$8,$L2412='112'!$I$6)),"x",""))</f>
        <v/>
      </c>
      <c r="U2412" s="39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39" t="str">
        <f>IF(OR(TH!L2412=TH!$W$7,M2412=TH!$W$7),"x","")</f>
        <v/>
      </c>
      <c r="X2412" s="39" t="str">
        <f>IF(AND(B2412&gt;='IN-NX'!$P$3,B2412&lt;='IN-NX'!$Q$3,'IN-NX'!$D$7=D2412,OR(LEFT(L2412,2)="15",AND(LEFT(M2412,2)&lt;&gt;"15",LEFT(M2412,2)&lt;&gt;"33"))),"x","")</f>
        <v/>
      </c>
      <c r="Y2412" s="39" t="str">
        <f>IF(AND(OR(LEFT(TH!L2412,2)="15",LEFT(TH!M2412,2)="15"),'152-CT'!$J$8=TH!F2412),"x","")</f>
        <v/>
      </c>
      <c r="Z2412" s="39" t="str">
        <f>IF(AND(OR(LEFT(TH!L2412,2)="15",LEFT(TH!M2412,2)="15"),TK!$E$7=TH!F2412),"x","")</f>
        <v/>
      </c>
      <c r="AA2412" s="39" t="str">
        <f>IF(AND(B2412&lt;=NKC!$N$8,B2412&gt;=NKC!$M$8),"x","")</f>
        <v/>
      </c>
      <c r="AB2412" s="821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109"/>
        <v/>
      </c>
      <c r="C2413" s="191"/>
      <c r="D2413" s="191"/>
      <c r="E2413" s="786"/>
      <c r="F2413" s="40"/>
      <c r="G2413" s="40"/>
      <c r="H2413" s="7"/>
      <c r="I2413" s="256"/>
      <c r="J2413" s="256"/>
      <c r="K2413" s="568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902" t="str">
        <f>IF(AND('341-CT'!$E$9=H2413,OR(LEFT(L2413,3)=$O$7,LEFT(M2413,3)=$O$7)),"x","")</f>
        <v/>
      </c>
      <c r="P2413" s="39" t="str">
        <f>IF(AND($B2413&gt;='111'!$N$11,$B2413&lt;='111'!$O$11,OR($L2413=$P$7,$M2413=$P$7)),"x","")</f>
        <v/>
      </c>
      <c r="Q2413" s="39" t="str">
        <f>IF(AND($L2413=$P$7,$B2413&lt;'111'!$N$11),"x","")</f>
        <v/>
      </c>
      <c r="R2413" s="39" t="str">
        <f>IF(AND($M2413=$P$7,$B2413&lt;'111'!$N$11),"x","")</f>
        <v/>
      </c>
      <c r="S2413" s="39" t="str">
        <f>IF(ISERROR(FIND('112'!$M$9,G2413,1)),"",IF((AND(FIND('112'!$M$9,G2413,1)&gt;=1,$B2413&gt;='112'!$N$8,$B2413&lt;='112'!$O$8,OR($L2413='112'!$I$6,$M2413='112'!$I$6))),"x",""))</f>
        <v/>
      </c>
      <c r="T2413" s="39" t="str">
        <f>IF(ISERROR(FIND('112'!$M$9,G2413,1)),"",IF((AND(LEFT(G2413,2)=LEFT('112'!$M$9,2),B2413&lt;'112'!$N$8,$L2413='112'!$I$6)),"x",""))</f>
        <v/>
      </c>
      <c r="U2413" s="39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39" t="str">
        <f>IF(OR(TH!L2413=TH!$W$7,M2413=TH!$W$7),"x","")</f>
        <v/>
      </c>
      <c r="X2413" s="39" t="str">
        <f>IF(AND(B2413&gt;='IN-NX'!$P$3,B2413&lt;='IN-NX'!$Q$3,'IN-NX'!$D$7=D2413,OR(LEFT(L2413,2)="15",AND(LEFT(M2413,2)&lt;&gt;"15",LEFT(M2413,2)&lt;&gt;"33"))),"x","")</f>
        <v/>
      </c>
      <c r="Y2413" s="39" t="str">
        <f>IF(AND(OR(LEFT(TH!L2413,2)="15",LEFT(TH!M2413,2)="15"),'152-CT'!$J$8=TH!F2413),"x","")</f>
        <v/>
      </c>
      <c r="Z2413" s="39" t="str">
        <f>IF(AND(OR(LEFT(TH!L2413,2)="15",LEFT(TH!M2413,2)="15"),TK!$E$7=TH!F2413),"x","")</f>
        <v/>
      </c>
      <c r="AA2413" s="39" t="str">
        <f>IF(AND(B2413&lt;=NKC!$N$8,B2413&gt;=NKC!$M$8),"x","")</f>
        <v/>
      </c>
      <c r="AB2413" s="821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109"/>
        <v/>
      </c>
      <c r="C2414" s="191"/>
      <c r="D2414" s="191"/>
      <c r="E2414" s="786"/>
      <c r="F2414" s="40"/>
      <c r="G2414" s="40"/>
      <c r="H2414" s="7"/>
      <c r="I2414" s="256"/>
      <c r="J2414" s="256"/>
      <c r="K2414" s="568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902" t="str">
        <f>IF(AND('341-CT'!$E$9=H2414,OR(LEFT(L2414,3)=$O$7,LEFT(M2414,3)=$O$7)),"x","")</f>
        <v/>
      </c>
      <c r="P2414" s="39" t="str">
        <f>IF(AND($B2414&gt;='111'!$N$11,$B2414&lt;='111'!$O$11,OR($L2414=$P$7,$M2414=$P$7)),"x","")</f>
        <v/>
      </c>
      <c r="Q2414" s="39" t="str">
        <f>IF(AND($L2414=$P$7,$B2414&lt;'111'!$N$11),"x","")</f>
        <v/>
      </c>
      <c r="R2414" s="39" t="str">
        <f>IF(AND($M2414=$P$7,$B2414&lt;'111'!$N$11),"x","")</f>
        <v/>
      </c>
      <c r="S2414" s="39" t="str">
        <f>IF(ISERROR(FIND('112'!$M$9,G2414,1)),"",IF((AND(FIND('112'!$M$9,G2414,1)&gt;=1,$B2414&gt;='112'!$N$8,$B2414&lt;='112'!$O$8,OR($L2414='112'!$I$6,$M2414='112'!$I$6))),"x",""))</f>
        <v/>
      </c>
      <c r="T2414" s="39" t="str">
        <f>IF(ISERROR(FIND('112'!$M$9,G2414,1)),"",IF((AND(LEFT(G2414,2)=LEFT('112'!$M$9,2),B2414&lt;'112'!$N$8,$L2414='112'!$I$6)),"x",""))</f>
        <v/>
      </c>
      <c r="U2414" s="39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39" t="str">
        <f>IF(OR(TH!L2414=TH!$W$7,M2414=TH!$W$7),"x","")</f>
        <v/>
      </c>
      <c r="X2414" s="39" t="str">
        <f>IF(AND(B2414&gt;='IN-NX'!$P$3,B2414&lt;='IN-NX'!$Q$3,'IN-NX'!$D$7=D2414,OR(LEFT(L2414,2)="15",AND(LEFT(M2414,2)&lt;&gt;"15",LEFT(M2414,2)&lt;&gt;"33"))),"x","")</f>
        <v/>
      </c>
      <c r="Y2414" s="39" t="str">
        <f>IF(AND(OR(LEFT(TH!L2414,2)="15",LEFT(TH!M2414,2)="15"),'152-CT'!$J$8=TH!F2414),"x","")</f>
        <v/>
      </c>
      <c r="Z2414" s="39" t="str">
        <f>IF(AND(OR(LEFT(TH!L2414,2)="15",LEFT(TH!M2414,2)="15"),TK!$E$7=TH!F2414),"x","")</f>
        <v/>
      </c>
      <c r="AA2414" s="39" t="str">
        <f>IF(AND(B2414&lt;=NKC!$N$8,B2414&gt;=NKC!$M$8),"x","")</f>
        <v/>
      </c>
      <c r="AB2414" s="821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109"/>
        <v/>
      </c>
      <c r="C2415" s="191"/>
      <c r="D2415" s="191"/>
      <c r="E2415" s="786"/>
      <c r="F2415" s="40"/>
      <c r="G2415" s="40"/>
      <c r="H2415" s="7"/>
      <c r="I2415" s="256"/>
      <c r="J2415" s="256"/>
      <c r="K2415" s="568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902" t="str">
        <f>IF(AND('341-CT'!$E$9=H2415,OR(LEFT(L2415,3)=$O$7,LEFT(M2415,3)=$O$7)),"x","")</f>
        <v/>
      </c>
      <c r="P2415" s="39" t="str">
        <f>IF(AND($B2415&gt;='111'!$N$11,$B2415&lt;='111'!$O$11,OR($L2415=$P$7,$M2415=$P$7)),"x","")</f>
        <v/>
      </c>
      <c r="Q2415" s="39" t="str">
        <f>IF(AND($L2415=$P$7,$B2415&lt;'111'!$N$11),"x","")</f>
        <v/>
      </c>
      <c r="R2415" s="39" t="str">
        <f>IF(AND($M2415=$P$7,$B2415&lt;'111'!$N$11),"x","")</f>
        <v/>
      </c>
      <c r="S2415" s="39" t="str">
        <f>IF(ISERROR(FIND('112'!$M$9,G2415,1)),"",IF((AND(FIND('112'!$M$9,G2415,1)&gt;=1,$B2415&gt;='112'!$N$8,$B2415&lt;='112'!$O$8,OR($L2415='112'!$I$6,$M2415='112'!$I$6))),"x",""))</f>
        <v/>
      </c>
      <c r="T2415" s="39" t="str">
        <f>IF(ISERROR(FIND('112'!$M$9,G2415,1)),"",IF((AND(LEFT(G2415,2)=LEFT('112'!$M$9,2),B2415&lt;'112'!$N$8,$L2415='112'!$I$6)),"x",""))</f>
        <v/>
      </c>
      <c r="U2415" s="39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39" t="str">
        <f>IF(OR(TH!L2415=TH!$W$7,M2415=TH!$W$7),"x","")</f>
        <v/>
      </c>
      <c r="X2415" s="39" t="str">
        <f>IF(AND(B2415&gt;='IN-NX'!$P$3,B2415&lt;='IN-NX'!$Q$3,'IN-NX'!$D$7=D2415,OR(LEFT(L2415,2)="15",AND(LEFT(M2415,2)&lt;&gt;"15",LEFT(M2415,2)&lt;&gt;"33"))),"x","")</f>
        <v/>
      </c>
      <c r="Y2415" s="39" t="str">
        <f>IF(AND(OR(LEFT(TH!L2415,2)="15",LEFT(TH!M2415,2)="15"),'152-CT'!$J$8=TH!F2415),"x","")</f>
        <v/>
      </c>
      <c r="Z2415" s="39" t="str">
        <f>IF(AND(OR(LEFT(TH!L2415,2)="15",LEFT(TH!M2415,2)="15"),TK!$E$7=TH!F2415),"x","")</f>
        <v/>
      </c>
      <c r="AA2415" s="39" t="str">
        <f>IF(AND(B2415&lt;=NKC!$N$8,B2415&gt;=NKC!$M$8),"x","")</f>
        <v/>
      </c>
      <c r="AB2415" s="821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109"/>
        <v/>
      </c>
      <c r="C2416" s="191"/>
      <c r="D2416" s="191"/>
      <c r="E2416" s="786"/>
      <c r="F2416" s="40"/>
      <c r="G2416" s="40"/>
      <c r="H2416" s="7"/>
      <c r="I2416" s="256"/>
      <c r="J2416" s="256"/>
      <c r="K2416" s="568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902" t="str">
        <f>IF(AND('341-CT'!$E$9=H2416,OR(LEFT(L2416,3)=$O$7,LEFT(M2416,3)=$O$7)),"x","")</f>
        <v/>
      </c>
      <c r="P2416" s="39" t="str">
        <f>IF(AND($B2416&gt;='111'!$N$11,$B2416&lt;='111'!$O$11,OR($L2416=$P$7,$M2416=$P$7)),"x","")</f>
        <v/>
      </c>
      <c r="Q2416" s="39" t="str">
        <f>IF(AND($L2416=$P$7,$B2416&lt;'111'!$N$11),"x","")</f>
        <v/>
      </c>
      <c r="R2416" s="39" t="str">
        <f>IF(AND($M2416=$P$7,$B2416&lt;'111'!$N$11),"x","")</f>
        <v/>
      </c>
      <c r="S2416" s="39" t="str">
        <f>IF(ISERROR(FIND('112'!$M$9,G2416,1)),"",IF((AND(FIND('112'!$M$9,G2416,1)&gt;=1,$B2416&gt;='112'!$N$8,$B2416&lt;='112'!$O$8,OR($L2416='112'!$I$6,$M2416='112'!$I$6))),"x",""))</f>
        <v/>
      </c>
      <c r="T2416" s="39" t="str">
        <f>IF(ISERROR(FIND('112'!$M$9,G2416,1)),"",IF((AND(LEFT(G2416,2)=LEFT('112'!$M$9,2),B2416&lt;'112'!$N$8,$L2416='112'!$I$6)),"x",""))</f>
        <v/>
      </c>
      <c r="U2416" s="39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39" t="str">
        <f>IF(OR(TH!L2416=TH!$W$7,M2416=TH!$W$7),"x","")</f>
        <v/>
      </c>
      <c r="X2416" s="39" t="str">
        <f>IF(AND(B2416&gt;='IN-NX'!$P$3,B2416&lt;='IN-NX'!$Q$3,'IN-NX'!$D$7=D2416,OR(LEFT(L2416,2)="15",AND(LEFT(M2416,2)&lt;&gt;"15",LEFT(M2416,2)&lt;&gt;"33"))),"x","")</f>
        <v/>
      </c>
      <c r="Y2416" s="39" t="str">
        <f>IF(AND(OR(LEFT(TH!L2416,2)="15",LEFT(TH!M2416,2)="15"),'152-CT'!$J$8=TH!F2416),"x","")</f>
        <v/>
      </c>
      <c r="Z2416" s="39" t="str">
        <f>IF(AND(OR(LEFT(TH!L2416,2)="15",LEFT(TH!M2416,2)="15"),TK!$E$7=TH!F2416),"x","")</f>
        <v/>
      </c>
      <c r="AA2416" s="39" t="str">
        <f>IF(AND(B2416&lt;=NKC!$N$8,B2416&gt;=NKC!$M$8),"x","")</f>
        <v/>
      </c>
      <c r="AB2416" s="821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109"/>
        <v/>
      </c>
      <c r="C2417" s="184"/>
      <c r="D2417" s="184"/>
      <c r="E2417" s="795"/>
      <c r="F2417" s="189"/>
      <c r="G2417" s="570"/>
      <c r="H2417" s="193"/>
      <c r="I2417" s="256"/>
      <c r="J2417" s="256"/>
      <c r="K2417" s="568"/>
      <c r="L2417" s="569"/>
      <c r="M2417" s="569"/>
      <c r="N2417" s="39" t="str">
        <f>IF(AND('331-CT'!$E$7=TH!H2417,OR(L2417="331",M2417="331")),"331",IF(AND(OR(L2417="131",M2417="131"),H2417='131-CT'!$E$7),"131",""))</f>
        <v/>
      </c>
      <c r="O2417" s="902" t="str">
        <f>IF(AND('341-CT'!$E$9=H2417,OR(LEFT(L2417,3)=$O$7,LEFT(M2417,3)=$O$7)),"x","")</f>
        <v/>
      </c>
      <c r="P2417" s="39" t="str">
        <f>IF(AND($B2417&gt;='111'!$N$11,$B2417&lt;='111'!$O$11,OR($L2417=$P$7,$M2417=$P$7)),"x","")</f>
        <v/>
      </c>
      <c r="Q2417" s="39" t="str">
        <f>IF(AND($L2417=$P$7,$B2417&lt;'111'!$N$11),"x","")</f>
        <v/>
      </c>
      <c r="R2417" s="39" t="str">
        <f>IF(AND($M2417=$P$7,$B2417&lt;'111'!$N$11),"x","")</f>
        <v/>
      </c>
      <c r="S2417" s="39" t="str">
        <f>IF(ISERROR(FIND('112'!$M$9,G2417,1)),"",IF((AND(FIND('112'!$M$9,G2417,1)&gt;=1,$B2417&gt;='112'!$N$8,$B2417&lt;='112'!$O$8,OR($L2417='112'!$I$6,$M2417='112'!$I$6))),"x",""))</f>
        <v/>
      </c>
      <c r="T2417" s="39" t="str">
        <f>IF(ISERROR(FIND('112'!$M$9,G2417,1)),"",IF((AND(LEFT(G2417,2)=LEFT('112'!$M$9,2),B2417&lt;'112'!$N$8,$L2417='112'!$I$6)),"x",""))</f>
        <v/>
      </c>
      <c r="U2417" s="39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39" t="str">
        <f>IF(OR(TH!L2417=TH!$W$7,M2417=TH!$W$7),"x","")</f>
        <v/>
      </c>
      <c r="X2417" s="39" t="str">
        <f>IF(AND(B2417&gt;='IN-NX'!$P$3,B2417&lt;='IN-NX'!$Q$3,'IN-NX'!$D$7=D2417,OR(LEFT(L2417,2)="15",AND(LEFT(M2417,2)&lt;&gt;"15",LEFT(M2417,2)&lt;&gt;"33"))),"x","")</f>
        <v/>
      </c>
      <c r="Y2417" s="39" t="str">
        <f>IF(AND(OR(LEFT(TH!L2417,2)="15",LEFT(TH!M2417,2)="15"),'152-CT'!$J$8=TH!F2417),"x","")</f>
        <v/>
      </c>
      <c r="Z2417" s="39" t="str">
        <f>IF(AND(OR(LEFT(TH!L2417,2)="15",LEFT(TH!M2417,2)="15"),TK!$E$7=TH!F2417),"x","")</f>
        <v/>
      </c>
      <c r="AA2417" s="39" t="str">
        <f>IF(AND(B2417&lt;=NKC!$N$8,B2417&gt;=NKC!$M$8),"x","")</f>
        <v/>
      </c>
      <c r="AB2417" s="821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109"/>
        <v/>
      </c>
      <c r="C2418" s="184"/>
      <c r="D2418" s="184"/>
      <c r="E2418" s="795"/>
      <c r="F2418" s="189"/>
      <c r="G2418" s="570"/>
      <c r="H2418" s="193"/>
      <c r="I2418" s="256"/>
      <c r="J2418" s="256"/>
      <c r="K2418" s="568"/>
      <c r="L2418" s="569"/>
      <c r="M2418" s="569"/>
      <c r="N2418" s="39" t="str">
        <f>IF(AND('331-CT'!$E$7=TH!H2418,OR(L2418="331",M2418="331")),"331",IF(AND(OR(L2418="131",M2418="131"),H2418='131-CT'!$E$7),"131",""))</f>
        <v/>
      </c>
      <c r="O2418" s="902" t="str">
        <f>IF(AND('341-CT'!$E$9=H2418,OR(LEFT(L2418,3)=$O$7,LEFT(M2418,3)=$O$7)),"x","")</f>
        <v/>
      </c>
      <c r="P2418" s="39" t="str">
        <f>IF(AND($B2418&gt;='111'!$N$11,$B2418&lt;='111'!$O$11,OR($L2418=$P$7,$M2418=$P$7)),"x","")</f>
        <v/>
      </c>
      <c r="Q2418" s="39" t="str">
        <f>IF(AND($L2418=$P$7,$B2418&lt;'111'!$N$11),"x","")</f>
        <v/>
      </c>
      <c r="R2418" s="39" t="str">
        <f>IF(AND($M2418=$P$7,$B2418&lt;'111'!$N$11),"x","")</f>
        <v/>
      </c>
      <c r="S2418" s="39" t="str">
        <f>IF(ISERROR(FIND('112'!$M$9,G2418,1)),"",IF((AND(FIND('112'!$M$9,G2418,1)&gt;=1,$B2418&gt;='112'!$N$8,$B2418&lt;='112'!$O$8,OR($L2418='112'!$I$6,$M2418='112'!$I$6))),"x",""))</f>
        <v/>
      </c>
      <c r="T2418" s="39" t="str">
        <f>IF(ISERROR(FIND('112'!$M$9,G2418,1)),"",IF((AND(LEFT(G2418,2)=LEFT('112'!$M$9,2),B2418&lt;'112'!$N$8,$L2418='112'!$I$6)),"x",""))</f>
        <v/>
      </c>
      <c r="U2418" s="39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39" t="str">
        <f>IF(OR(TH!L2418=TH!$W$7,M2418=TH!$W$7),"x","")</f>
        <v/>
      </c>
      <c r="X2418" s="39" t="str">
        <f>IF(AND(B2418&gt;='IN-NX'!$P$3,B2418&lt;='IN-NX'!$Q$3,'IN-NX'!$D$7=D2418,OR(LEFT(L2418,2)="15",AND(LEFT(M2418,2)&lt;&gt;"15",LEFT(M2418,2)&lt;&gt;"33"))),"x","")</f>
        <v/>
      </c>
      <c r="Y2418" s="39" t="str">
        <f>IF(AND(OR(LEFT(TH!L2418,2)="15",LEFT(TH!M2418,2)="15"),'152-CT'!$J$8=TH!F2418),"x","")</f>
        <v/>
      </c>
      <c r="Z2418" s="39" t="str">
        <f>IF(AND(OR(LEFT(TH!L2418,2)="15",LEFT(TH!M2418,2)="15"),TK!$E$7=TH!F2418),"x","")</f>
        <v/>
      </c>
      <c r="AA2418" s="39" t="str">
        <f>IF(AND(B2418&lt;=NKC!$N$8,B2418&gt;=NKC!$M$8),"x","")</f>
        <v/>
      </c>
      <c r="AB2418" s="821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109"/>
        <v/>
      </c>
      <c r="C2419" s="191"/>
      <c r="D2419" s="191"/>
      <c r="E2419" s="786"/>
      <c r="F2419" s="192"/>
      <c r="G2419" s="468"/>
      <c r="H2419" s="7"/>
      <c r="I2419" s="256"/>
      <c r="J2419" s="256"/>
      <c r="K2419" s="56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902" t="str">
        <f>IF(AND('341-CT'!$E$9=H2419,OR(LEFT(L2419,3)=$O$7,LEFT(M2419,3)=$O$7)),"x","")</f>
        <v/>
      </c>
      <c r="P2419" s="39" t="str">
        <f>IF(AND($B2419&gt;='111'!$N$11,$B2419&lt;='111'!$O$11,OR($L2419=$P$7,$M2419=$P$7)),"x","")</f>
        <v/>
      </c>
      <c r="Q2419" s="39" t="str">
        <f>IF(AND($L2419=$P$7,$B2419&lt;'111'!$N$11),"x","")</f>
        <v/>
      </c>
      <c r="R2419" s="39" t="str">
        <f>IF(AND($M2419=$P$7,$B2419&lt;'111'!$N$11),"x","")</f>
        <v/>
      </c>
      <c r="S2419" s="39" t="str">
        <f>IF(ISERROR(FIND('112'!$M$9,G2419,1)),"",IF((AND(FIND('112'!$M$9,G2419,1)&gt;=1,$B2419&gt;='112'!$N$8,$B2419&lt;='112'!$O$8,OR($L2419='112'!$I$6,$M2419='112'!$I$6))),"x",""))</f>
        <v/>
      </c>
      <c r="T2419" s="39" t="str">
        <f>IF(ISERROR(FIND('112'!$M$9,G2419,1)),"",IF((AND(LEFT(G2419,2)=LEFT('112'!$M$9,2),B2419&lt;'112'!$N$8,$L2419='112'!$I$6)),"x",""))</f>
        <v/>
      </c>
      <c r="U2419" s="39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39" t="str">
        <f>IF(OR(TH!L2419=TH!$W$7,M2419=TH!$W$7),"x","")</f>
        <v/>
      </c>
      <c r="X2419" s="39" t="str">
        <f>IF(AND(B2419&gt;='IN-NX'!$P$3,B2419&lt;='IN-NX'!$Q$3,'IN-NX'!$D$7=D2419,OR(LEFT(L2419,2)="15",AND(LEFT(M2419,2)&lt;&gt;"15",LEFT(M2419,2)&lt;&gt;"33"))),"x","")</f>
        <v/>
      </c>
      <c r="Y2419" s="39" t="str">
        <f>IF(AND(OR(LEFT(TH!L2419,2)="15",LEFT(TH!M2419,2)="15"),'152-CT'!$J$8=TH!F2419),"x","")</f>
        <v/>
      </c>
      <c r="Z2419" s="39" t="str">
        <f>IF(AND(OR(LEFT(TH!L2419,2)="15",LEFT(TH!M2419,2)="15"),TK!$E$7=TH!F2419),"x","")</f>
        <v/>
      </c>
      <c r="AA2419" s="39" t="str">
        <f>IF(AND(B2419&lt;=NKC!$N$8,B2419&gt;=NKC!$M$8),"x","")</f>
        <v/>
      </c>
      <c r="AB2419" s="821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109"/>
        <v/>
      </c>
      <c r="C2420" s="191"/>
      <c r="D2420" s="191"/>
      <c r="E2420" s="786"/>
      <c r="F2420" s="192"/>
      <c r="G2420" s="468"/>
      <c r="H2420" s="7"/>
      <c r="I2420" s="256"/>
      <c r="J2420" s="256"/>
      <c r="K2420" s="568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902" t="str">
        <f>IF(AND('341-CT'!$E$9=H2420,OR(LEFT(L2420,3)=$O$7,LEFT(M2420,3)=$O$7)),"x","")</f>
        <v/>
      </c>
      <c r="P2420" s="39" t="str">
        <f>IF(AND($B2420&gt;='111'!$N$11,$B2420&lt;='111'!$O$11,OR($L2420=$P$7,$M2420=$P$7)),"x","")</f>
        <v/>
      </c>
      <c r="Q2420" s="39" t="str">
        <f>IF(AND($L2420=$P$7,$B2420&lt;'111'!$N$11),"x","")</f>
        <v/>
      </c>
      <c r="R2420" s="39" t="str">
        <f>IF(AND($M2420=$P$7,$B2420&lt;'111'!$N$11),"x","")</f>
        <v/>
      </c>
      <c r="S2420" s="39" t="str">
        <f>IF(ISERROR(FIND('112'!$M$9,G2420,1)),"",IF((AND(FIND('112'!$M$9,G2420,1)&gt;=1,$B2420&gt;='112'!$N$8,$B2420&lt;='112'!$O$8,OR($L2420='112'!$I$6,$M2420='112'!$I$6))),"x",""))</f>
        <v/>
      </c>
      <c r="T2420" s="39" t="str">
        <f>IF(ISERROR(FIND('112'!$M$9,G2420,1)),"",IF((AND(LEFT(G2420,2)=LEFT('112'!$M$9,2),B2420&lt;'112'!$N$8,$L2420='112'!$I$6)),"x",""))</f>
        <v/>
      </c>
      <c r="U2420" s="39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39" t="str">
        <f>IF(OR(TH!L2420=TH!$W$7,M2420=TH!$W$7),"x","")</f>
        <v/>
      </c>
      <c r="X2420" s="39" t="str">
        <f>IF(AND(B2420&gt;='IN-NX'!$P$3,B2420&lt;='IN-NX'!$Q$3,'IN-NX'!$D$7=D2420,OR(LEFT(L2420,2)="15",AND(LEFT(M2420,2)&lt;&gt;"15",LEFT(M2420,2)&lt;&gt;"33"))),"x","")</f>
        <v/>
      </c>
      <c r="Y2420" s="39" t="str">
        <f>IF(AND(OR(LEFT(TH!L2420,2)="15",LEFT(TH!M2420,2)="15"),'152-CT'!$J$8=TH!F2420),"x","")</f>
        <v/>
      </c>
      <c r="Z2420" s="39" t="str">
        <f>IF(AND(OR(LEFT(TH!L2420,2)="15",LEFT(TH!M2420,2)="15"),TK!$E$7=TH!F2420),"x","")</f>
        <v/>
      </c>
      <c r="AA2420" s="39" t="str">
        <f>IF(AND(B2420&lt;=NKC!$N$8,B2420&gt;=NKC!$M$8),"x","")</f>
        <v/>
      </c>
      <c r="AB2420" s="821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109"/>
        <v/>
      </c>
      <c r="C2421" s="191"/>
      <c r="D2421" s="37"/>
      <c r="E2421" s="786"/>
      <c r="F2421" s="443"/>
      <c r="G2421" s="40"/>
      <c r="H2421" s="7"/>
      <c r="I2421" s="256"/>
      <c r="J2421" s="256"/>
      <c r="K2421" s="568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902" t="str">
        <f>IF(AND('341-CT'!$E$9=H2421,OR(LEFT(L2421,3)=$O$7,LEFT(M2421,3)=$O$7)),"x","")</f>
        <v/>
      </c>
      <c r="P2421" s="39" t="str">
        <f>IF(AND($B2421&gt;='111'!$N$11,$B2421&lt;='111'!$O$11,OR($L2421=$P$7,$M2421=$P$7)),"x","")</f>
        <v/>
      </c>
      <c r="Q2421" s="39" t="str">
        <f>IF(AND($L2421=$P$7,$B2421&lt;'111'!$N$11),"x","")</f>
        <v/>
      </c>
      <c r="R2421" s="39" t="str">
        <f>IF(AND($M2421=$P$7,$B2421&lt;'111'!$N$11),"x","")</f>
        <v/>
      </c>
      <c r="S2421" s="39" t="str">
        <f>IF(ISERROR(FIND('112'!$M$9,G2421,1)),"",IF((AND(FIND('112'!$M$9,G2421,1)&gt;=1,$B2421&gt;='112'!$N$8,$B2421&lt;='112'!$O$8,OR($L2421='112'!$I$6,$M2421='112'!$I$6))),"x",""))</f>
        <v/>
      </c>
      <c r="T2421" s="39" t="str">
        <f>IF(ISERROR(FIND('112'!$M$9,G2421,1)),"",IF((AND(LEFT(G2421,2)=LEFT('112'!$M$9,2),B2421&lt;'112'!$N$8,$L2421='112'!$I$6)),"x",""))</f>
        <v/>
      </c>
      <c r="U2421" s="39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39" t="str">
        <f>IF(OR(TH!L2421=TH!$W$7,M2421=TH!$W$7),"x","")</f>
        <v/>
      </c>
      <c r="X2421" s="39" t="str">
        <f>IF(AND(B2421&gt;='IN-NX'!$P$3,B2421&lt;='IN-NX'!$Q$3,'IN-NX'!$D$7=D2421,OR(LEFT(L2421,2)="15",AND(LEFT(M2421,2)&lt;&gt;"15",LEFT(M2421,2)&lt;&gt;"33"))),"x","")</f>
        <v/>
      </c>
      <c r="Y2421" s="39" t="str">
        <f>IF(AND(OR(LEFT(TH!L2421,2)="15",LEFT(TH!M2421,2)="15"),'152-CT'!$J$8=TH!F2421),"x","")</f>
        <v/>
      </c>
      <c r="Z2421" s="39" t="str">
        <f>IF(AND(OR(LEFT(TH!L2421,2)="15",LEFT(TH!M2421,2)="15"),TK!$E$7=TH!F2421),"x","")</f>
        <v/>
      </c>
      <c r="AA2421" s="39" t="str">
        <f>IF(AND(B2421&lt;=NKC!$N$8,B2421&gt;=NKC!$M$8),"x","")</f>
        <v/>
      </c>
      <c r="AB2421" s="821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109"/>
        <v/>
      </c>
      <c r="C2422" s="191"/>
      <c r="D2422" s="37"/>
      <c r="E2422" s="786"/>
      <c r="F2422" s="192"/>
      <c r="G2422" s="468"/>
      <c r="H2422" s="7"/>
      <c r="I2422" s="256"/>
      <c r="J2422" s="256"/>
      <c r="K2422" s="568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902" t="str">
        <f>IF(AND('341-CT'!$E$9=H2422,OR(LEFT(L2422,3)=$O$7,LEFT(M2422,3)=$O$7)),"x","")</f>
        <v/>
      </c>
      <c r="P2422" s="39" t="str">
        <f>IF(AND($B2422&gt;='111'!$N$11,$B2422&lt;='111'!$O$11,OR($L2422=$P$7,$M2422=$P$7)),"x","")</f>
        <v/>
      </c>
      <c r="Q2422" s="39" t="str">
        <f>IF(AND($L2422=$P$7,$B2422&lt;'111'!$N$11),"x","")</f>
        <v/>
      </c>
      <c r="R2422" s="39" t="str">
        <f>IF(AND($M2422=$P$7,$B2422&lt;'111'!$N$11),"x","")</f>
        <v/>
      </c>
      <c r="S2422" s="39" t="str">
        <f>IF(ISERROR(FIND('112'!$M$9,G2422,1)),"",IF((AND(FIND('112'!$M$9,G2422,1)&gt;=1,$B2422&gt;='112'!$N$8,$B2422&lt;='112'!$O$8,OR($L2422='112'!$I$6,$M2422='112'!$I$6))),"x",""))</f>
        <v/>
      </c>
      <c r="T2422" s="39" t="str">
        <f>IF(ISERROR(FIND('112'!$M$9,G2422,1)),"",IF((AND(LEFT(G2422,2)=LEFT('112'!$M$9,2),B2422&lt;'112'!$N$8,$L2422='112'!$I$6)),"x",""))</f>
        <v/>
      </c>
      <c r="U2422" s="39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39" t="str">
        <f>IF(OR(TH!L2422=TH!$W$7,M2422=TH!$W$7),"x","")</f>
        <v/>
      </c>
      <c r="X2422" s="39" t="str">
        <f>IF(AND(B2422&gt;='IN-NX'!$P$3,B2422&lt;='IN-NX'!$Q$3,'IN-NX'!$D$7=D2422,OR(LEFT(L2422,2)="15",AND(LEFT(M2422,2)&lt;&gt;"15",LEFT(M2422,2)&lt;&gt;"33"))),"x","")</f>
        <v/>
      </c>
      <c r="Y2422" s="39" t="str">
        <f>IF(AND(OR(LEFT(TH!L2422,2)="15",LEFT(TH!M2422,2)="15"),'152-CT'!$J$8=TH!F2422),"x","")</f>
        <v/>
      </c>
      <c r="Z2422" s="39" t="str">
        <f>IF(AND(OR(LEFT(TH!L2422,2)="15",LEFT(TH!M2422,2)="15"),TK!$E$7=TH!F2422),"x","")</f>
        <v/>
      </c>
      <c r="AA2422" s="39" t="str">
        <f>IF(AND(B2422&lt;=NKC!$N$8,B2422&gt;=NKC!$M$8),"x","")</f>
        <v/>
      </c>
      <c r="AB2422" s="821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109"/>
        <v/>
      </c>
      <c r="C2423" s="184"/>
      <c r="D2423" s="184"/>
      <c r="E2423" s="795"/>
      <c r="F2423" s="189"/>
      <c r="G2423" s="570"/>
      <c r="H2423" s="193"/>
      <c r="I2423" s="256"/>
      <c r="J2423" s="256"/>
      <c r="K2423" s="568"/>
      <c r="L2423" s="569"/>
      <c r="M2423" s="569"/>
      <c r="N2423" s="39" t="str">
        <f>IF(AND('331-CT'!$E$7=TH!H2423,OR(L2423="331",M2423="331")),"331",IF(AND(OR(L2423="131",M2423="131"),H2423='131-CT'!$E$7),"131",""))</f>
        <v/>
      </c>
      <c r="O2423" s="902" t="str">
        <f>IF(AND('341-CT'!$E$9=H2423,OR(LEFT(L2423,3)=$O$7,LEFT(M2423,3)=$O$7)),"x","")</f>
        <v/>
      </c>
      <c r="P2423" s="39" t="str">
        <f>IF(AND($B2423&gt;='111'!$N$11,$B2423&lt;='111'!$O$11,OR($L2423=$P$7,$M2423=$P$7)),"x","")</f>
        <v/>
      </c>
      <c r="Q2423" s="39" t="str">
        <f>IF(AND($L2423=$P$7,$B2423&lt;'111'!$N$11),"x","")</f>
        <v/>
      </c>
      <c r="R2423" s="39" t="str">
        <f>IF(AND($M2423=$P$7,$B2423&lt;'111'!$N$11),"x","")</f>
        <v/>
      </c>
      <c r="S2423" s="39" t="str">
        <f>IF(ISERROR(FIND('112'!$M$9,G2423,1)),"",IF((AND(FIND('112'!$M$9,G2423,1)&gt;=1,$B2423&gt;='112'!$N$8,$B2423&lt;='112'!$O$8,OR($L2423='112'!$I$6,$M2423='112'!$I$6))),"x",""))</f>
        <v/>
      </c>
      <c r="T2423" s="39" t="str">
        <f>IF(ISERROR(FIND('112'!$M$9,G2423,1)),"",IF((AND(LEFT(G2423,2)=LEFT('112'!$M$9,2),B2423&lt;'112'!$N$8,$L2423='112'!$I$6)),"x",""))</f>
        <v/>
      </c>
      <c r="U2423" s="39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39" t="str">
        <f>IF(OR(TH!L2423=TH!$W$7,M2423=TH!$W$7),"x","")</f>
        <v/>
      </c>
      <c r="X2423" s="39" t="str">
        <f>IF(AND(B2423&gt;='IN-NX'!$P$3,B2423&lt;='IN-NX'!$Q$3,'IN-NX'!$D$7=D2423,OR(LEFT(L2423,2)="15",AND(LEFT(M2423,2)&lt;&gt;"15",LEFT(M2423,2)&lt;&gt;"33"))),"x","")</f>
        <v/>
      </c>
      <c r="Y2423" s="39" t="str">
        <f>IF(AND(OR(LEFT(TH!L2423,2)="15",LEFT(TH!M2423,2)="15"),'152-CT'!$J$8=TH!F2423),"x","")</f>
        <v/>
      </c>
      <c r="Z2423" s="39" t="str">
        <f>IF(AND(OR(LEFT(TH!L2423,2)="15",LEFT(TH!M2423,2)="15"),TK!$E$7=TH!F2423),"x","")</f>
        <v/>
      </c>
      <c r="AA2423" s="39" t="str">
        <f>IF(AND(B2423&lt;=NKC!$N$8,B2423&gt;=NKC!$M$8),"x","")</f>
        <v/>
      </c>
      <c r="AB2423" s="821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109"/>
        <v/>
      </c>
      <c r="C2424" s="191"/>
      <c r="D2424" s="191"/>
      <c r="E2424" s="786"/>
      <c r="F2424" s="192"/>
      <c r="G2424" s="468"/>
      <c r="H2424" s="7"/>
      <c r="I2424" s="257"/>
      <c r="J2424" s="257"/>
      <c r="K2424" s="568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902" t="str">
        <f>IF(AND('341-CT'!$E$9=H2424,OR(LEFT(L2424,3)=$O$7,LEFT(M2424,3)=$O$7)),"x","")</f>
        <v/>
      </c>
      <c r="P2424" s="39" t="str">
        <f>IF(AND($B2424&gt;='111'!$N$11,$B2424&lt;='111'!$O$11,OR($L2424=$P$7,$M2424=$P$7)),"x","")</f>
        <v/>
      </c>
      <c r="Q2424" s="39" t="str">
        <f>IF(AND($L2424=$P$7,$B2424&lt;'111'!$N$11),"x","")</f>
        <v/>
      </c>
      <c r="R2424" s="39" t="str">
        <f>IF(AND($M2424=$P$7,$B2424&lt;'111'!$N$11),"x","")</f>
        <v/>
      </c>
      <c r="S2424" s="39" t="str">
        <f>IF(ISERROR(FIND('112'!$M$9,G2424,1)),"",IF((AND(FIND('112'!$M$9,G2424,1)&gt;=1,$B2424&gt;='112'!$N$8,$B2424&lt;='112'!$O$8,OR($L2424='112'!$I$6,$M2424='112'!$I$6))),"x",""))</f>
        <v/>
      </c>
      <c r="T2424" s="39" t="str">
        <f>IF(ISERROR(FIND('112'!$M$9,G2424,1)),"",IF((AND(LEFT(G2424,2)=LEFT('112'!$M$9,2),B2424&lt;'112'!$N$8,$L2424='112'!$I$6)),"x",""))</f>
        <v/>
      </c>
      <c r="U2424" s="39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39" t="str">
        <f>IF(OR(TH!L2424=TH!$W$7,M2424=TH!$W$7),"x","")</f>
        <v/>
      </c>
      <c r="X2424" s="39" t="str">
        <f>IF(AND(B2424&gt;='IN-NX'!$P$3,B2424&lt;='IN-NX'!$Q$3,'IN-NX'!$D$7=D2424,OR(LEFT(L2424,2)="15",AND(LEFT(M2424,2)&lt;&gt;"15",LEFT(M2424,2)&lt;&gt;"33"))),"x","")</f>
        <v/>
      </c>
      <c r="Y2424" s="39" t="str">
        <f>IF(AND(OR(LEFT(TH!L2424,2)="15",LEFT(TH!M2424,2)="15"),'152-CT'!$J$8=TH!F2424),"x","")</f>
        <v/>
      </c>
      <c r="Z2424" s="39" t="str">
        <f>IF(AND(OR(LEFT(TH!L2424,2)="15",LEFT(TH!M2424,2)="15"),TK!$E$7=TH!F2424),"x","")</f>
        <v/>
      </c>
      <c r="AA2424" s="39" t="str">
        <f>IF(AND(B2424&lt;=NKC!$N$8,B2424&gt;=NKC!$M$8),"x","")</f>
        <v/>
      </c>
      <c r="AB2424" s="821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ref="B2425:B2488" si="110">IF(C2425&lt;&gt;"",MONTH(C2425),"")</f>
        <v/>
      </c>
      <c r="C2425" s="191"/>
      <c r="D2425" s="191"/>
      <c r="E2425" s="786"/>
      <c r="F2425" s="192"/>
      <c r="G2425" s="468"/>
      <c r="H2425" s="7"/>
      <c r="I2425" s="257"/>
      <c r="J2425" s="257"/>
      <c r="K2425" s="38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902" t="str">
        <f>IF(AND('341-CT'!$E$9=H2425,OR(LEFT(L2425,3)=$O$7,LEFT(M2425,3)=$O$7)),"x","")</f>
        <v/>
      </c>
      <c r="P2425" s="39" t="str">
        <f>IF(AND($B2425&gt;='111'!$N$11,$B2425&lt;='111'!$O$11,OR($L2425=$P$7,$M2425=$P$7)),"x","")</f>
        <v/>
      </c>
      <c r="Q2425" s="39" t="str">
        <f>IF(AND($L2425=$P$7,$B2425&lt;'111'!$N$11),"x","")</f>
        <v/>
      </c>
      <c r="R2425" s="39" t="str">
        <f>IF(AND($M2425=$P$7,$B2425&lt;'111'!$N$11),"x","")</f>
        <v/>
      </c>
      <c r="S2425" s="39" t="str">
        <f>IF(ISERROR(FIND('112'!$M$9,G2425,1)),"",IF((AND(FIND('112'!$M$9,G2425,1)&gt;=1,$B2425&gt;='112'!$N$8,$B2425&lt;='112'!$O$8,OR($L2425='112'!$I$6,$M2425='112'!$I$6))),"x",""))</f>
        <v/>
      </c>
      <c r="T2425" s="39" t="str">
        <f>IF(ISERROR(FIND('112'!$M$9,G2425,1)),"",IF((AND(LEFT(G2425,2)=LEFT('112'!$M$9,2),B2425&lt;'112'!$N$8,$L2425='112'!$I$6)),"x",""))</f>
        <v/>
      </c>
      <c r="U2425" s="39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39" t="str">
        <f>IF(OR(TH!L2425=TH!$W$7,M2425=TH!$W$7),"x","")</f>
        <v/>
      </c>
      <c r="X2425" s="39" t="str">
        <f>IF(AND(B2425&gt;='IN-NX'!$P$3,B2425&lt;='IN-NX'!$Q$3,'IN-NX'!$D$7=D2425,OR(LEFT(L2425,2)="15",AND(LEFT(M2425,2)&lt;&gt;"15",LEFT(M2425,2)&lt;&gt;"33"))),"x","")</f>
        <v/>
      </c>
      <c r="Y2425" s="39" t="str">
        <f>IF(AND(OR(LEFT(TH!L2425,2)="15",LEFT(TH!M2425,2)="15"),'152-CT'!$J$8=TH!F2425),"x","")</f>
        <v/>
      </c>
      <c r="Z2425" s="39" t="str">
        <f>IF(AND(OR(LEFT(TH!L2425,2)="15",LEFT(TH!M2425,2)="15"),TK!$E$7=TH!F2425),"x","")</f>
        <v/>
      </c>
      <c r="AA2425" s="39" t="str">
        <f>IF(AND(B2425&lt;=NKC!$N$8,B2425&gt;=NKC!$M$8),"x","")</f>
        <v/>
      </c>
      <c r="AB2425" s="821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110"/>
        <v/>
      </c>
      <c r="C2426" s="191"/>
      <c r="D2426" s="191"/>
      <c r="E2426" s="786"/>
      <c r="F2426" s="40"/>
      <c r="G2426" s="40"/>
      <c r="H2426" s="7"/>
      <c r="I2426" s="256"/>
      <c r="J2426" s="256"/>
      <c r="K2426" s="568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902" t="str">
        <f>IF(AND('341-CT'!$E$9=H2426,OR(LEFT(L2426,3)=$O$7,LEFT(M2426,3)=$O$7)),"x","")</f>
        <v/>
      </c>
      <c r="P2426" s="39" t="str">
        <f>IF(AND($B2426&gt;='111'!$N$11,$B2426&lt;='111'!$O$11,OR($L2426=$P$7,$M2426=$P$7)),"x","")</f>
        <v/>
      </c>
      <c r="Q2426" s="39" t="str">
        <f>IF(AND($L2426=$P$7,$B2426&lt;'111'!$N$11),"x","")</f>
        <v/>
      </c>
      <c r="R2426" s="39" t="str">
        <f>IF(AND($M2426=$P$7,$B2426&lt;'111'!$N$11),"x","")</f>
        <v/>
      </c>
      <c r="S2426" s="39" t="str">
        <f>IF(ISERROR(FIND('112'!$M$9,G2426,1)),"",IF((AND(FIND('112'!$M$9,G2426,1)&gt;=1,$B2426&gt;='112'!$N$8,$B2426&lt;='112'!$O$8,OR($L2426='112'!$I$6,$M2426='112'!$I$6))),"x",""))</f>
        <v/>
      </c>
      <c r="T2426" s="39" t="str">
        <f>IF(ISERROR(FIND('112'!$M$9,G2426,1)),"",IF((AND(LEFT(G2426,2)=LEFT('112'!$M$9,2),B2426&lt;'112'!$N$8,$L2426='112'!$I$6)),"x",""))</f>
        <v/>
      </c>
      <c r="U2426" s="39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39" t="str">
        <f>IF(OR(TH!L2426=TH!$W$7,M2426=TH!$W$7),"x","")</f>
        <v/>
      </c>
      <c r="X2426" s="39" t="str">
        <f>IF(AND(B2426&gt;='IN-NX'!$P$3,B2426&lt;='IN-NX'!$Q$3,'IN-NX'!$D$7=D2426,OR(LEFT(L2426,2)="15",AND(LEFT(M2426,2)&lt;&gt;"15",LEFT(M2426,2)&lt;&gt;"33"))),"x","")</f>
        <v/>
      </c>
      <c r="Y2426" s="39" t="str">
        <f>IF(AND(OR(LEFT(TH!L2426,2)="15",LEFT(TH!M2426,2)="15"),'152-CT'!$J$8=TH!F2426),"x","")</f>
        <v/>
      </c>
      <c r="Z2426" s="39" t="str">
        <f>IF(AND(OR(LEFT(TH!L2426,2)="15",LEFT(TH!M2426,2)="15"),TK!$E$7=TH!F2426),"x","")</f>
        <v/>
      </c>
      <c r="AA2426" s="39" t="str">
        <f>IF(AND(B2426&lt;=NKC!$N$8,B2426&gt;=NKC!$M$8),"x","")</f>
        <v/>
      </c>
      <c r="AB2426" s="821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110"/>
        <v/>
      </c>
      <c r="C2427" s="191"/>
      <c r="D2427" s="191"/>
      <c r="E2427" s="786"/>
      <c r="F2427" s="189"/>
      <c r="G2427" s="40"/>
      <c r="H2427" s="7"/>
      <c r="I2427" s="256"/>
      <c r="J2427" s="256"/>
      <c r="K2427" s="568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902" t="str">
        <f>IF(AND('341-CT'!$E$9=H2427,OR(LEFT(L2427,3)=$O$7,LEFT(M2427,3)=$O$7)),"x","")</f>
        <v/>
      </c>
      <c r="P2427" s="39" t="str">
        <f>IF(AND($B2427&gt;='111'!$N$11,$B2427&lt;='111'!$O$11,OR($L2427=$P$7,$M2427=$P$7)),"x","")</f>
        <v/>
      </c>
      <c r="Q2427" s="39" t="str">
        <f>IF(AND($L2427=$P$7,$B2427&lt;'111'!$N$11),"x","")</f>
        <v/>
      </c>
      <c r="R2427" s="39" t="str">
        <f>IF(AND($M2427=$P$7,$B2427&lt;'111'!$N$11),"x","")</f>
        <v/>
      </c>
      <c r="S2427" s="39" t="str">
        <f>IF(ISERROR(FIND('112'!$M$9,G2427,1)),"",IF((AND(FIND('112'!$M$9,G2427,1)&gt;=1,$B2427&gt;='112'!$N$8,$B2427&lt;='112'!$O$8,OR($L2427='112'!$I$6,$M2427='112'!$I$6))),"x",""))</f>
        <v/>
      </c>
      <c r="T2427" s="39" t="str">
        <f>IF(ISERROR(FIND('112'!$M$9,G2427,1)),"",IF((AND(LEFT(G2427,2)=LEFT('112'!$M$9,2),B2427&lt;'112'!$N$8,$L2427='112'!$I$6)),"x",""))</f>
        <v/>
      </c>
      <c r="U2427" s="39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39" t="str">
        <f>IF(OR(TH!L2427=TH!$W$7,M2427=TH!$W$7),"x","")</f>
        <v/>
      </c>
      <c r="X2427" s="39" t="str">
        <f>IF(AND(B2427&gt;='IN-NX'!$P$3,B2427&lt;='IN-NX'!$Q$3,'IN-NX'!$D$7=D2427,OR(LEFT(L2427,2)="15",AND(LEFT(M2427,2)&lt;&gt;"15",LEFT(M2427,2)&lt;&gt;"33"))),"x","")</f>
        <v/>
      </c>
      <c r="Y2427" s="39" t="str">
        <f>IF(AND(OR(LEFT(TH!L2427,2)="15",LEFT(TH!M2427,2)="15"),'152-CT'!$J$8=TH!F2427),"x","")</f>
        <v/>
      </c>
      <c r="Z2427" s="39" t="str">
        <f>IF(AND(OR(LEFT(TH!L2427,2)="15",LEFT(TH!M2427,2)="15"),TK!$E$7=TH!F2427),"x","")</f>
        <v/>
      </c>
      <c r="AA2427" s="39" t="str">
        <f>IF(AND(B2427&lt;=NKC!$N$8,B2427&gt;=NKC!$M$8),"x","")</f>
        <v/>
      </c>
      <c r="AB2427" s="821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110"/>
        <v/>
      </c>
      <c r="C2428" s="191"/>
      <c r="D2428" s="191"/>
      <c r="E2428" s="786"/>
      <c r="F2428" s="189"/>
      <c r="G2428" s="40"/>
      <c r="H2428" s="7"/>
      <c r="I2428" s="256"/>
      <c r="J2428" s="256"/>
      <c r="K2428" s="568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902" t="str">
        <f>IF(AND('341-CT'!$E$9=H2428,OR(LEFT(L2428,3)=$O$7,LEFT(M2428,3)=$O$7)),"x","")</f>
        <v/>
      </c>
      <c r="P2428" s="39" t="str">
        <f>IF(AND($B2428&gt;='111'!$N$11,$B2428&lt;='111'!$O$11,OR($L2428=$P$7,$M2428=$P$7)),"x","")</f>
        <v/>
      </c>
      <c r="Q2428" s="39" t="str">
        <f>IF(AND($L2428=$P$7,$B2428&lt;'111'!$N$11),"x","")</f>
        <v/>
      </c>
      <c r="R2428" s="39" t="str">
        <f>IF(AND($M2428=$P$7,$B2428&lt;'111'!$N$11),"x","")</f>
        <v/>
      </c>
      <c r="S2428" s="39" t="str">
        <f>IF(ISERROR(FIND('112'!$M$9,G2428,1)),"",IF((AND(FIND('112'!$M$9,G2428,1)&gt;=1,$B2428&gt;='112'!$N$8,$B2428&lt;='112'!$O$8,OR($L2428='112'!$I$6,$M2428='112'!$I$6))),"x",""))</f>
        <v/>
      </c>
      <c r="T2428" s="39" t="str">
        <f>IF(ISERROR(FIND('112'!$M$9,G2428,1)),"",IF((AND(LEFT(G2428,2)=LEFT('112'!$M$9,2),B2428&lt;'112'!$N$8,$L2428='112'!$I$6)),"x",""))</f>
        <v/>
      </c>
      <c r="U2428" s="39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39" t="str">
        <f>IF(OR(TH!L2428=TH!$W$7,M2428=TH!$W$7),"x","")</f>
        <v/>
      </c>
      <c r="X2428" s="39" t="str">
        <f>IF(AND(B2428&gt;='IN-NX'!$P$3,B2428&lt;='IN-NX'!$Q$3,'IN-NX'!$D$7=D2428,OR(LEFT(L2428,2)="15",AND(LEFT(M2428,2)&lt;&gt;"15",LEFT(M2428,2)&lt;&gt;"33"))),"x","")</f>
        <v/>
      </c>
      <c r="Y2428" s="39" t="str">
        <f>IF(AND(OR(LEFT(TH!L2428,2)="15",LEFT(TH!M2428,2)="15"),'152-CT'!$J$8=TH!F2428),"x","")</f>
        <v/>
      </c>
      <c r="Z2428" s="39" t="str">
        <f>IF(AND(OR(LEFT(TH!L2428,2)="15",LEFT(TH!M2428,2)="15"),TK!$E$7=TH!F2428),"x","")</f>
        <v/>
      </c>
      <c r="AA2428" s="39" t="str">
        <f>IF(AND(B2428&lt;=NKC!$N$8,B2428&gt;=NKC!$M$8),"x","")</f>
        <v/>
      </c>
      <c r="AB2428" s="821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110"/>
        <v/>
      </c>
      <c r="C2429" s="191"/>
      <c r="D2429" s="191"/>
      <c r="E2429" s="786"/>
      <c r="F2429" s="189"/>
      <c r="G2429" s="40"/>
      <c r="H2429" s="7"/>
      <c r="I2429" s="256"/>
      <c r="J2429" s="256"/>
      <c r="K2429" s="568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902" t="str">
        <f>IF(AND('341-CT'!$E$9=H2429,OR(LEFT(L2429,3)=$O$7,LEFT(M2429,3)=$O$7)),"x","")</f>
        <v/>
      </c>
      <c r="P2429" s="39" t="str">
        <f>IF(AND($B2429&gt;='111'!$N$11,$B2429&lt;='111'!$O$11,OR($L2429=$P$7,$M2429=$P$7)),"x","")</f>
        <v/>
      </c>
      <c r="Q2429" s="39" t="str">
        <f>IF(AND($L2429=$P$7,$B2429&lt;'111'!$N$11),"x","")</f>
        <v/>
      </c>
      <c r="R2429" s="39" t="str">
        <f>IF(AND($M2429=$P$7,$B2429&lt;'111'!$N$11),"x","")</f>
        <v/>
      </c>
      <c r="S2429" s="39" t="str">
        <f>IF(ISERROR(FIND('112'!$M$9,G2429,1)),"",IF((AND(FIND('112'!$M$9,G2429,1)&gt;=1,$B2429&gt;='112'!$N$8,$B2429&lt;='112'!$O$8,OR($L2429='112'!$I$6,$M2429='112'!$I$6))),"x",""))</f>
        <v/>
      </c>
      <c r="T2429" s="39" t="str">
        <f>IF(ISERROR(FIND('112'!$M$9,G2429,1)),"",IF((AND(LEFT(G2429,2)=LEFT('112'!$M$9,2),B2429&lt;'112'!$N$8,$L2429='112'!$I$6)),"x",""))</f>
        <v/>
      </c>
      <c r="U2429" s="39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39" t="str">
        <f>IF(OR(TH!L2429=TH!$W$7,M2429=TH!$W$7),"x","")</f>
        <v/>
      </c>
      <c r="X2429" s="39" t="str">
        <f>IF(AND(B2429&gt;='IN-NX'!$P$3,B2429&lt;='IN-NX'!$Q$3,'IN-NX'!$D$7=D2429,OR(LEFT(L2429,2)="15",AND(LEFT(M2429,2)&lt;&gt;"15",LEFT(M2429,2)&lt;&gt;"33"))),"x","")</f>
        <v/>
      </c>
      <c r="Y2429" s="39" t="str">
        <f>IF(AND(OR(LEFT(TH!L2429,2)="15",LEFT(TH!M2429,2)="15"),'152-CT'!$J$8=TH!F2429),"x","")</f>
        <v/>
      </c>
      <c r="Z2429" s="39" t="str">
        <f>IF(AND(OR(LEFT(TH!L2429,2)="15",LEFT(TH!M2429,2)="15"),TK!$E$7=TH!F2429),"x","")</f>
        <v/>
      </c>
      <c r="AA2429" s="39" t="str">
        <f>IF(AND(B2429&lt;=NKC!$N$8,B2429&gt;=NKC!$M$8),"x","")</f>
        <v/>
      </c>
      <c r="AB2429" s="821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110"/>
        <v/>
      </c>
      <c r="C2430" s="191"/>
      <c r="D2430" s="191"/>
      <c r="E2430" s="786"/>
      <c r="F2430" s="40"/>
      <c r="G2430" s="40"/>
      <c r="H2430" s="7"/>
      <c r="I2430" s="256"/>
      <c r="J2430" s="256"/>
      <c r="K2430" s="568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902" t="str">
        <f>IF(AND('341-CT'!$E$9=H2430,OR(LEFT(L2430,3)=$O$7,LEFT(M2430,3)=$O$7)),"x","")</f>
        <v/>
      </c>
      <c r="P2430" s="39" t="str">
        <f>IF(AND($B2430&gt;='111'!$N$11,$B2430&lt;='111'!$O$11,OR($L2430=$P$7,$M2430=$P$7)),"x","")</f>
        <v/>
      </c>
      <c r="Q2430" s="39" t="str">
        <f>IF(AND($L2430=$P$7,$B2430&lt;'111'!$N$11),"x","")</f>
        <v/>
      </c>
      <c r="R2430" s="39" t="str">
        <f>IF(AND($M2430=$P$7,$B2430&lt;'111'!$N$11),"x","")</f>
        <v/>
      </c>
      <c r="S2430" s="39" t="str">
        <f>IF(ISERROR(FIND('112'!$M$9,G2430,1)),"",IF((AND(FIND('112'!$M$9,G2430,1)&gt;=1,$B2430&gt;='112'!$N$8,$B2430&lt;='112'!$O$8,OR($L2430='112'!$I$6,$M2430='112'!$I$6))),"x",""))</f>
        <v/>
      </c>
      <c r="T2430" s="39" t="str">
        <f>IF(ISERROR(FIND('112'!$M$9,G2430,1)),"",IF((AND(LEFT(G2430,2)=LEFT('112'!$M$9,2),B2430&lt;'112'!$N$8,$L2430='112'!$I$6)),"x",""))</f>
        <v/>
      </c>
      <c r="U2430" s="39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39" t="str">
        <f>IF(OR(TH!L2430=TH!$W$7,M2430=TH!$W$7),"x","")</f>
        <v/>
      </c>
      <c r="X2430" s="39" t="str">
        <f>IF(AND(B2430&gt;='IN-NX'!$P$3,B2430&lt;='IN-NX'!$Q$3,'IN-NX'!$D$7=D2430,OR(LEFT(L2430,2)="15",AND(LEFT(M2430,2)&lt;&gt;"15",LEFT(M2430,2)&lt;&gt;"33"))),"x","")</f>
        <v/>
      </c>
      <c r="Y2430" s="39" t="str">
        <f>IF(AND(OR(LEFT(TH!L2430,2)="15",LEFT(TH!M2430,2)="15"),'152-CT'!$J$8=TH!F2430),"x","")</f>
        <v/>
      </c>
      <c r="Z2430" s="39" t="str">
        <f>IF(AND(OR(LEFT(TH!L2430,2)="15",LEFT(TH!M2430,2)="15"),TK!$E$7=TH!F2430),"x","")</f>
        <v/>
      </c>
      <c r="AA2430" s="39" t="str">
        <f>IF(AND(B2430&lt;=NKC!$N$8,B2430&gt;=NKC!$M$8),"x","")</f>
        <v/>
      </c>
      <c r="AB2430" s="821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110"/>
        <v/>
      </c>
      <c r="C2431" s="191"/>
      <c r="D2431" s="191"/>
      <c r="E2431" s="786"/>
      <c r="F2431" s="40"/>
      <c r="G2431" s="40"/>
      <c r="H2431" s="7"/>
      <c r="I2431" s="256"/>
      <c r="J2431" s="256"/>
      <c r="K2431" s="568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902" t="str">
        <f>IF(AND('341-CT'!$E$9=H2431,OR(LEFT(L2431,3)=$O$7,LEFT(M2431,3)=$O$7)),"x","")</f>
        <v/>
      </c>
      <c r="P2431" s="39" t="str">
        <f>IF(AND($B2431&gt;='111'!$N$11,$B2431&lt;='111'!$O$11,OR($L2431=$P$7,$M2431=$P$7)),"x","")</f>
        <v/>
      </c>
      <c r="Q2431" s="39" t="str">
        <f>IF(AND($L2431=$P$7,$B2431&lt;'111'!$N$11),"x","")</f>
        <v/>
      </c>
      <c r="R2431" s="39" t="str">
        <f>IF(AND($M2431=$P$7,$B2431&lt;'111'!$N$11),"x","")</f>
        <v/>
      </c>
      <c r="S2431" s="39" t="str">
        <f>IF(ISERROR(FIND('112'!$M$9,G2431,1)),"",IF((AND(FIND('112'!$M$9,G2431,1)&gt;=1,$B2431&gt;='112'!$N$8,$B2431&lt;='112'!$O$8,OR($L2431='112'!$I$6,$M2431='112'!$I$6))),"x",""))</f>
        <v/>
      </c>
      <c r="T2431" s="39" t="str">
        <f>IF(ISERROR(FIND('112'!$M$9,G2431,1)),"",IF((AND(LEFT(G2431,2)=LEFT('112'!$M$9,2),B2431&lt;'112'!$N$8,$L2431='112'!$I$6)),"x",""))</f>
        <v/>
      </c>
      <c r="U2431" s="39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39" t="str">
        <f>IF(OR(TH!L2431=TH!$W$7,M2431=TH!$W$7),"x","")</f>
        <v/>
      </c>
      <c r="X2431" s="39" t="str">
        <f>IF(AND(B2431&gt;='IN-NX'!$P$3,B2431&lt;='IN-NX'!$Q$3,'IN-NX'!$D$7=D2431,OR(LEFT(L2431,2)="15",AND(LEFT(M2431,2)&lt;&gt;"15",LEFT(M2431,2)&lt;&gt;"33"))),"x","")</f>
        <v/>
      </c>
      <c r="Y2431" s="39" t="str">
        <f>IF(AND(OR(LEFT(TH!L2431,2)="15",LEFT(TH!M2431,2)="15"),'152-CT'!$J$8=TH!F2431),"x","")</f>
        <v/>
      </c>
      <c r="Z2431" s="39" t="str">
        <f>IF(AND(OR(LEFT(TH!L2431,2)="15",LEFT(TH!M2431,2)="15"),TK!$E$7=TH!F2431),"x","")</f>
        <v/>
      </c>
      <c r="AA2431" s="39" t="str">
        <f>IF(AND(B2431&lt;=NKC!$N$8,B2431&gt;=NKC!$M$8),"x","")</f>
        <v/>
      </c>
      <c r="AB2431" s="821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110"/>
        <v/>
      </c>
      <c r="C2432" s="191"/>
      <c r="D2432" s="191"/>
      <c r="E2432" s="786"/>
      <c r="F2432" s="40"/>
      <c r="G2432" s="40"/>
      <c r="H2432" s="7"/>
      <c r="I2432" s="256"/>
      <c r="J2432" s="256"/>
      <c r="K2432" s="568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902" t="str">
        <f>IF(AND('341-CT'!$E$9=H2432,OR(LEFT(L2432,3)=$O$7,LEFT(M2432,3)=$O$7)),"x","")</f>
        <v/>
      </c>
      <c r="P2432" s="39" t="str">
        <f>IF(AND($B2432&gt;='111'!$N$11,$B2432&lt;='111'!$O$11,OR($L2432=$P$7,$M2432=$P$7)),"x","")</f>
        <v/>
      </c>
      <c r="Q2432" s="39" t="str">
        <f>IF(AND($L2432=$P$7,$B2432&lt;'111'!$N$11),"x","")</f>
        <v/>
      </c>
      <c r="R2432" s="39" t="str">
        <f>IF(AND($M2432=$P$7,$B2432&lt;'111'!$N$11),"x","")</f>
        <v/>
      </c>
      <c r="S2432" s="39" t="str">
        <f>IF(ISERROR(FIND('112'!$M$9,G2432,1)),"",IF((AND(FIND('112'!$M$9,G2432,1)&gt;=1,$B2432&gt;='112'!$N$8,$B2432&lt;='112'!$O$8,OR($L2432='112'!$I$6,$M2432='112'!$I$6))),"x",""))</f>
        <v/>
      </c>
      <c r="T2432" s="39" t="str">
        <f>IF(ISERROR(FIND('112'!$M$9,G2432,1)),"",IF((AND(LEFT(G2432,2)=LEFT('112'!$M$9,2),B2432&lt;'112'!$N$8,$L2432='112'!$I$6)),"x",""))</f>
        <v/>
      </c>
      <c r="U2432" s="39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39" t="str">
        <f>IF(OR(TH!L2432=TH!$W$7,M2432=TH!$W$7),"x","")</f>
        <v/>
      </c>
      <c r="X2432" s="39" t="str">
        <f>IF(AND(B2432&gt;='IN-NX'!$P$3,B2432&lt;='IN-NX'!$Q$3,'IN-NX'!$D$7=D2432,OR(LEFT(L2432,2)="15",AND(LEFT(M2432,2)&lt;&gt;"15",LEFT(M2432,2)&lt;&gt;"33"))),"x","")</f>
        <v/>
      </c>
      <c r="Y2432" s="39" t="str">
        <f>IF(AND(OR(LEFT(TH!L2432,2)="15",LEFT(TH!M2432,2)="15"),'152-CT'!$J$8=TH!F2432),"x","")</f>
        <v/>
      </c>
      <c r="Z2432" s="39" t="str">
        <f>IF(AND(OR(LEFT(TH!L2432,2)="15",LEFT(TH!M2432,2)="15"),TK!$E$7=TH!F2432),"x","")</f>
        <v/>
      </c>
      <c r="AA2432" s="39" t="str">
        <f>IF(AND(B2432&lt;=NKC!$N$8,B2432&gt;=NKC!$M$8),"x","")</f>
        <v/>
      </c>
      <c r="AB2432" s="821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110"/>
        <v/>
      </c>
      <c r="C2433" s="191"/>
      <c r="D2433" s="191"/>
      <c r="E2433" s="786"/>
      <c r="F2433" s="40"/>
      <c r="G2433" s="40"/>
      <c r="H2433" s="7"/>
      <c r="I2433" s="256"/>
      <c r="J2433" s="256"/>
      <c r="K2433" s="568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902" t="str">
        <f>IF(AND('341-CT'!$E$9=H2433,OR(LEFT(L2433,3)=$O$7,LEFT(M2433,3)=$O$7)),"x","")</f>
        <v/>
      </c>
      <c r="P2433" s="39" t="str">
        <f>IF(AND($B2433&gt;='111'!$N$11,$B2433&lt;='111'!$O$11,OR($L2433=$P$7,$M2433=$P$7)),"x","")</f>
        <v/>
      </c>
      <c r="Q2433" s="39" t="str">
        <f>IF(AND($L2433=$P$7,$B2433&lt;'111'!$N$11),"x","")</f>
        <v/>
      </c>
      <c r="R2433" s="39" t="str">
        <f>IF(AND($M2433=$P$7,$B2433&lt;'111'!$N$11),"x","")</f>
        <v/>
      </c>
      <c r="S2433" s="39" t="str">
        <f>IF(ISERROR(FIND('112'!$M$9,G2433,1)),"",IF((AND(FIND('112'!$M$9,G2433,1)&gt;=1,$B2433&gt;='112'!$N$8,$B2433&lt;='112'!$O$8,OR($L2433='112'!$I$6,$M2433='112'!$I$6))),"x",""))</f>
        <v/>
      </c>
      <c r="T2433" s="39" t="str">
        <f>IF(ISERROR(FIND('112'!$M$9,G2433,1)),"",IF((AND(LEFT(G2433,2)=LEFT('112'!$M$9,2),B2433&lt;'112'!$N$8,$L2433='112'!$I$6)),"x",""))</f>
        <v/>
      </c>
      <c r="U2433" s="39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39" t="str">
        <f>IF(OR(TH!L2433=TH!$W$7,M2433=TH!$W$7),"x","")</f>
        <v/>
      </c>
      <c r="X2433" s="39" t="str">
        <f>IF(AND(B2433&gt;='IN-NX'!$P$3,B2433&lt;='IN-NX'!$Q$3,'IN-NX'!$D$7=D2433,OR(LEFT(L2433,2)="15",AND(LEFT(M2433,2)&lt;&gt;"15",LEFT(M2433,2)&lt;&gt;"33"))),"x","")</f>
        <v/>
      </c>
      <c r="Y2433" s="39" t="str">
        <f>IF(AND(OR(LEFT(TH!L2433,2)="15",LEFT(TH!M2433,2)="15"),'152-CT'!$J$8=TH!F2433),"x","")</f>
        <v/>
      </c>
      <c r="Z2433" s="39" t="str">
        <f>IF(AND(OR(LEFT(TH!L2433,2)="15",LEFT(TH!M2433,2)="15"),TK!$E$7=TH!F2433),"x","")</f>
        <v/>
      </c>
      <c r="AA2433" s="39" t="str">
        <f>IF(AND(B2433&lt;=NKC!$N$8,B2433&gt;=NKC!$M$8),"x","")</f>
        <v/>
      </c>
      <c r="AB2433" s="821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110"/>
        <v/>
      </c>
      <c r="C2434" s="191"/>
      <c r="D2434" s="191"/>
      <c r="E2434" s="786"/>
      <c r="F2434" s="40"/>
      <c r="G2434" s="40"/>
      <c r="H2434" s="7"/>
      <c r="I2434" s="256"/>
      <c r="J2434" s="256"/>
      <c r="K2434" s="568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902" t="str">
        <f>IF(AND('341-CT'!$E$9=H2434,OR(LEFT(L2434,3)=$O$7,LEFT(M2434,3)=$O$7)),"x","")</f>
        <v/>
      </c>
      <c r="P2434" s="39" t="str">
        <f>IF(AND($B2434&gt;='111'!$N$11,$B2434&lt;='111'!$O$11,OR($L2434=$P$7,$M2434=$P$7)),"x","")</f>
        <v/>
      </c>
      <c r="Q2434" s="39" t="str">
        <f>IF(AND($L2434=$P$7,$B2434&lt;'111'!$N$11),"x","")</f>
        <v/>
      </c>
      <c r="R2434" s="39" t="str">
        <f>IF(AND($M2434=$P$7,$B2434&lt;'111'!$N$11),"x","")</f>
        <v/>
      </c>
      <c r="S2434" s="39" t="str">
        <f>IF(ISERROR(FIND('112'!$M$9,G2434,1)),"",IF((AND(FIND('112'!$M$9,G2434,1)&gt;=1,$B2434&gt;='112'!$N$8,$B2434&lt;='112'!$O$8,OR($L2434='112'!$I$6,$M2434='112'!$I$6))),"x",""))</f>
        <v/>
      </c>
      <c r="T2434" s="39" t="str">
        <f>IF(ISERROR(FIND('112'!$M$9,G2434,1)),"",IF((AND(LEFT(G2434,2)=LEFT('112'!$M$9,2),B2434&lt;'112'!$N$8,$L2434='112'!$I$6)),"x",""))</f>
        <v/>
      </c>
      <c r="U2434" s="39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39" t="str">
        <f>IF(OR(TH!L2434=TH!$W$7,M2434=TH!$W$7),"x","")</f>
        <v/>
      </c>
      <c r="X2434" s="39" t="str">
        <f>IF(AND(B2434&gt;='IN-NX'!$P$3,B2434&lt;='IN-NX'!$Q$3,'IN-NX'!$D$7=D2434,OR(LEFT(L2434,2)="15",AND(LEFT(M2434,2)&lt;&gt;"15",LEFT(M2434,2)&lt;&gt;"33"))),"x","")</f>
        <v/>
      </c>
      <c r="Y2434" s="39" t="str">
        <f>IF(AND(OR(LEFT(TH!L2434,2)="15",LEFT(TH!M2434,2)="15"),'152-CT'!$J$8=TH!F2434),"x","")</f>
        <v/>
      </c>
      <c r="Z2434" s="39" t="str">
        <f>IF(AND(OR(LEFT(TH!L2434,2)="15",LEFT(TH!M2434,2)="15"),TK!$E$7=TH!F2434),"x","")</f>
        <v/>
      </c>
      <c r="AA2434" s="39" t="str">
        <f>IF(AND(B2434&lt;=NKC!$N$8,B2434&gt;=NKC!$M$8),"x","")</f>
        <v/>
      </c>
      <c r="AB2434" s="821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110"/>
        <v/>
      </c>
      <c r="C2435" s="191"/>
      <c r="D2435" s="191"/>
      <c r="E2435" s="786"/>
      <c r="F2435" s="40"/>
      <c r="G2435" s="40"/>
      <c r="H2435" s="7"/>
      <c r="I2435" s="256"/>
      <c r="J2435" s="256"/>
      <c r="K2435" s="568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902" t="str">
        <f>IF(AND('341-CT'!$E$9=H2435,OR(LEFT(L2435,3)=$O$7,LEFT(M2435,3)=$O$7)),"x","")</f>
        <v/>
      </c>
      <c r="P2435" s="39" t="str">
        <f>IF(AND($B2435&gt;='111'!$N$11,$B2435&lt;='111'!$O$11,OR($L2435=$P$7,$M2435=$P$7)),"x","")</f>
        <v/>
      </c>
      <c r="Q2435" s="39" t="str">
        <f>IF(AND($L2435=$P$7,$B2435&lt;'111'!$N$11),"x","")</f>
        <v/>
      </c>
      <c r="R2435" s="39" t="str">
        <f>IF(AND($M2435=$P$7,$B2435&lt;'111'!$N$11),"x","")</f>
        <v/>
      </c>
      <c r="S2435" s="39" t="str">
        <f>IF(ISERROR(FIND('112'!$M$9,G2435,1)),"",IF((AND(FIND('112'!$M$9,G2435,1)&gt;=1,$B2435&gt;='112'!$N$8,$B2435&lt;='112'!$O$8,OR($L2435='112'!$I$6,$M2435='112'!$I$6))),"x",""))</f>
        <v/>
      </c>
      <c r="T2435" s="39" t="str">
        <f>IF(ISERROR(FIND('112'!$M$9,G2435,1)),"",IF((AND(LEFT(G2435,2)=LEFT('112'!$M$9,2),B2435&lt;'112'!$N$8,$L2435='112'!$I$6)),"x",""))</f>
        <v/>
      </c>
      <c r="U2435" s="39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39" t="str">
        <f>IF(OR(TH!L2435=TH!$W$7,M2435=TH!$W$7),"x","")</f>
        <v/>
      </c>
      <c r="X2435" s="39" t="str">
        <f>IF(AND(B2435&gt;='IN-NX'!$P$3,B2435&lt;='IN-NX'!$Q$3,'IN-NX'!$D$7=D2435,OR(LEFT(L2435,2)="15",AND(LEFT(M2435,2)&lt;&gt;"15",LEFT(M2435,2)&lt;&gt;"33"))),"x","")</f>
        <v/>
      </c>
      <c r="Y2435" s="39" t="str">
        <f>IF(AND(OR(LEFT(TH!L2435,2)="15",LEFT(TH!M2435,2)="15"),'152-CT'!$J$8=TH!F2435),"x","")</f>
        <v/>
      </c>
      <c r="Z2435" s="39" t="str">
        <f>IF(AND(OR(LEFT(TH!L2435,2)="15",LEFT(TH!M2435,2)="15"),TK!$E$7=TH!F2435),"x","")</f>
        <v/>
      </c>
      <c r="AA2435" s="39" t="str">
        <f>IF(AND(B2435&lt;=NKC!$N$8,B2435&gt;=NKC!$M$8),"x","")</f>
        <v/>
      </c>
      <c r="AB2435" s="821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110"/>
        <v/>
      </c>
      <c r="C2436" s="191"/>
      <c r="D2436" s="191"/>
      <c r="E2436" s="786"/>
      <c r="F2436" s="40"/>
      <c r="G2436" s="40"/>
      <c r="H2436" s="7"/>
      <c r="I2436" s="256"/>
      <c r="J2436" s="256"/>
      <c r="K2436" s="56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902" t="str">
        <f>IF(AND('341-CT'!$E$9=H2436,OR(LEFT(L2436,3)=$O$7,LEFT(M2436,3)=$O$7)),"x","")</f>
        <v/>
      </c>
      <c r="P2436" s="39" t="str">
        <f>IF(AND($B2436&gt;='111'!$N$11,$B2436&lt;='111'!$O$11,OR($L2436=$P$7,$M2436=$P$7)),"x","")</f>
        <v/>
      </c>
      <c r="Q2436" s="39" t="str">
        <f>IF(AND($L2436=$P$7,$B2436&lt;'111'!$N$11),"x","")</f>
        <v/>
      </c>
      <c r="R2436" s="39" t="str">
        <f>IF(AND($M2436=$P$7,$B2436&lt;'111'!$N$11),"x","")</f>
        <v/>
      </c>
      <c r="S2436" s="39" t="str">
        <f>IF(ISERROR(FIND('112'!$M$9,G2436,1)),"",IF((AND(FIND('112'!$M$9,G2436,1)&gt;=1,$B2436&gt;='112'!$N$8,$B2436&lt;='112'!$O$8,OR($L2436='112'!$I$6,$M2436='112'!$I$6))),"x",""))</f>
        <v/>
      </c>
      <c r="T2436" s="39" t="str">
        <f>IF(ISERROR(FIND('112'!$M$9,G2436,1)),"",IF((AND(LEFT(G2436,2)=LEFT('112'!$M$9,2),B2436&lt;'112'!$N$8,$L2436='112'!$I$6)),"x",""))</f>
        <v/>
      </c>
      <c r="U2436" s="39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39" t="str">
        <f>IF(OR(TH!L2436=TH!$W$7,M2436=TH!$W$7),"x","")</f>
        <v/>
      </c>
      <c r="X2436" s="39" t="str">
        <f>IF(AND(B2436&gt;='IN-NX'!$P$3,B2436&lt;='IN-NX'!$Q$3,'IN-NX'!$D$7=D2436,OR(LEFT(L2436,2)="15",AND(LEFT(M2436,2)&lt;&gt;"15",LEFT(M2436,2)&lt;&gt;"33"))),"x","")</f>
        <v/>
      </c>
      <c r="Y2436" s="39" t="str">
        <f>IF(AND(OR(LEFT(TH!L2436,2)="15",LEFT(TH!M2436,2)="15"),'152-CT'!$J$8=TH!F2436),"x","")</f>
        <v/>
      </c>
      <c r="Z2436" s="39" t="str">
        <f>IF(AND(OR(LEFT(TH!L2436,2)="15",LEFT(TH!M2436,2)="15"),TK!$E$7=TH!F2436),"x","")</f>
        <v/>
      </c>
      <c r="AA2436" s="39" t="str">
        <f>IF(AND(B2436&lt;=NKC!$N$8,B2436&gt;=NKC!$M$8),"x","")</f>
        <v/>
      </c>
      <c r="AB2436" s="821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110"/>
        <v/>
      </c>
      <c r="C2437" s="191"/>
      <c r="D2437" s="191"/>
      <c r="E2437" s="786"/>
      <c r="F2437" s="40"/>
      <c r="G2437" s="40"/>
      <c r="H2437" s="7"/>
      <c r="I2437" s="256"/>
      <c r="J2437" s="256"/>
      <c r="K2437" s="56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902" t="str">
        <f>IF(AND('341-CT'!$E$9=H2437,OR(LEFT(L2437,3)=$O$7,LEFT(M2437,3)=$O$7)),"x","")</f>
        <v/>
      </c>
      <c r="P2437" s="39" t="str">
        <f>IF(AND($B2437&gt;='111'!$N$11,$B2437&lt;='111'!$O$11,OR($L2437=$P$7,$M2437=$P$7)),"x","")</f>
        <v/>
      </c>
      <c r="Q2437" s="39" t="str">
        <f>IF(AND($L2437=$P$7,$B2437&lt;'111'!$N$11),"x","")</f>
        <v/>
      </c>
      <c r="R2437" s="39" t="str">
        <f>IF(AND($M2437=$P$7,$B2437&lt;'111'!$N$11),"x","")</f>
        <v/>
      </c>
      <c r="S2437" s="39" t="str">
        <f>IF(ISERROR(FIND('112'!$M$9,G2437,1)),"",IF((AND(FIND('112'!$M$9,G2437,1)&gt;=1,$B2437&gt;='112'!$N$8,$B2437&lt;='112'!$O$8,OR($L2437='112'!$I$6,$M2437='112'!$I$6))),"x",""))</f>
        <v/>
      </c>
      <c r="T2437" s="39" t="str">
        <f>IF(ISERROR(FIND('112'!$M$9,G2437,1)),"",IF((AND(LEFT(G2437,2)=LEFT('112'!$M$9,2),B2437&lt;'112'!$N$8,$L2437='112'!$I$6)),"x",""))</f>
        <v/>
      </c>
      <c r="U2437" s="39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39" t="str">
        <f>IF(OR(TH!L2437=TH!$W$7,M2437=TH!$W$7),"x","")</f>
        <v/>
      </c>
      <c r="X2437" s="39" t="str">
        <f>IF(AND(B2437&gt;='IN-NX'!$P$3,B2437&lt;='IN-NX'!$Q$3,'IN-NX'!$D$7=D2437,OR(LEFT(L2437,2)="15",AND(LEFT(M2437,2)&lt;&gt;"15",LEFT(M2437,2)&lt;&gt;"33"))),"x","")</f>
        <v/>
      </c>
      <c r="Y2437" s="39" t="str">
        <f>IF(AND(OR(LEFT(TH!L2437,2)="15",LEFT(TH!M2437,2)="15"),'152-CT'!$J$8=TH!F2437),"x","")</f>
        <v/>
      </c>
      <c r="Z2437" s="39" t="str">
        <f>IF(AND(OR(LEFT(TH!L2437,2)="15",LEFT(TH!M2437,2)="15"),TK!$E$7=TH!F2437),"x","")</f>
        <v/>
      </c>
      <c r="AA2437" s="39" t="str">
        <f>IF(AND(B2437&lt;=NKC!$N$8,B2437&gt;=NKC!$M$8),"x","")</f>
        <v/>
      </c>
      <c r="AB2437" s="821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110"/>
        <v/>
      </c>
      <c r="C2438" s="191"/>
      <c r="D2438" s="191"/>
      <c r="E2438" s="786"/>
      <c r="F2438" s="40"/>
      <c r="G2438" s="40"/>
      <c r="H2438" s="7"/>
      <c r="I2438" s="256"/>
      <c r="J2438" s="256"/>
      <c r="K2438" s="56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902" t="str">
        <f>IF(AND('341-CT'!$E$9=H2438,OR(LEFT(L2438,3)=$O$7,LEFT(M2438,3)=$O$7)),"x","")</f>
        <v/>
      </c>
      <c r="P2438" s="39" t="str">
        <f>IF(AND($B2438&gt;='111'!$N$11,$B2438&lt;='111'!$O$11,OR($L2438=$P$7,$M2438=$P$7)),"x","")</f>
        <v/>
      </c>
      <c r="Q2438" s="39" t="str">
        <f>IF(AND($L2438=$P$7,$B2438&lt;'111'!$N$11),"x","")</f>
        <v/>
      </c>
      <c r="R2438" s="39" t="str">
        <f>IF(AND($M2438=$P$7,$B2438&lt;'111'!$N$11),"x","")</f>
        <v/>
      </c>
      <c r="S2438" s="39" t="str">
        <f>IF(ISERROR(FIND('112'!$M$9,G2438,1)),"",IF((AND(FIND('112'!$M$9,G2438,1)&gt;=1,$B2438&gt;='112'!$N$8,$B2438&lt;='112'!$O$8,OR($L2438='112'!$I$6,$M2438='112'!$I$6))),"x",""))</f>
        <v/>
      </c>
      <c r="T2438" s="39" t="str">
        <f>IF(ISERROR(FIND('112'!$M$9,G2438,1)),"",IF((AND(LEFT(G2438,2)=LEFT('112'!$M$9,2),B2438&lt;'112'!$N$8,$L2438='112'!$I$6)),"x",""))</f>
        <v/>
      </c>
      <c r="U2438" s="39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39" t="str">
        <f>IF(OR(TH!L2438=TH!$W$7,M2438=TH!$W$7),"x","")</f>
        <v/>
      </c>
      <c r="X2438" s="39" t="str">
        <f>IF(AND(B2438&gt;='IN-NX'!$P$3,B2438&lt;='IN-NX'!$Q$3,'IN-NX'!$D$7=D2438,OR(LEFT(L2438,2)="15",AND(LEFT(M2438,2)&lt;&gt;"15",LEFT(M2438,2)&lt;&gt;"33"))),"x","")</f>
        <v/>
      </c>
      <c r="Y2438" s="39" t="str">
        <f>IF(AND(OR(LEFT(TH!L2438,2)="15",LEFT(TH!M2438,2)="15"),'152-CT'!$J$8=TH!F2438),"x","")</f>
        <v/>
      </c>
      <c r="Z2438" s="39" t="str">
        <f>IF(AND(OR(LEFT(TH!L2438,2)="15",LEFT(TH!M2438,2)="15"),TK!$E$7=TH!F2438),"x","")</f>
        <v/>
      </c>
      <c r="AA2438" s="39" t="str">
        <f>IF(AND(B2438&lt;=NKC!$N$8,B2438&gt;=NKC!$M$8),"x","")</f>
        <v/>
      </c>
      <c r="AB2438" s="821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110"/>
        <v/>
      </c>
      <c r="C2439" s="191"/>
      <c r="D2439" s="191"/>
      <c r="E2439" s="786"/>
      <c r="F2439" s="40"/>
      <c r="G2439" s="40"/>
      <c r="H2439" s="7"/>
      <c r="I2439" s="256"/>
      <c r="J2439" s="256"/>
      <c r="K2439" s="56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902" t="str">
        <f>IF(AND('341-CT'!$E$9=H2439,OR(LEFT(L2439,3)=$O$7,LEFT(M2439,3)=$O$7)),"x","")</f>
        <v/>
      </c>
      <c r="P2439" s="39" t="str">
        <f>IF(AND($B2439&gt;='111'!$N$11,$B2439&lt;='111'!$O$11,OR($L2439=$P$7,$M2439=$P$7)),"x","")</f>
        <v/>
      </c>
      <c r="Q2439" s="39" t="str">
        <f>IF(AND($L2439=$P$7,$B2439&lt;'111'!$N$11),"x","")</f>
        <v/>
      </c>
      <c r="R2439" s="39" t="str">
        <f>IF(AND($M2439=$P$7,$B2439&lt;'111'!$N$11),"x","")</f>
        <v/>
      </c>
      <c r="S2439" s="39" t="str">
        <f>IF(ISERROR(FIND('112'!$M$9,G2439,1)),"",IF((AND(FIND('112'!$M$9,G2439,1)&gt;=1,$B2439&gt;='112'!$N$8,$B2439&lt;='112'!$O$8,OR($L2439='112'!$I$6,$M2439='112'!$I$6))),"x",""))</f>
        <v/>
      </c>
      <c r="T2439" s="39" t="str">
        <f>IF(ISERROR(FIND('112'!$M$9,G2439,1)),"",IF((AND(LEFT(G2439,2)=LEFT('112'!$M$9,2),B2439&lt;'112'!$N$8,$L2439='112'!$I$6)),"x",""))</f>
        <v/>
      </c>
      <c r="U2439" s="39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39" t="str">
        <f>IF(OR(TH!L2439=TH!$W$7,M2439=TH!$W$7),"x","")</f>
        <v/>
      </c>
      <c r="X2439" s="39" t="str">
        <f>IF(AND(B2439&gt;='IN-NX'!$P$3,B2439&lt;='IN-NX'!$Q$3,'IN-NX'!$D$7=D2439,OR(LEFT(L2439,2)="15",AND(LEFT(M2439,2)&lt;&gt;"15",LEFT(M2439,2)&lt;&gt;"33"))),"x","")</f>
        <v/>
      </c>
      <c r="Y2439" s="39" t="str">
        <f>IF(AND(OR(LEFT(TH!L2439,2)="15",LEFT(TH!M2439,2)="15"),'152-CT'!$J$8=TH!F2439),"x","")</f>
        <v/>
      </c>
      <c r="Z2439" s="39" t="str">
        <f>IF(AND(OR(LEFT(TH!L2439,2)="15",LEFT(TH!M2439,2)="15"),TK!$E$7=TH!F2439),"x","")</f>
        <v/>
      </c>
      <c r="AA2439" s="39" t="str">
        <f>IF(AND(B2439&lt;=NKC!$N$8,B2439&gt;=NKC!$M$8),"x","")</f>
        <v/>
      </c>
      <c r="AB2439" s="821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110"/>
        <v/>
      </c>
      <c r="C2440" s="191"/>
      <c r="D2440" s="191"/>
      <c r="E2440" s="786"/>
      <c r="F2440" s="40"/>
      <c r="G2440" s="40"/>
      <c r="H2440" s="7"/>
      <c r="I2440" s="256"/>
      <c r="J2440" s="256"/>
      <c r="K2440" s="56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902" t="str">
        <f>IF(AND('341-CT'!$E$9=H2440,OR(LEFT(L2440,3)=$O$7,LEFT(M2440,3)=$O$7)),"x","")</f>
        <v/>
      </c>
      <c r="P2440" s="39" t="str">
        <f>IF(AND($B2440&gt;='111'!$N$11,$B2440&lt;='111'!$O$11,OR($L2440=$P$7,$M2440=$P$7)),"x","")</f>
        <v/>
      </c>
      <c r="Q2440" s="39" t="str">
        <f>IF(AND($L2440=$P$7,$B2440&lt;'111'!$N$11),"x","")</f>
        <v/>
      </c>
      <c r="R2440" s="39" t="str">
        <f>IF(AND($M2440=$P$7,$B2440&lt;'111'!$N$11),"x","")</f>
        <v/>
      </c>
      <c r="S2440" s="39" t="str">
        <f>IF(ISERROR(FIND('112'!$M$9,G2440,1)),"",IF((AND(FIND('112'!$M$9,G2440,1)&gt;=1,$B2440&gt;='112'!$N$8,$B2440&lt;='112'!$O$8,OR($L2440='112'!$I$6,$M2440='112'!$I$6))),"x",""))</f>
        <v/>
      </c>
      <c r="T2440" s="39" t="str">
        <f>IF(ISERROR(FIND('112'!$M$9,G2440,1)),"",IF((AND(LEFT(G2440,2)=LEFT('112'!$M$9,2),B2440&lt;'112'!$N$8,$L2440='112'!$I$6)),"x",""))</f>
        <v/>
      </c>
      <c r="U2440" s="39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39" t="str">
        <f>IF(OR(TH!L2440=TH!$W$7,M2440=TH!$W$7),"x","")</f>
        <v/>
      </c>
      <c r="X2440" s="39" t="str">
        <f>IF(AND(B2440&gt;='IN-NX'!$P$3,B2440&lt;='IN-NX'!$Q$3,'IN-NX'!$D$7=D2440,OR(LEFT(L2440,2)="15",AND(LEFT(M2440,2)&lt;&gt;"15",LEFT(M2440,2)&lt;&gt;"33"))),"x","")</f>
        <v/>
      </c>
      <c r="Y2440" s="39" t="str">
        <f>IF(AND(OR(LEFT(TH!L2440,2)="15",LEFT(TH!M2440,2)="15"),'152-CT'!$J$8=TH!F2440),"x","")</f>
        <v/>
      </c>
      <c r="Z2440" s="39" t="str">
        <f>IF(AND(OR(LEFT(TH!L2440,2)="15",LEFT(TH!M2440,2)="15"),TK!$E$7=TH!F2440),"x","")</f>
        <v/>
      </c>
      <c r="AA2440" s="39" t="str">
        <f>IF(AND(B2440&lt;=NKC!$N$8,B2440&gt;=NKC!$M$8),"x","")</f>
        <v/>
      </c>
      <c r="AB2440" s="821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110"/>
        <v/>
      </c>
      <c r="C2441" s="191"/>
      <c r="D2441" s="191"/>
      <c r="E2441" s="786"/>
      <c r="F2441" s="40"/>
      <c r="G2441" s="40"/>
      <c r="H2441" s="7"/>
      <c r="I2441" s="256"/>
      <c r="J2441" s="256"/>
      <c r="K2441" s="56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902" t="str">
        <f>IF(AND('341-CT'!$E$9=H2441,OR(LEFT(L2441,3)=$O$7,LEFT(M2441,3)=$O$7)),"x","")</f>
        <v/>
      </c>
      <c r="P2441" s="39" t="str">
        <f>IF(AND($B2441&gt;='111'!$N$11,$B2441&lt;='111'!$O$11,OR($L2441=$P$7,$M2441=$P$7)),"x","")</f>
        <v/>
      </c>
      <c r="Q2441" s="39" t="str">
        <f>IF(AND($L2441=$P$7,$B2441&lt;'111'!$N$11),"x","")</f>
        <v/>
      </c>
      <c r="R2441" s="39" t="str">
        <f>IF(AND($M2441=$P$7,$B2441&lt;'111'!$N$11),"x","")</f>
        <v/>
      </c>
      <c r="S2441" s="39" t="str">
        <f>IF(ISERROR(FIND('112'!$M$9,G2441,1)),"",IF((AND(FIND('112'!$M$9,G2441,1)&gt;=1,$B2441&gt;='112'!$N$8,$B2441&lt;='112'!$O$8,OR($L2441='112'!$I$6,$M2441='112'!$I$6))),"x",""))</f>
        <v/>
      </c>
      <c r="T2441" s="39" t="str">
        <f>IF(ISERROR(FIND('112'!$M$9,G2441,1)),"",IF((AND(LEFT(G2441,2)=LEFT('112'!$M$9,2),B2441&lt;'112'!$N$8,$L2441='112'!$I$6)),"x",""))</f>
        <v/>
      </c>
      <c r="U2441" s="39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39" t="str">
        <f>IF(OR(TH!L2441=TH!$W$7,M2441=TH!$W$7),"x","")</f>
        <v/>
      </c>
      <c r="X2441" s="39" t="str">
        <f>IF(AND(B2441&gt;='IN-NX'!$P$3,B2441&lt;='IN-NX'!$Q$3,'IN-NX'!$D$7=D2441,OR(LEFT(L2441,2)="15",AND(LEFT(M2441,2)&lt;&gt;"15",LEFT(M2441,2)&lt;&gt;"33"))),"x","")</f>
        <v/>
      </c>
      <c r="Y2441" s="39" t="str">
        <f>IF(AND(OR(LEFT(TH!L2441,2)="15",LEFT(TH!M2441,2)="15"),'152-CT'!$J$8=TH!F2441),"x","")</f>
        <v/>
      </c>
      <c r="Z2441" s="39" t="str">
        <f>IF(AND(OR(LEFT(TH!L2441,2)="15",LEFT(TH!M2441,2)="15"),TK!$E$7=TH!F2441),"x","")</f>
        <v/>
      </c>
      <c r="AA2441" s="39" t="str">
        <f>IF(AND(B2441&lt;=NKC!$N$8,B2441&gt;=NKC!$M$8),"x","")</f>
        <v/>
      </c>
      <c r="AB2441" s="821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110"/>
        <v/>
      </c>
      <c r="C2442" s="191"/>
      <c r="D2442" s="191"/>
      <c r="E2442" s="786"/>
      <c r="F2442" s="40"/>
      <c r="G2442" s="40"/>
      <c r="H2442" s="7"/>
      <c r="I2442" s="256"/>
      <c r="J2442" s="256"/>
      <c r="K2442" s="56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902" t="str">
        <f>IF(AND('341-CT'!$E$9=H2442,OR(LEFT(L2442,3)=$O$7,LEFT(M2442,3)=$O$7)),"x","")</f>
        <v/>
      </c>
      <c r="P2442" s="39" t="str">
        <f>IF(AND($B2442&gt;='111'!$N$11,$B2442&lt;='111'!$O$11,OR($L2442=$P$7,$M2442=$P$7)),"x","")</f>
        <v/>
      </c>
      <c r="Q2442" s="39" t="str">
        <f>IF(AND($L2442=$P$7,$B2442&lt;'111'!$N$11),"x","")</f>
        <v/>
      </c>
      <c r="R2442" s="39" t="str">
        <f>IF(AND($M2442=$P$7,$B2442&lt;'111'!$N$11),"x","")</f>
        <v/>
      </c>
      <c r="S2442" s="39" t="str">
        <f>IF(ISERROR(FIND('112'!$M$9,G2442,1)),"",IF((AND(FIND('112'!$M$9,G2442,1)&gt;=1,$B2442&gt;='112'!$N$8,$B2442&lt;='112'!$O$8,OR($L2442='112'!$I$6,$M2442='112'!$I$6))),"x",""))</f>
        <v/>
      </c>
      <c r="T2442" s="39" t="str">
        <f>IF(ISERROR(FIND('112'!$M$9,G2442,1)),"",IF((AND(LEFT(G2442,2)=LEFT('112'!$M$9,2),B2442&lt;'112'!$N$8,$L2442='112'!$I$6)),"x",""))</f>
        <v/>
      </c>
      <c r="U2442" s="39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39" t="str">
        <f>IF(OR(TH!L2442=TH!$W$7,M2442=TH!$W$7),"x","")</f>
        <v/>
      </c>
      <c r="X2442" s="39" t="str">
        <f>IF(AND(B2442&gt;='IN-NX'!$P$3,B2442&lt;='IN-NX'!$Q$3,'IN-NX'!$D$7=D2442,OR(LEFT(L2442,2)="15",AND(LEFT(M2442,2)&lt;&gt;"15",LEFT(M2442,2)&lt;&gt;"33"))),"x","")</f>
        <v/>
      </c>
      <c r="Y2442" s="39" t="str">
        <f>IF(AND(OR(LEFT(TH!L2442,2)="15",LEFT(TH!M2442,2)="15"),'152-CT'!$J$8=TH!F2442),"x","")</f>
        <v/>
      </c>
      <c r="Z2442" s="39" t="str">
        <f>IF(AND(OR(LEFT(TH!L2442,2)="15",LEFT(TH!M2442,2)="15"),TK!$E$7=TH!F2442),"x","")</f>
        <v/>
      </c>
      <c r="AA2442" s="39" t="str">
        <f>IF(AND(B2442&lt;=NKC!$N$8,B2442&gt;=NKC!$M$8),"x","")</f>
        <v/>
      </c>
      <c r="AB2442" s="821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110"/>
        <v/>
      </c>
      <c r="C2443" s="191"/>
      <c r="D2443" s="191"/>
      <c r="E2443" s="786"/>
      <c r="F2443" s="40"/>
      <c r="G2443" s="40"/>
      <c r="H2443" s="7"/>
      <c r="I2443" s="256"/>
      <c r="J2443" s="256"/>
      <c r="K2443" s="56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902" t="str">
        <f>IF(AND('341-CT'!$E$9=H2443,OR(LEFT(L2443,3)=$O$7,LEFT(M2443,3)=$O$7)),"x","")</f>
        <v/>
      </c>
      <c r="P2443" s="39" t="str">
        <f>IF(AND($B2443&gt;='111'!$N$11,$B2443&lt;='111'!$O$11,OR($L2443=$P$7,$M2443=$P$7)),"x","")</f>
        <v/>
      </c>
      <c r="Q2443" s="39" t="str">
        <f>IF(AND($L2443=$P$7,$B2443&lt;'111'!$N$11),"x","")</f>
        <v/>
      </c>
      <c r="R2443" s="39" t="str">
        <f>IF(AND($M2443=$P$7,$B2443&lt;'111'!$N$11),"x","")</f>
        <v/>
      </c>
      <c r="S2443" s="39" t="str">
        <f>IF(ISERROR(FIND('112'!$M$9,G2443,1)),"",IF((AND(FIND('112'!$M$9,G2443,1)&gt;=1,$B2443&gt;='112'!$N$8,$B2443&lt;='112'!$O$8,OR($L2443='112'!$I$6,$M2443='112'!$I$6))),"x",""))</f>
        <v/>
      </c>
      <c r="T2443" s="39" t="str">
        <f>IF(ISERROR(FIND('112'!$M$9,G2443,1)),"",IF((AND(LEFT(G2443,2)=LEFT('112'!$M$9,2),B2443&lt;'112'!$N$8,$L2443='112'!$I$6)),"x",""))</f>
        <v/>
      </c>
      <c r="U2443" s="39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39" t="str">
        <f>IF(OR(TH!L2443=TH!$W$7,M2443=TH!$W$7),"x","")</f>
        <v/>
      </c>
      <c r="X2443" s="39" t="str">
        <f>IF(AND(B2443&gt;='IN-NX'!$P$3,B2443&lt;='IN-NX'!$Q$3,'IN-NX'!$D$7=D2443,OR(LEFT(L2443,2)="15",AND(LEFT(M2443,2)&lt;&gt;"15",LEFT(M2443,2)&lt;&gt;"33"))),"x","")</f>
        <v/>
      </c>
      <c r="Y2443" s="39" t="str">
        <f>IF(AND(OR(LEFT(TH!L2443,2)="15",LEFT(TH!M2443,2)="15"),'152-CT'!$J$8=TH!F2443),"x","")</f>
        <v/>
      </c>
      <c r="Z2443" s="39" t="str">
        <f>IF(AND(OR(LEFT(TH!L2443,2)="15",LEFT(TH!M2443,2)="15"),TK!$E$7=TH!F2443),"x","")</f>
        <v/>
      </c>
      <c r="AA2443" s="39" t="str">
        <f>IF(AND(B2443&lt;=NKC!$N$8,B2443&gt;=NKC!$M$8),"x","")</f>
        <v/>
      </c>
      <c r="AB2443" s="821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110"/>
        <v/>
      </c>
      <c r="C2444" s="191"/>
      <c r="D2444" s="191"/>
      <c r="E2444" s="786"/>
      <c r="F2444" s="40"/>
      <c r="G2444" s="40"/>
      <c r="H2444" s="7"/>
      <c r="I2444" s="256"/>
      <c r="J2444" s="256"/>
      <c r="K2444" s="56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902" t="str">
        <f>IF(AND('341-CT'!$E$9=H2444,OR(LEFT(L2444,3)=$O$7,LEFT(M2444,3)=$O$7)),"x","")</f>
        <v/>
      </c>
      <c r="P2444" s="39" t="str">
        <f>IF(AND($B2444&gt;='111'!$N$11,$B2444&lt;='111'!$O$11,OR($L2444=$P$7,$M2444=$P$7)),"x","")</f>
        <v/>
      </c>
      <c r="Q2444" s="39" t="str">
        <f>IF(AND($L2444=$P$7,$B2444&lt;'111'!$N$11),"x","")</f>
        <v/>
      </c>
      <c r="R2444" s="39" t="str">
        <f>IF(AND($M2444=$P$7,$B2444&lt;'111'!$N$11),"x","")</f>
        <v/>
      </c>
      <c r="S2444" s="39" t="str">
        <f>IF(ISERROR(FIND('112'!$M$9,G2444,1)),"",IF((AND(FIND('112'!$M$9,G2444,1)&gt;=1,$B2444&gt;='112'!$N$8,$B2444&lt;='112'!$O$8,OR($L2444='112'!$I$6,$M2444='112'!$I$6))),"x",""))</f>
        <v/>
      </c>
      <c r="T2444" s="39" t="str">
        <f>IF(ISERROR(FIND('112'!$M$9,G2444,1)),"",IF((AND(LEFT(G2444,2)=LEFT('112'!$M$9,2),B2444&lt;'112'!$N$8,$L2444='112'!$I$6)),"x",""))</f>
        <v/>
      </c>
      <c r="U2444" s="39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39" t="str">
        <f>IF(OR(TH!L2444=TH!$W$7,M2444=TH!$W$7),"x","")</f>
        <v/>
      </c>
      <c r="X2444" s="39" t="str">
        <f>IF(AND(B2444&gt;='IN-NX'!$P$3,B2444&lt;='IN-NX'!$Q$3,'IN-NX'!$D$7=D2444,OR(LEFT(L2444,2)="15",AND(LEFT(M2444,2)&lt;&gt;"15",LEFT(M2444,2)&lt;&gt;"33"))),"x","")</f>
        <v/>
      </c>
      <c r="Y2444" s="39" t="str">
        <f>IF(AND(OR(LEFT(TH!L2444,2)="15",LEFT(TH!M2444,2)="15"),'152-CT'!$J$8=TH!F2444),"x","")</f>
        <v/>
      </c>
      <c r="Z2444" s="39" t="str">
        <f>IF(AND(OR(LEFT(TH!L2444,2)="15",LEFT(TH!M2444,2)="15"),TK!$E$7=TH!F2444),"x","")</f>
        <v/>
      </c>
      <c r="AA2444" s="39" t="str">
        <f>IF(AND(B2444&lt;=NKC!$N$8,B2444&gt;=NKC!$M$8),"x","")</f>
        <v/>
      </c>
      <c r="AB2444" s="821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110"/>
        <v/>
      </c>
      <c r="C2445" s="191"/>
      <c r="D2445" s="191"/>
      <c r="E2445" s="786"/>
      <c r="F2445" s="40"/>
      <c r="G2445" s="40"/>
      <c r="H2445" s="7"/>
      <c r="I2445" s="256"/>
      <c r="J2445" s="256"/>
      <c r="K2445" s="56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902" t="str">
        <f>IF(AND('341-CT'!$E$9=H2445,OR(LEFT(L2445,3)=$O$7,LEFT(M2445,3)=$O$7)),"x","")</f>
        <v/>
      </c>
      <c r="P2445" s="39" t="str">
        <f>IF(AND($B2445&gt;='111'!$N$11,$B2445&lt;='111'!$O$11,OR($L2445=$P$7,$M2445=$P$7)),"x","")</f>
        <v/>
      </c>
      <c r="Q2445" s="39" t="str">
        <f>IF(AND($L2445=$P$7,$B2445&lt;'111'!$N$11),"x","")</f>
        <v/>
      </c>
      <c r="R2445" s="39" t="str">
        <f>IF(AND($M2445=$P$7,$B2445&lt;'111'!$N$11),"x","")</f>
        <v/>
      </c>
      <c r="S2445" s="39" t="str">
        <f>IF(ISERROR(FIND('112'!$M$9,G2445,1)),"",IF((AND(FIND('112'!$M$9,G2445,1)&gt;=1,$B2445&gt;='112'!$N$8,$B2445&lt;='112'!$O$8,OR($L2445='112'!$I$6,$M2445='112'!$I$6))),"x",""))</f>
        <v/>
      </c>
      <c r="T2445" s="39" t="str">
        <f>IF(ISERROR(FIND('112'!$M$9,G2445,1)),"",IF((AND(LEFT(G2445,2)=LEFT('112'!$M$9,2),B2445&lt;'112'!$N$8,$L2445='112'!$I$6)),"x",""))</f>
        <v/>
      </c>
      <c r="U2445" s="39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39" t="str">
        <f>IF(OR(TH!L2445=TH!$W$7,M2445=TH!$W$7),"x","")</f>
        <v/>
      </c>
      <c r="X2445" s="39" t="str">
        <f>IF(AND(B2445&gt;='IN-NX'!$P$3,B2445&lt;='IN-NX'!$Q$3,'IN-NX'!$D$7=D2445,OR(LEFT(L2445,2)="15",AND(LEFT(M2445,2)&lt;&gt;"15",LEFT(M2445,2)&lt;&gt;"33"))),"x","")</f>
        <v/>
      </c>
      <c r="Y2445" s="39" t="str">
        <f>IF(AND(OR(LEFT(TH!L2445,2)="15",LEFT(TH!M2445,2)="15"),'152-CT'!$J$8=TH!F2445),"x","")</f>
        <v/>
      </c>
      <c r="Z2445" s="39" t="str">
        <f>IF(AND(OR(LEFT(TH!L2445,2)="15",LEFT(TH!M2445,2)="15"),TK!$E$7=TH!F2445),"x","")</f>
        <v/>
      </c>
      <c r="AA2445" s="39" t="str">
        <f>IF(AND(B2445&lt;=NKC!$N$8,B2445&gt;=NKC!$M$8),"x","")</f>
        <v/>
      </c>
      <c r="AB2445" s="821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110"/>
        <v/>
      </c>
      <c r="C2446" s="191"/>
      <c r="D2446" s="191"/>
      <c r="E2446" s="786"/>
      <c r="F2446" s="40"/>
      <c r="G2446" s="40"/>
      <c r="H2446" s="7"/>
      <c r="I2446" s="256"/>
      <c r="J2446" s="256"/>
      <c r="K2446" s="568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902" t="str">
        <f>IF(AND('341-CT'!$E$9=H2446,OR(LEFT(L2446,3)=$O$7,LEFT(M2446,3)=$O$7)),"x","")</f>
        <v/>
      </c>
      <c r="P2446" s="39" t="str">
        <f>IF(AND($B2446&gt;='111'!$N$11,$B2446&lt;='111'!$O$11,OR($L2446=$P$7,$M2446=$P$7)),"x","")</f>
        <v/>
      </c>
      <c r="Q2446" s="39" t="str">
        <f>IF(AND($L2446=$P$7,$B2446&lt;'111'!$N$11),"x","")</f>
        <v/>
      </c>
      <c r="R2446" s="39" t="str">
        <f>IF(AND($M2446=$P$7,$B2446&lt;'111'!$N$11),"x","")</f>
        <v/>
      </c>
      <c r="S2446" s="39" t="str">
        <f>IF(ISERROR(FIND('112'!$M$9,G2446,1)),"",IF((AND(FIND('112'!$M$9,G2446,1)&gt;=1,$B2446&gt;='112'!$N$8,$B2446&lt;='112'!$O$8,OR($L2446='112'!$I$6,$M2446='112'!$I$6))),"x",""))</f>
        <v/>
      </c>
      <c r="T2446" s="39" t="str">
        <f>IF(ISERROR(FIND('112'!$M$9,G2446,1)),"",IF((AND(LEFT(G2446,2)=LEFT('112'!$M$9,2),B2446&lt;'112'!$N$8,$L2446='112'!$I$6)),"x",""))</f>
        <v/>
      </c>
      <c r="U2446" s="39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39" t="str">
        <f>IF(OR(TH!L2446=TH!$W$7,M2446=TH!$W$7),"x","")</f>
        <v/>
      </c>
      <c r="X2446" s="39" t="str">
        <f>IF(AND(B2446&gt;='IN-NX'!$P$3,B2446&lt;='IN-NX'!$Q$3,'IN-NX'!$D$7=D2446,OR(LEFT(L2446,2)="15",AND(LEFT(M2446,2)&lt;&gt;"15",LEFT(M2446,2)&lt;&gt;"33"))),"x","")</f>
        <v/>
      </c>
      <c r="Y2446" s="39" t="str">
        <f>IF(AND(OR(LEFT(TH!L2446,2)="15",LEFT(TH!M2446,2)="15"),'152-CT'!$J$8=TH!F2446),"x","")</f>
        <v/>
      </c>
      <c r="Z2446" s="39" t="str">
        <f>IF(AND(OR(LEFT(TH!L2446,2)="15",LEFT(TH!M2446,2)="15"),TK!$E$7=TH!F2446),"x","")</f>
        <v/>
      </c>
      <c r="AA2446" s="39" t="str">
        <f>IF(AND(B2446&lt;=NKC!$N$8,B2446&gt;=NKC!$M$8),"x","")</f>
        <v/>
      </c>
      <c r="AB2446" s="821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110"/>
        <v/>
      </c>
      <c r="C2447" s="191"/>
      <c r="D2447" s="191"/>
      <c r="E2447" s="786"/>
      <c r="F2447" s="189"/>
      <c r="G2447" s="40"/>
      <c r="H2447" s="7"/>
      <c r="I2447" s="256"/>
      <c r="J2447" s="256"/>
      <c r="K2447" s="56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902" t="str">
        <f>IF(AND('341-CT'!$E$9=H2447,OR(LEFT(L2447,3)=$O$7,LEFT(M2447,3)=$O$7)),"x","")</f>
        <v/>
      </c>
      <c r="P2447" s="39" t="str">
        <f>IF(AND($B2447&gt;='111'!$N$11,$B2447&lt;='111'!$O$11,OR($L2447=$P$7,$M2447=$P$7)),"x","")</f>
        <v/>
      </c>
      <c r="Q2447" s="39" t="str">
        <f>IF(AND($L2447=$P$7,$B2447&lt;'111'!$N$11),"x","")</f>
        <v/>
      </c>
      <c r="R2447" s="39" t="str">
        <f>IF(AND($M2447=$P$7,$B2447&lt;'111'!$N$11),"x","")</f>
        <v/>
      </c>
      <c r="S2447" s="39" t="str">
        <f>IF(ISERROR(FIND('112'!$M$9,G2447,1)),"",IF((AND(FIND('112'!$M$9,G2447,1)&gt;=1,$B2447&gt;='112'!$N$8,$B2447&lt;='112'!$O$8,OR($L2447='112'!$I$6,$M2447='112'!$I$6))),"x",""))</f>
        <v/>
      </c>
      <c r="T2447" s="39" t="str">
        <f>IF(ISERROR(FIND('112'!$M$9,G2447,1)),"",IF((AND(LEFT(G2447,2)=LEFT('112'!$M$9,2),B2447&lt;'112'!$N$8,$L2447='112'!$I$6)),"x",""))</f>
        <v/>
      </c>
      <c r="U2447" s="39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39" t="str">
        <f>IF(OR(TH!L2447=TH!$W$7,M2447=TH!$W$7),"x","")</f>
        <v/>
      </c>
      <c r="X2447" s="39" t="str">
        <f>IF(AND(B2447&gt;='IN-NX'!$P$3,B2447&lt;='IN-NX'!$Q$3,'IN-NX'!$D$7=D2447,OR(LEFT(L2447,2)="15",AND(LEFT(M2447,2)&lt;&gt;"15",LEFT(M2447,2)&lt;&gt;"33"))),"x","")</f>
        <v/>
      </c>
      <c r="Y2447" s="39" t="str">
        <f>IF(AND(OR(LEFT(TH!L2447,2)="15",LEFT(TH!M2447,2)="15"),'152-CT'!$J$8=TH!F2447),"x","")</f>
        <v/>
      </c>
      <c r="Z2447" s="39" t="str">
        <f>IF(AND(OR(LEFT(TH!L2447,2)="15",LEFT(TH!M2447,2)="15"),TK!$E$7=TH!F2447),"x","")</f>
        <v/>
      </c>
      <c r="AA2447" s="39" t="str">
        <f>IF(AND(B2447&lt;=NKC!$N$8,B2447&gt;=NKC!$M$8),"x","")</f>
        <v/>
      </c>
      <c r="AB2447" s="821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110"/>
        <v/>
      </c>
      <c r="C2448" s="191"/>
      <c r="D2448" s="191"/>
      <c r="E2448" s="786"/>
      <c r="F2448" s="40"/>
      <c r="G2448" s="40"/>
      <c r="H2448" s="7"/>
      <c r="I2448" s="256"/>
      <c r="J2448" s="256"/>
      <c r="K2448" s="56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902" t="str">
        <f>IF(AND('341-CT'!$E$9=H2448,OR(LEFT(L2448,3)=$O$7,LEFT(M2448,3)=$O$7)),"x","")</f>
        <v/>
      </c>
      <c r="P2448" s="39" t="str">
        <f>IF(AND($B2448&gt;='111'!$N$11,$B2448&lt;='111'!$O$11,OR($L2448=$P$7,$M2448=$P$7)),"x","")</f>
        <v/>
      </c>
      <c r="Q2448" s="39" t="str">
        <f>IF(AND($L2448=$P$7,$B2448&lt;'111'!$N$11),"x","")</f>
        <v/>
      </c>
      <c r="R2448" s="39" t="str">
        <f>IF(AND($M2448=$P$7,$B2448&lt;'111'!$N$11),"x","")</f>
        <v/>
      </c>
      <c r="S2448" s="39" t="str">
        <f>IF(ISERROR(FIND('112'!$M$9,G2448,1)),"",IF((AND(FIND('112'!$M$9,G2448,1)&gt;=1,$B2448&gt;='112'!$N$8,$B2448&lt;='112'!$O$8,OR($L2448='112'!$I$6,$M2448='112'!$I$6))),"x",""))</f>
        <v/>
      </c>
      <c r="T2448" s="39" t="str">
        <f>IF(ISERROR(FIND('112'!$M$9,G2448,1)),"",IF((AND(LEFT(G2448,2)=LEFT('112'!$M$9,2),B2448&lt;'112'!$N$8,$L2448='112'!$I$6)),"x",""))</f>
        <v/>
      </c>
      <c r="U2448" s="39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39" t="str">
        <f>IF(OR(TH!L2448=TH!$W$7,M2448=TH!$W$7),"x","")</f>
        <v/>
      </c>
      <c r="X2448" s="39" t="str">
        <f>IF(AND(B2448&gt;='IN-NX'!$P$3,B2448&lt;='IN-NX'!$Q$3,'IN-NX'!$D$7=D2448,OR(LEFT(L2448,2)="15",AND(LEFT(M2448,2)&lt;&gt;"15",LEFT(M2448,2)&lt;&gt;"33"))),"x","")</f>
        <v/>
      </c>
      <c r="Y2448" s="39" t="str">
        <f>IF(AND(OR(LEFT(TH!L2448,2)="15",LEFT(TH!M2448,2)="15"),'152-CT'!$J$8=TH!F2448),"x","")</f>
        <v/>
      </c>
      <c r="Z2448" s="39" t="str">
        <f>IF(AND(OR(LEFT(TH!L2448,2)="15",LEFT(TH!M2448,2)="15"),TK!$E$7=TH!F2448),"x","")</f>
        <v/>
      </c>
      <c r="AA2448" s="39" t="str">
        <f>IF(AND(B2448&lt;=NKC!$N$8,B2448&gt;=NKC!$M$8),"x","")</f>
        <v/>
      </c>
      <c r="AB2448" s="821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110"/>
        <v/>
      </c>
      <c r="C2449" s="191"/>
      <c r="D2449" s="191"/>
      <c r="E2449" s="786"/>
      <c r="F2449" s="40"/>
      <c r="G2449" s="40"/>
      <c r="H2449" s="7"/>
      <c r="I2449" s="256"/>
      <c r="J2449" s="256"/>
      <c r="K2449" s="56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902" t="str">
        <f>IF(AND('341-CT'!$E$9=H2449,OR(LEFT(L2449,3)=$O$7,LEFT(M2449,3)=$O$7)),"x","")</f>
        <v/>
      </c>
      <c r="P2449" s="39" t="str">
        <f>IF(AND($B2449&gt;='111'!$N$11,$B2449&lt;='111'!$O$11,OR($L2449=$P$7,$M2449=$P$7)),"x","")</f>
        <v/>
      </c>
      <c r="Q2449" s="39" t="str">
        <f>IF(AND($L2449=$P$7,$B2449&lt;'111'!$N$11),"x","")</f>
        <v/>
      </c>
      <c r="R2449" s="39" t="str">
        <f>IF(AND($M2449=$P$7,$B2449&lt;'111'!$N$11),"x","")</f>
        <v/>
      </c>
      <c r="S2449" s="39" t="str">
        <f>IF(ISERROR(FIND('112'!$M$9,G2449,1)),"",IF((AND(FIND('112'!$M$9,G2449,1)&gt;=1,$B2449&gt;='112'!$N$8,$B2449&lt;='112'!$O$8,OR($L2449='112'!$I$6,$M2449='112'!$I$6))),"x",""))</f>
        <v/>
      </c>
      <c r="T2449" s="39" t="str">
        <f>IF(ISERROR(FIND('112'!$M$9,G2449,1)),"",IF((AND(LEFT(G2449,2)=LEFT('112'!$M$9,2),B2449&lt;'112'!$N$8,$L2449='112'!$I$6)),"x",""))</f>
        <v/>
      </c>
      <c r="U2449" s="39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39" t="str">
        <f>IF(OR(TH!L2449=TH!$W$7,M2449=TH!$W$7),"x","")</f>
        <v/>
      </c>
      <c r="X2449" s="39" t="str">
        <f>IF(AND(B2449&gt;='IN-NX'!$P$3,B2449&lt;='IN-NX'!$Q$3,'IN-NX'!$D$7=D2449,OR(LEFT(L2449,2)="15",AND(LEFT(M2449,2)&lt;&gt;"15",LEFT(M2449,2)&lt;&gt;"33"))),"x","")</f>
        <v/>
      </c>
      <c r="Y2449" s="39" t="str">
        <f>IF(AND(OR(LEFT(TH!L2449,2)="15",LEFT(TH!M2449,2)="15"),'152-CT'!$J$8=TH!F2449),"x","")</f>
        <v/>
      </c>
      <c r="Z2449" s="39" t="str">
        <f>IF(AND(OR(LEFT(TH!L2449,2)="15",LEFT(TH!M2449,2)="15"),TK!$E$7=TH!F2449),"x","")</f>
        <v/>
      </c>
      <c r="AA2449" s="39" t="str">
        <f>IF(AND(B2449&lt;=NKC!$N$8,B2449&gt;=NKC!$M$8),"x","")</f>
        <v/>
      </c>
      <c r="AB2449" s="821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110"/>
        <v/>
      </c>
      <c r="C2450" s="191"/>
      <c r="D2450" s="191"/>
      <c r="E2450" s="786"/>
      <c r="F2450" s="40"/>
      <c r="G2450" s="40"/>
      <c r="H2450" s="7"/>
      <c r="I2450" s="256"/>
      <c r="J2450" s="256"/>
      <c r="K2450" s="56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902" t="str">
        <f>IF(AND('341-CT'!$E$9=H2450,OR(LEFT(L2450,3)=$O$7,LEFT(M2450,3)=$O$7)),"x","")</f>
        <v/>
      </c>
      <c r="P2450" s="39" t="str">
        <f>IF(AND($B2450&gt;='111'!$N$11,$B2450&lt;='111'!$O$11,OR($L2450=$P$7,$M2450=$P$7)),"x","")</f>
        <v/>
      </c>
      <c r="Q2450" s="39" t="str">
        <f>IF(AND($L2450=$P$7,$B2450&lt;'111'!$N$11),"x","")</f>
        <v/>
      </c>
      <c r="R2450" s="39" t="str">
        <f>IF(AND($M2450=$P$7,$B2450&lt;'111'!$N$11),"x","")</f>
        <v/>
      </c>
      <c r="S2450" s="39" t="str">
        <f>IF(ISERROR(FIND('112'!$M$9,G2450,1)),"",IF((AND(FIND('112'!$M$9,G2450,1)&gt;=1,$B2450&gt;='112'!$N$8,$B2450&lt;='112'!$O$8,OR($L2450='112'!$I$6,$M2450='112'!$I$6))),"x",""))</f>
        <v/>
      </c>
      <c r="T2450" s="39" t="str">
        <f>IF(ISERROR(FIND('112'!$M$9,G2450,1)),"",IF((AND(LEFT(G2450,2)=LEFT('112'!$M$9,2),B2450&lt;'112'!$N$8,$L2450='112'!$I$6)),"x",""))</f>
        <v/>
      </c>
      <c r="U2450" s="39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39" t="str">
        <f>IF(OR(TH!L2450=TH!$W$7,M2450=TH!$W$7),"x","")</f>
        <v/>
      </c>
      <c r="X2450" s="39" t="str">
        <f>IF(AND(B2450&gt;='IN-NX'!$P$3,B2450&lt;='IN-NX'!$Q$3,'IN-NX'!$D$7=D2450,OR(LEFT(L2450,2)="15",AND(LEFT(M2450,2)&lt;&gt;"15",LEFT(M2450,2)&lt;&gt;"33"))),"x","")</f>
        <v/>
      </c>
      <c r="Y2450" s="39" t="str">
        <f>IF(AND(OR(LEFT(TH!L2450,2)="15",LEFT(TH!M2450,2)="15"),'152-CT'!$J$8=TH!F2450),"x","")</f>
        <v/>
      </c>
      <c r="Z2450" s="39" t="str">
        <f>IF(AND(OR(LEFT(TH!L2450,2)="15",LEFT(TH!M2450,2)="15"),TK!$E$7=TH!F2450),"x","")</f>
        <v/>
      </c>
      <c r="AA2450" s="39" t="str">
        <f>IF(AND(B2450&lt;=NKC!$N$8,B2450&gt;=NKC!$M$8),"x","")</f>
        <v/>
      </c>
      <c r="AB2450" s="821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110"/>
        <v/>
      </c>
      <c r="C2451" s="191"/>
      <c r="D2451" s="191"/>
      <c r="E2451" s="786"/>
      <c r="F2451" s="40"/>
      <c r="G2451" s="40"/>
      <c r="H2451" s="7"/>
      <c r="I2451" s="256"/>
      <c r="J2451" s="256"/>
      <c r="K2451" s="568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902" t="str">
        <f>IF(AND('341-CT'!$E$9=H2451,OR(LEFT(L2451,3)=$O$7,LEFT(M2451,3)=$O$7)),"x","")</f>
        <v/>
      </c>
      <c r="P2451" s="39" t="str">
        <f>IF(AND($B2451&gt;='111'!$N$11,$B2451&lt;='111'!$O$11,OR($L2451=$P$7,$M2451=$P$7)),"x","")</f>
        <v/>
      </c>
      <c r="Q2451" s="39" t="str">
        <f>IF(AND($L2451=$P$7,$B2451&lt;'111'!$N$11),"x","")</f>
        <v/>
      </c>
      <c r="R2451" s="39" t="str">
        <f>IF(AND($M2451=$P$7,$B2451&lt;'111'!$N$11),"x","")</f>
        <v/>
      </c>
      <c r="S2451" s="39" t="str">
        <f>IF(ISERROR(FIND('112'!$M$9,G2451,1)),"",IF((AND(FIND('112'!$M$9,G2451,1)&gt;=1,$B2451&gt;='112'!$N$8,$B2451&lt;='112'!$O$8,OR($L2451='112'!$I$6,$M2451='112'!$I$6))),"x",""))</f>
        <v/>
      </c>
      <c r="T2451" s="39" t="str">
        <f>IF(ISERROR(FIND('112'!$M$9,G2451,1)),"",IF((AND(LEFT(G2451,2)=LEFT('112'!$M$9,2),B2451&lt;'112'!$N$8,$L2451='112'!$I$6)),"x",""))</f>
        <v/>
      </c>
      <c r="U2451" s="39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39" t="str">
        <f>IF(OR(TH!L2451=TH!$W$7,M2451=TH!$W$7),"x","")</f>
        <v/>
      </c>
      <c r="X2451" s="39" t="str">
        <f>IF(AND(B2451&gt;='IN-NX'!$P$3,B2451&lt;='IN-NX'!$Q$3,'IN-NX'!$D$7=D2451,OR(LEFT(L2451,2)="15",AND(LEFT(M2451,2)&lt;&gt;"15",LEFT(M2451,2)&lt;&gt;"33"))),"x","")</f>
        <v/>
      </c>
      <c r="Y2451" s="39" t="str">
        <f>IF(AND(OR(LEFT(TH!L2451,2)="15",LEFT(TH!M2451,2)="15"),'152-CT'!$J$8=TH!F2451),"x","")</f>
        <v/>
      </c>
      <c r="Z2451" s="39" t="str">
        <f>IF(AND(OR(LEFT(TH!L2451,2)="15",LEFT(TH!M2451,2)="15"),TK!$E$7=TH!F2451),"x","")</f>
        <v/>
      </c>
      <c r="AA2451" s="39" t="str">
        <f>IF(AND(B2451&lt;=NKC!$N$8,B2451&gt;=NKC!$M$8),"x","")</f>
        <v/>
      </c>
      <c r="AB2451" s="821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110"/>
        <v/>
      </c>
      <c r="C2452" s="191"/>
      <c r="D2452" s="191"/>
      <c r="E2452" s="786"/>
      <c r="F2452" s="189"/>
      <c r="G2452" s="40"/>
      <c r="H2452" s="7"/>
      <c r="I2452" s="256"/>
      <c r="J2452" s="256"/>
      <c r="K2452" s="568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902" t="str">
        <f>IF(AND('341-CT'!$E$9=H2452,OR(LEFT(L2452,3)=$O$7,LEFT(M2452,3)=$O$7)),"x","")</f>
        <v/>
      </c>
      <c r="P2452" s="39" t="str">
        <f>IF(AND($B2452&gt;='111'!$N$11,$B2452&lt;='111'!$O$11,OR($L2452=$P$7,$M2452=$P$7)),"x","")</f>
        <v/>
      </c>
      <c r="Q2452" s="39" t="str">
        <f>IF(AND($L2452=$P$7,$B2452&lt;'111'!$N$11),"x","")</f>
        <v/>
      </c>
      <c r="R2452" s="39" t="str">
        <f>IF(AND($M2452=$P$7,$B2452&lt;'111'!$N$11),"x","")</f>
        <v/>
      </c>
      <c r="S2452" s="39" t="str">
        <f>IF(ISERROR(FIND('112'!$M$9,G2452,1)),"",IF((AND(FIND('112'!$M$9,G2452,1)&gt;=1,$B2452&gt;='112'!$N$8,$B2452&lt;='112'!$O$8,OR($L2452='112'!$I$6,$M2452='112'!$I$6))),"x",""))</f>
        <v/>
      </c>
      <c r="T2452" s="39" t="str">
        <f>IF(ISERROR(FIND('112'!$M$9,G2452,1)),"",IF((AND(LEFT(G2452,2)=LEFT('112'!$M$9,2),B2452&lt;'112'!$N$8,$L2452='112'!$I$6)),"x",""))</f>
        <v/>
      </c>
      <c r="U2452" s="39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39" t="str">
        <f>IF(OR(TH!L2452=TH!$W$7,M2452=TH!$W$7),"x","")</f>
        <v/>
      </c>
      <c r="X2452" s="39" t="str">
        <f>IF(AND(B2452&gt;='IN-NX'!$P$3,B2452&lt;='IN-NX'!$Q$3,'IN-NX'!$D$7=D2452,OR(LEFT(L2452,2)="15",AND(LEFT(M2452,2)&lt;&gt;"15",LEFT(M2452,2)&lt;&gt;"33"))),"x","")</f>
        <v/>
      </c>
      <c r="Y2452" s="39" t="str">
        <f>IF(AND(OR(LEFT(TH!L2452,2)="15",LEFT(TH!M2452,2)="15"),'152-CT'!$J$8=TH!F2452),"x","")</f>
        <v/>
      </c>
      <c r="Z2452" s="39" t="str">
        <f>IF(AND(OR(LEFT(TH!L2452,2)="15",LEFT(TH!M2452,2)="15"),TK!$E$7=TH!F2452),"x","")</f>
        <v/>
      </c>
      <c r="AA2452" s="39" t="str">
        <f>IF(AND(B2452&lt;=NKC!$N$8,B2452&gt;=NKC!$M$8),"x","")</f>
        <v/>
      </c>
      <c r="AB2452" s="821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110"/>
        <v/>
      </c>
      <c r="C2453" s="184"/>
      <c r="D2453" s="184"/>
      <c r="E2453" s="795"/>
      <c r="F2453" s="189"/>
      <c r="G2453" s="570"/>
      <c r="H2453" s="7"/>
      <c r="I2453" s="256"/>
      <c r="J2453" s="256"/>
      <c r="K2453" s="568"/>
      <c r="L2453" s="569"/>
      <c r="M2453" s="569"/>
      <c r="N2453" s="39" t="str">
        <f>IF(AND('331-CT'!$E$7=TH!H2453,OR(L2453="331",M2453="331")),"331",IF(AND(OR(L2453="131",M2453="131"),H2453='131-CT'!$E$7),"131",""))</f>
        <v/>
      </c>
      <c r="O2453" s="902" t="str">
        <f>IF(AND('341-CT'!$E$9=H2453,OR(LEFT(L2453,3)=$O$7,LEFT(M2453,3)=$O$7)),"x","")</f>
        <v/>
      </c>
      <c r="P2453" s="39" t="str">
        <f>IF(AND($B2453&gt;='111'!$N$11,$B2453&lt;='111'!$O$11,OR($L2453=$P$7,$M2453=$P$7)),"x","")</f>
        <v/>
      </c>
      <c r="Q2453" s="39" t="str">
        <f>IF(AND($L2453=$P$7,$B2453&lt;'111'!$N$11),"x","")</f>
        <v/>
      </c>
      <c r="R2453" s="39" t="str">
        <f>IF(AND($M2453=$P$7,$B2453&lt;'111'!$N$11),"x","")</f>
        <v/>
      </c>
      <c r="S2453" s="39" t="str">
        <f>IF(ISERROR(FIND('112'!$M$9,G2453,1)),"",IF((AND(FIND('112'!$M$9,G2453,1)&gt;=1,$B2453&gt;='112'!$N$8,$B2453&lt;='112'!$O$8,OR($L2453='112'!$I$6,$M2453='112'!$I$6))),"x",""))</f>
        <v/>
      </c>
      <c r="T2453" s="39" t="str">
        <f>IF(ISERROR(FIND('112'!$M$9,G2453,1)),"",IF((AND(LEFT(G2453,2)=LEFT('112'!$M$9,2),B2453&lt;'112'!$N$8,$L2453='112'!$I$6)),"x",""))</f>
        <v/>
      </c>
      <c r="U2453" s="39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39" t="str">
        <f>IF(OR(TH!L2453=TH!$W$7,M2453=TH!$W$7),"x","")</f>
        <v/>
      </c>
      <c r="X2453" s="39" t="str">
        <f>IF(AND(B2453&gt;='IN-NX'!$P$3,B2453&lt;='IN-NX'!$Q$3,'IN-NX'!$D$7=D2453,OR(LEFT(L2453,2)="15",AND(LEFT(M2453,2)&lt;&gt;"15",LEFT(M2453,2)&lt;&gt;"33"))),"x","")</f>
        <v/>
      </c>
      <c r="Y2453" s="39" t="str">
        <f>IF(AND(OR(LEFT(TH!L2453,2)="15",LEFT(TH!M2453,2)="15"),'152-CT'!$J$8=TH!F2453),"x","")</f>
        <v/>
      </c>
      <c r="Z2453" s="39" t="str">
        <f>IF(AND(OR(LEFT(TH!L2453,2)="15",LEFT(TH!M2453,2)="15"),TK!$E$7=TH!F2453),"x","")</f>
        <v/>
      </c>
      <c r="AA2453" s="39" t="str">
        <f>IF(AND(B2453&lt;=NKC!$N$8,B2453&gt;=NKC!$M$8),"x","")</f>
        <v/>
      </c>
      <c r="AB2453" s="821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110"/>
        <v/>
      </c>
      <c r="C2454" s="191"/>
      <c r="D2454" s="191"/>
      <c r="E2454" s="786"/>
      <c r="F2454" s="192"/>
      <c r="G2454" s="468"/>
      <c r="H2454" s="45"/>
      <c r="I2454" s="256"/>
      <c r="J2454" s="256"/>
      <c r="K2454" s="38"/>
      <c r="L2454" s="194"/>
      <c r="M2454" s="194"/>
      <c r="N2454" s="39" t="str">
        <f>IF(AND('331-CT'!$E$7=TH!H2454,OR(L2454="331",M2454="331")),"331",IF(AND(OR(L2454="131",M2454="131"),H2454='131-CT'!$E$7),"131",""))</f>
        <v/>
      </c>
      <c r="O2454" s="902" t="str">
        <f>IF(AND('341-CT'!$E$9=H2454,OR(LEFT(L2454,3)=$O$7,LEFT(M2454,3)=$O$7)),"x","")</f>
        <v/>
      </c>
      <c r="P2454" s="39" t="str">
        <f>IF(AND($B2454&gt;='111'!$N$11,$B2454&lt;='111'!$O$11,OR($L2454=$P$7,$M2454=$P$7)),"x","")</f>
        <v/>
      </c>
      <c r="Q2454" s="39" t="str">
        <f>IF(AND($L2454=$P$7,$B2454&lt;'111'!$N$11),"x","")</f>
        <v/>
      </c>
      <c r="R2454" s="39" t="str">
        <f>IF(AND($M2454=$P$7,$B2454&lt;'111'!$N$11),"x","")</f>
        <v/>
      </c>
      <c r="S2454" s="39" t="str">
        <f>IF(ISERROR(FIND('112'!$M$9,G2454,1)),"",IF((AND(FIND('112'!$M$9,G2454,1)&gt;=1,$B2454&gt;='112'!$N$8,$B2454&lt;='112'!$O$8,OR($L2454='112'!$I$6,$M2454='112'!$I$6))),"x",""))</f>
        <v/>
      </c>
      <c r="T2454" s="39" t="str">
        <f>IF(ISERROR(FIND('112'!$M$9,G2454,1)),"",IF((AND(LEFT(G2454,2)=LEFT('112'!$M$9,2),B2454&lt;'112'!$N$8,$L2454='112'!$I$6)),"x",""))</f>
        <v/>
      </c>
      <c r="U2454" s="39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39" t="str">
        <f>IF(OR(TH!L2454=TH!$W$7,M2454=TH!$W$7),"x","")</f>
        <v/>
      </c>
      <c r="X2454" s="39" t="str">
        <f>IF(AND(B2454&gt;='IN-NX'!$P$3,B2454&lt;='IN-NX'!$Q$3,'IN-NX'!$D$7=D2454,OR(LEFT(L2454,2)="15",AND(LEFT(M2454,2)&lt;&gt;"15",LEFT(M2454,2)&lt;&gt;"33"))),"x","")</f>
        <v/>
      </c>
      <c r="Y2454" s="39" t="str">
        <f>IF(AND(OR(LEFT(TH!L2454,2)="15",LEFT(TH!M2454,2)="15"),'152-CT'!$J$8=TH!F2454),"x","")</f>
        <v/>
      </c>
      <c r="Z2454" s="39" t="str">
        <f>IF(AND(OR(LEFT(TH!L2454,2)="15",LEFT(TH!M2454,2)="15"),TK!$E$7=TH!F2454),"x","")</f>
        <v/>
      </c>
      <c r="AA2454" s="39" t="str">
        <f>IF(AND(B2454&lt;=NKC!$N$8,B2454&gt;=NKC!$M$8),"x","")</f>
        <v/>
      </c>
      <c r="AB2454" s="821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110"/>
        <v/>
      </c>
      <c r="C2455" s="191"/>
      <c r="D2455" s="191"/>
      <c r="E2455" s="786"/>
      <c r="F2455" s="192"/>
      <c r="G2455" s="468"/>
      <c r="H2455" s="45"/>
      <c r="I2455" s="256"/>
      <c r="J2455" s="256"/>
      <c r="K2455" s="38"/>
      <c r="L2455" s="194"/>
      <c r="M2455" s="194"/>
      <c r="N2455" s="39" t="str">
        <f>IF(AND('331-CT'!$E$7=TH!H2455,OR(L2455="331",M2455="331")),"331",IF(AND(OR(L2455="131",M2455="131"),H2455='131-CT'!$E$7),"131",""))</f>
        <v/>
      </c>
      <c r="O2455" s="902" t="str">
        <f>IF(AND('341-CT'!$E$9=H2455,OR(LEFT(L2455,3)=$O$7,LEFT(M2455,3)=$O$7)),"x","")</f>
        <v/>
      </c>
      <c r="P2455" s="39" t="str">
        <f>IF(AND($B2455&gt;='111'!$N$11,$B2455&lt;='111'!$O$11,OR($L2455=$P$7,$M2455=$P$7)),"x","")</f>
        <v/>
      </c>
      <c r="Q2455" s="39" t="str">
        <f>IF(AND($L2455=$P$7,$B2455&lt;'111'!$N$11),"x","")</f>
        <v/>
      </c>
      <c r="R2455" s="39" t="str">
        <f>IF(AND($M2455=$P$7,$B2455&lt;'111'!$N$11),"x","")</f>
        <v/>
      </c>
      <c r="S2455" s="39" t="str">
        <f>IF(ISERROR(FIND('112'!$M$9,G2455,1)),"",IF((AND(FIND('112'!$M$9,G2455,1)&gt;=1,$B2455&gt;='112'!$N$8,$B2455&lt;='112'!$O$8,OR($L2455='112'!$I$6,$M2455='112'!$I$6))),"x",""))</f>
        <v/>
      </c>
      <c r="T2455" s="39" t="str">
        <f>IF(ISERROR(FIND('112'!$M$9,G2455,1)),"",IF((AND(LEFT(G2455,2)=LEFT('112'!$M$9,2),B2455&lt;'112'!$N$8,$L2455='112'!$I$6)),"x",""))</f>
        <v/>
      </c>
      <c r="U2455" s="39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39" t="str">
        <f>IF(OR(TH!L2455=TH!$W$7,M2455=TH!$W$7),"x","")</f>
        <v/>
      </c>
      <c r="X2455" s="39" t="str">
        <f>IF(AND(B2455&gt;='IN-NX'!$P$3,B2455&lt;='IN-NX'!$Q$3,'IN-NX'!$D$7=D2455,OR(LEFT(L2455,2)="15",AND(LEFT(M2455,2)&lt;&gt;"15",LEFT(M2455,2)&lt;&gt;"33"))),"x","")</f>
        <v/>
      </c>
      <c r="Y2455" s="39" t="str">
        <f>IF(AND(OR(LEFT(TH!L2455,2)="15",LEFT(TH!M2455,2)="15"),'152-CT'!$J$8=TH!F2455),"x","")</f>
        <v/>
      </c>
      <c r="Z2455" s="39" t="str">
        <f>IF(AND(OR(LEFT(TH!L2455,2)="15",LEFT(TH!M2455,2)="15"),TK!$E$7=TH!F2455),"x","")</f>
        <v/>
      </c>
      <c r="AA2455" s="39" t="str">
        <f>IF(AND(B2455&lt;=NKC!$N$8,B2455&gt;=NKC!$M$8),"x","")</f>
        <v/>
      </c>
      <c r="AB2455" s="821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110"/>
        <v/>
      </c>
      <c r="C2456" s="191"/>
      <c r="D2456" s="191"/>
      <c r="E2456" s="786"/>
      <c r="F2456" s="192"/>
      <c r="G2456" s="468"/>
      <c r="H2456" s="7"/>
      <c r="I2456" s="256"/>
      <c r="J2456" s="256"/>
      <c r="K2456" s="568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902" t="str">
        <f>IF(AND('341-CT'!$E$9=H2456,OR(LEFT(L2456,3)=$O$7,LEFT(M2456,3)=$O$7)),"x","")</f>
        <v/>
      </c>
      <c r="P2456" s="39" t="str">
        <f>IF(AND($B2456&gt;='111'!$N$11,$B2456&lt;='111'!$O$11,OR($L2456=$P$7,$M2456=$P$7)),"x","")</f>
        <v/>
      </c>
      <c r="Q2456" s="39" t="str">
        <f>IF(AND($L2456=$P$7,$B2456&lt;'111'!$N$11),"x","")</f>
        <v/>
      </c>
      <c r="R2456" s="39" t="str">
        <f>IF(AND($M2456=$P$7,$B2456&lt;'111'!$N$11),"x","")</f>
        <v/>
      </c>
      <c r="S2456" s="39" t="str">
        <f>IF(ISERROR(FIND('112'!$M$9,G2456,1)),"",IF((AND(FIND('112'!$M$9,G2456,1)&gt;=1,$B2456&gt;='112'!$N$8,$B2456&lt;='112'!$O$8,OR($L2456='112'!$I$6,$M2456='112'!$I$6))),"x",""))</f>
        <v/>
      </c>
      <c r="T2456" s="39" t="str">
        <f>IF(ISERROR(FIND('112'!$M$9,G2456,1)),"",IF((AND(LEFT(G2456,2)=LEFT('112'!$M$9,2),B2456&lt;'112'!$N$8,$L2456='112'!$I$6)),"x",""))</f>
        <v/>
      </c>
      <c r="U2456" s="39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39" t="str">
        <f>IF(OR(TH!L2456=TH!$W$7,M2456=TH!$W$7),"x","")</f>
        <v/>
      </c>
      <c r="X2456" s="39" t="str">
        <f>IF(AND(B2456&gt;='IN-NX'!$P$3,B2456&lt;='IN-NX'!$Q$3,'IN-NX'!$D$7=D2456,OR(LEFT(L2456,2)="15",AND(LEFT(M2456,2)&lt;&gt;"15",LEFT(M2456,2)&lt;&gt;"33"))),"x","")</f>
        <v/>
      </c>
      <c r="Y2456" s="39" t="str">
        <f>IF(AND(OR(LEFT(TH!L2456,2)="15",LEFT(TH!M2456,2)="15"),'152-CT'!$J$8=TH!F2456),"x","")</f>
        <v/>
      </c>
      <c r="Z2456" s="39" t="str">
        <f>IF(AND(OR(LEFT(TH!L2456,2)="15",LEFT(TH!M2456,2)="15"),TK!$E$7=TH!F2456),"x","")</f>
        <v/>
      </c>
      <c r="AA2456" s="39" t="str">
        <f>IF(AND(B2456&lt;=NKC!$N$8,B2456&gt;=NKC!$M$8),"x","")</f>
        <v/>
      </c>
      <c r="AB2456" s="821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si="110"/>
        <v/>
      </c>
      <c r="C2457" s="191"/>
      <c r="D2457" s="191"/>
      <c r="E2457" s="786"/>
      <c r="F2457" s="192"/>
      <c r="G2457" s="468"/>
      <c r="H2457" s="7"/>
      <c r="I2457" s="256"/>
      <c r="J2457" s="256"/>
      <c r="K2457" s="56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902" t="str">
        <f>IF(AND('341-CT'!$E$9=H2457,OR(LEFT(L2457,3)=$O$7,LEFT(M2457,3)=$O$7)),"x","")</f>
        <v/>
      </c>
      <c r="P2457" s="39" t="str">
        <f>IF(AND($B2457&gt;='111'!$N$11,$B2457&lt;='111'!$O$11,OR($L2457=$P$7,$M2457=$P$7)),"x","")</f>
        <v/>
      </c>
      <c r="Q2457" s="39" t="str">
        <f>IF(AND($L2457=$P$7,$B2457&lt;'111'!$N$11),"x","")</f>
        <v/>
      </c>
      <c r="R2457" s="39" t="str">
        <f>IF(AND($M2457=$P$7,$B2457&lt;'111'!$N$11),"x","")</f>
        <v/>
      </c>
      <c r="S2457" s="39" t="str">
        <f>IF(ISERROR(FIND('112'!$M$9,G2457,1)),"",IF((AND(FIND('112'!$M$9,G2457,1)&gt;=1,$B2457&gt;='112'!$N$8,$B2457&lt;='112'!$O$8,OR($L2457='112'!$I$6,$M2457='112'!$I$6))),"x",""))</f>
        <v/>
      </c>
      <c r="T2457" s="39" t="str">
        <f>IF(ISERROR(FIND('112'!$M$9,G2457,1)),"",IF((AND(LEFT(G2457,2)=LEFT('112'!$M$9,2),B2457&lt;'112'!$N$8,$L2457='112'!$I$6)),"x",""))</f>
        <v/>
      </c>
      <c r="U2457" s="39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39" t="str">
        <f>IF(OR(TH!L2457=TH!$W$7,M2457=TH!$W$7),"x","")</f>
        <v/>
      </c>
      <c r="X2457" s="39" t="str">
        <f>IF(AND(B2457&gt;='IN-NX'!$P$3,B2457&lt;='IN-NX'!$Q$3,'IN-NX'!$D$7=D2457,OR(LEFT(L2457,2)="15",AND(LEFT(M2457,2)&lt;&gt;"15",LEFT(M2457,2)&lt;&gt;"33"))),"x","")</f>
        <v/>
      </c>
      <c r="Y2457" s="39" t="str">
        <f>IF(AND(OR(LEFT(TH!L2457,2)="15",LEFT(TH!M2457,2)="15"),'152-CT'!$J$8=TH!F2457),"x","")</f>
        <v/>
      </c>
      <c r="Z2457" s="39" t="str">
        <f>IF(AND(OR(LEFT(TH!L2457,2)="15",LEFT(TH!M2457,2)="15"),TK!$E$7=TH!F2457),"x","")</f>
        <v/>
      </c>
      <c r="AA2457" s="39" t="str">
        <f>IF(AND(B2457&lt;=NKC!$N$8,B2457&gt;=NKC!$M$8),"x","")</f>
        <v/>
      </c>
      <c r="AB2457" s="821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110"/>
        <v/>
      </c>
      <c r="C2458" s="191"/>
      <c r="D2458" s="191"/>
      <c r="E2458" s="786"/>
      <c r="F2458" s="40"/>
      <c r="G2458" s="40"/>
      <c r="H2458" s="7"/>
      <c r="I2458" s="256"/>
      <c r="J2458" s="256"/>
      <c r="K2458" s="568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902" t="str">
        <f>IF(AND('341-CT'!$E$9=H2458,OR(LEFT(L2458,3)=$O$7,LEFT(M2458,3)=$O$7)),"x","")</f>
        <v/>
      </c>
      <c r="P2458" s="39" t="str">
        <f>IF(AND($B2458&gt;='111'!$N$11,$B2458&lt;='111'!$O$11,OR($L2458=$P$7,$M2458=$P$7)),"x","")</f>
        <v/>
      </c>
      <c r="Q2458" s="39" t="str">
        <f>IF(AND($L2458=$P$7,$B2458&lt;'111'!$N$11),"x","")</f>
        <v/>
      </c>
      <c r="R2458" s="39" t="str">
        <f>IF(AND($M2458=$P$7,$B2458&lt;'111'!$N$11),"x","")</f>
        <v/>
      </c>
      <c r="S2458" s="39" t="str">
        <f>IF(ISERROR(FIND('112'!$M$9,G2458,1)),"",IF((AND(FIND('112'!$M$9,G2458,1)&gt;=1,$B2458&gt;='112'!$N$8,$B2458&lt;='112'!$O$8,OR($L2458='112'!$I$6,$M2458='112'!$I$6))),"x",""))</f>
        <v/>
      </c>
      <c r="T2458" s="39" t="str">
        <f>IF(ISERROR(FIND('112'!$M$9,G2458,1)),"",IF((AND(LEFT(G2458,2)=LEFT('112'!$M$9,2),B2458&lt;'112'!$N$8,$L2458='112'!$I$6)),"x",""))</f>
        <v/>
      </c>
      <c r="U2458" s="39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39" t="str">
        <f>IF(OR(TH!L2458=TH!$W$7,M2458=TH!$W$7),"x","")</f>
        <v/>
      </c>
      <c r="X2458" s="39" t="str">
        <f>IF(AND(B2458&gt;='IN-NX'!$P$3,B2458&lt;='IN-NX'!$Q$3,'IN-NX'!$D$7=D2458,OR(LEFT(L2458,2)="15",AND(LEFT(M2458,2)&lt;&gt;"15",LEFT(M2458,2)&lt;&gt;"33"))),"x","")</f>
        <v/>
      </c>
      <c r="Y2458" s="39" t="str">
        <f>IF(AND(OR(LEFT(TH!L2458,2)="15",LEFT(TH!M2458,2)="15"),'152-CT'!$J$8=TH!F2458),"x","")</f>
        <v/>
      </c>
      <c r="Z2458" s="39" t="str">
        <f>IF(AND(OR(LEFT(TH!L2458,2)="15",LEFT(TH!M2458,2)="15"),TK!$E$7=TH!F2458),"x","")</f>
        <v/>
      </c>
      <c r="AA2458" s="39" t="str">
        <f>IF(AND(B2458&lt;=NKC!$N$8,B2458&gt;=NKC!$M$8),"x","")</f>
        <v/>
      </c>
      <c r="AB2458" s="821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110"/>
        <v/>
      </c>
      <c r="C2459" s="191"/>
      <c r="D2459" s="191"/>
      <c r="E2459" s="786"/>
      <c r="F2459" s="40"/>
      <c r="G2459" s="40"/>
      <c r="H2459" s="7"/>
      <c r="I2459" s="256"/>
      <c r="J2459" s="256"/>
      <c r="K2459" s="56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902" t="str">
        <f>IF(AND('341-CT'!$E$9=H2459,OR(LEFT(L2459,3)=$O$7,LEFT(M2459,3)=$O$7)),"x","")</f>
        <v/>
      </c>
      <c r="P2459" s="39" t="str">
        <f>IF(AND($B2459&gt;='111'!$N$11,$B2459&lt;='111'!$O$11,OR($L2459=$P$7,$M2459=$P$7)),"x","")</f>
        <v/>
      </c>
      <c r="Q2459" s="39" t="str">
        <f>IF(AND($L2459=$P$7,$B2459&lt;'111'!$N$11),"x","")</f>
        <v/>
      </c>
      <c r="R2459" s="39" t="str">
        <f>IF(AND($M2459=$P$7,$B2459&lt;'111'!$N$11),"x","")</f>
        <v/>
      </c>
      <c r="S2459" s="39" t="str">
        <f>IF(ISERROR(FIND('112'!$M$9,G2459,1)),"",IF((AND(FIND('112'!$M$9,G2459,1)&gt;=1,$B2459&gt;='112'!$N$8,$B2459&lt;='112'!$O$8,OR($L2459='112'!$I$6,$M2459='112'!$I$6))),"x",""))</f>
        <v/>
      </c>
      <c r="T2459" s="39" t="str">
        <f>IF(ISERROR(FIND('112'!$M$9,G2459,1)),"",IF((AND(LEFT(G2459,2)=LEFT('112'!$M$9,2),B2459&lt;'112'!$N$8,$L2459='112'!$I$6)),"x",""))</f>
        <v/>
      </c>
      <c r="U2459" s="39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39" t="str">
        <f>IF(OR(TH!L2459=TH!$W$7,M2459=TH!$W$7),"x","")</f>
        <v/>
      </c>
      <c r="X2459" s="39" t="str">
        <f>IF(AND(B2459&gt;='IN-NX'!$P$3,B2459&lt;='IN-NX'!$Q$3,'IN-NX'!$D$7=D2459,OR(LEFT(L2459,2)="15",AND(LEFT(M2459,2)&lt;&gt;"15",LEFT(M2459,2)&lt;&gt;"33"))),"x","")</f>
        <v/>
      </c>
      <c r="Y2459" s="39" t="str">
        <f>IF(AND(OR(LEFT(TH!L2459,2)="15",LEFT(TH!M2459,2)="15"),'152-CT'!$J$8=TH!F2459),"x","")</f>
        <v/>
      </c>
      <c r="Z2459" s="39" t="str">
        <f>IF(AND(OR(LEFT(TH!L2459,2)="15",LEFT(TH!M2459,2)="15"),TK!$E$7=TH!F2459),"x","")</f>
        <v/>
      </c>
      <c r="AA2459" s="39" t="str">
        <f>IF(AND(B2459&lt;=NKC!$N$8,B2459&gt;=NKC!$M$8),"x","")</f>
        <v/>
      </c>
      <c r="AB2459" s="821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110"/>
        <v/>
      </c>
      <c r="C2460" s="191"/>
      <c r="D2460" s="191"/>
      <c r="E2460" s="786"/>
      <c r="F2460" s="40"/>
      <c r="G2460" s="40"/>
      <c r="H2460" s="7"/>
      <c r="I2460" s="256"/>
      <c r="J2460" s="256"/>
      <c r="K2460" s="56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902" t="str">
        <f>IF(AND('341-CT'!$E$9=H2460,OR(LEFT(L2460,3)=$O$7,LEFT(M2460,3)=$O$7)),"x","")</f>
        <v/>
      </c>
      <c r="P2460" s="39" t="str">
        <f>IF(AND($B2460&gt;='111'!$N$11,$B2460&lt;='111'!$O$11,OR($L2460=$P$7,$M2460=$P$7)),"x","")</f>
        <v/>
      </c>
      <c r="Q2460" s="39" t="str">
        <f>IF(AND($L2460=$P$7,$B2460&lt;'111'!$N$11),"x","")</f>
        <v/>
      </c>
      <c r="R2460" s="39" t="str">
        <f>IF(AND($M2460=$P$7,$B2460&lt;'111'!$N$11),"x","")</f>
        <v/>
      </c>
      <c r="S2460" s="39" t="str">
        <f>IF(ISERROR(FIND('112'!$M$9,G2460,1)),"",IF((AND(FIND('112'!$M$9,G2460,1)&gt;=1,$B2460&gt;='112'!$N$8,$B2460&lt;='112'!$O$8,OR($L2460='112'!$I$6,$M2460='112'!$I$6))),"x",""))</f>
        <v/>
      </c>
      <c r="T2460" s="39" t="str">
        <f>IF(ISERROR(FIND('112'!$M$9,G2460,1)),"",IF((AND(LEFT(G2460,2)=LEFT('112'!$M$9,2),B2460&lt;'112'!$N$8,$L2460='112'!$I$6)),"x",""))</f>
        <v/>
      </c>
      <c r="U2460" s="39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39" t="str">
        <f>IF(OR(TH!L2460=TH!$W$7,M2460=TH!$W$7),"x","")</f>
        <v/>
      </c>
      <c r="X2460" s="39" t="str">
        <f>IF(AND(B2460&gt;='IN-NX'!$P$3,B2460&lt;='IN-NX'!$Q$3,'IN-NX'!$D$7=D2460,OR(LEFT(L2460,2)="15",AND(LEFT(M2460,2)&lt;&gt;"15",LEFT(M2460,2)&lt;&gt;"33"))),"x","")</f>
        <v/>
      </c>
      <c r="Y2460" s="39" t="str">
        <f>IF(AND(OR(LEFT(TH!L2460,2)="15",LEFT(TH!M2460,2)="15"),'152-CT'!$J$8=TH!F2460),"x","")</f>
        <v/>
      </c>
      <c r="Z2460" s="39" t="str">
        <f>IF(AND(OR(LEFT(TH!L2460,2)="15",LEFT(TH!M2460,2)="15"),TK!$E$7=TH!F2460),"x","")</f>
        <v/>
      </c>
      <c r="AA2460" s="39" t="str">
        <f>IF(AND(B2460&lt;=NKC!$N$8,B2460&gt;=NKC!$M$8),"x","")</f>
        <v/>
      </c>
      <c r="AB2460" s="821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110"/>
        <v/>
      </c>
      <c r="C2461" s="191"/>
      <c r="D2461" s="191"/>
      <c r="E2461" s="786"/>
      <c r="F2461" s="40"/>
      <c r="G2461" s="40"/>
      <c r="H2461" s="7"/>
      <c r="I2461" s="256"/>
      <c r="J2461" s="256"/>
      <c r="K2461" s="568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902" t="str">
        <f>IF(AND('341-CT'!$E$9=H2461,OR(LEFT(L2461,3)=$O$7,LEFT(M2461,3)=$O$7)),"x","")</f>
        <v/>
      </c>
      <c r="P2461" s="39" t="str">
        <f>IF(AND($B2461&gt;='111'!$N$11,$B2461&lt;='111'!$O$11,OR($L2461=$P$7,$M2461=$P$7)),"x","")</f>
        <v/>
      </c>
      <c r="Q2461" s="39" t="str">
        <f>IF(AND($L2461=$P$7,$B2461&lt;'111'!$N$11),"x","")</f>
        <v/>
      </c>
      <c r="R2461" s="39" t="str">
        <f>IF(AND($M2461=$P$7,$B2461&lt;'111'!$N$11),"x","")</f>
        <v/>
      </c>
      <c r="S2461" s="39" t="str">
        <f>IF(ISERROR(FIND('112'!$M$9,G2461,1)),"",IF((AND(FIND('112'!$M$9,G2461,1)&gt;=1,$B2461&gt;='112'!$N$8,$B2461&lt;='112'!$O$8,OR($L2461='112'!$I$6,$M2461='112'!$I$6))),"x",""))</f>
        <v/>
      </c>
      <c r="T2461" s="39" t="str">
        <f>IF(ISERROR(FIND('112'!$M$9,G2461,1)),"",IF((AND(LEFT(G2461,2)=LEFT('112'!$M$9,2),B2461&lt;'112'!$N$8,$L2461='112'!$I$6)),"x",""))</f>
        <v/>
      </c>
      <c r="U2461" s="39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39" t="str">
        <f>IF(OR(TH!L2461=TH!$W$7,M2461=TH!$W$7),"x","")</f>
        <v/>
      </c>
      <c r="X2461" s="39" t="str">
        <f>IF(AND(B2461&gt;='IN-NX'!$P$3,B2461&lt;='IN-NX'!$Q$3,'IN-NX'!$D$7=D2461,OR(LEFT(L2461,2)="15",AND(LEFT(M2461,2)&lt;&gt;"15",LEFT(M2461,2)&lt;&gt;"33"))),"x","")</f>
        <v/>
      </c>
      <c r="Y2461" s="39" t="str">
        <f>IF(AND(OR(LEFT(TH!L2461,2)="15",LEFT(TH!M2461,2)="15"),'152-CT'!$J$8=TH!F2461),"x","")</f>
        <v/>
      </c>
      <c r="Z2461" s="39" t="str">
        <f>IF(AND(OR(LEFT(TH!L2461,2)="15",LEFT(TH!M2461,2)="15"),TK!$E$7=TH!F2461),"x","")</f>
        <v/>
      </c>
      <c r="AA2461" s="39" t="str">
        <f>IF(AND(B2461&lt;=NKC!$N$8,B2461&gt;=NKC!$M$8),"x","")</f>
        <v/>
      </c>
      <c r="AB2461" s="821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110"/>
        <v/>
      </c>
      <c r="C2462" s="191"/>
      <c r="D2462" s="37"/>
      <c r="E2462" s="786"/>
      <c r="F2462" s="443"/>
      <c r="G2462" s="40"/>
      <c r="H2462" s="7"/>
      <c r="I2462" s="256"/>
      <c r="J2462" s="256"/>
      <c r="K2462" s="568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902" t="str">
        <f>IF(AND('341-CT'!$E$9=H2462,OR(LEFT(L2462,3)=$O$7,LEFT(M2462,3)=$O$7)),"x","")</f>
        <v/>
      </c>
      <c r="P2462" s="39" t="str">
        <f>IF(AND($B2462&gt;='111'!$N$11,$B2462&lt;='111'!$O$11,OR($L2462=$P$7,$M2462=$P$7)),"x","")</f>
        <v/>
      </c>
      <c r="Q2462" s="39" t="str">
        <f>IF(AND($L2462=$P$7,$B2462&lt;'111'!$N$11),"x","")</f>
        <v/>
      </c>
      <c r="R2462" s="39" t="str">
        <f>IF(AND($M2462=$P$7,$B2462&lt;'111'!$N$11),"x","")</f>
        <v/>
      </c>
      <c r="S2462" s="39" t="str">
        <f>IF(ISERROR(FIND('112'!$M$9,G2462,1)),"",IF((AND(FIND('112'!$M$9,G2462,1)&gt;=1,$B2462&gt;='112'!$N$8,$B2462&lt;='112'!$O$8,OR($L2462='112'!$I$6,$M2462='112'!$I$6))),"x",""))</f>
        <v/>
      </c>
      <c r="T2462" s="39" t="str">
        <f>IF(ISERROR(FIND('112'!$M$9,G2462,1)),"",IF((AND(LEFT(G2462,2)=LEFT('112'!$M$9,2),B2462&lt;'112'!$N$8,$L2462='112'!$I$6)),"x",""))</f>
        <v/>
      </c>
      <c r="U2462" s="39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39" t="str">
        <f>IF(OR(TH!L2462=TH!$W$7,M2462=TH!$W$7),"x","")</f>
        <v/>
      </c>
      <c r="X2462" s="39" t="str">
        <f>IF(AND(B2462&gt;='IN-NX'!$P$3,B2462&lt;='IN-NX'!$Q$3,'IN-NX'!$D$7=D2462,OR(LEFT(L2462,2)="15",AND(LEFT(M2462,2)&lt;&gt;"15",LEFT(M2462,2)&lt;&gt;"33"))),"x","")</f>
        <v/>
      </c>
      <c r="Y2462" s="39" t="str">
        <f>IF(AND(OR(LEFT(TH!L2462,2)="15",LEFT(TH!M2462,2)="15"),'152-CT'!$J$8=TH!F2462),"x","")</f>
        <v/>
      </c>
      <c r="Z2462" s="39" t="str">
        <f>IF(AND(OR(LEFT(TH!L2462,2)="15",LEFT(TH!M2462,2)="15"),TK!$E$7=TH!F2462),"x","")</f>
        <v/>
      </c>
      <c r="AA2462" s="39" t="str">
        <f>IF(AND(B2462&lt;=NKC!$N$8,B2462&gt;=NKC!$M$8),"x","")</f>
        <v/>
      </c>
      <c r="AB2462" s="821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si="110"/>
        <v/>
      </c>
      <c r="C2463" s="191"/>
      <c r="D2463" s="37"/>
      <c r="E2463" s="786"/>
      <c r="F2463" s="192"/>
      <c r="G2463" s="468"/>
      <c r="H2463" s="7"/>
      <c r="I2463" s="256"/>
      <c r="J2463" s="256"/>
      <c r="K2463" s="568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902" t="str">
        <f>IF(AND('341-CT'!$E$9=H2463,OR(LEFT(L2463,3)=$O$7,LEFT(M2463,3)=$O$7)),"x","")</f>
        <v/>
      </c>
      <c r="P2463" s="39" t="str">
        <f>IF(AND($B2463&gt;='111'!$N$11,$B2463&lt;='111'!$O$11,OR($L2463=$P$7,$M2463=$P$7)),"x","")</f>
        <v/>
      </c>
      <c r="Q2463" s="39" t="str">
        <f>IF(AND($L2463=$P$7,$B2463&lt;'111'!$N$11),"x","")</f>
        <v/>
      </c>
      <c r="R2463" s="39" t="str">
        <f>IF(AND($M2463=$P$7,$B2463&lt;'111'!$N$11),"x","")</f>
        <v/>
      </c>
      <c r="S2463" s="39" t="str">
        <f>IF(ISERROR(FIND('112'!$M$9,G2463,1)),"",IF((AND(FIND('112'!$M$9,G2463,1)&gt;=1,$B2463&gt;='112'!$N$8,$B2463&lt;='112'!$O$8,OR($L2463='112'!$I$6,$M2463='112'!$I$6))),"x",""))</f>
        <v/>
      </c>
      <c r="T2463" s="39" t="str">
        <f>IF(ISERROR(FIND('112'!$M$9,G2463,1)),"",IF((AND(LEFT(G2463,2)=LEFT('112'!$M$9,2),B2463&lt;'112'!$N$8,$L2463='112'!$I$6)),"x",""))</f>
        <v/>
      </c>
      <c r="U2463" s="39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39" t="str">
        <f>IF(OR(TH!L2463=TH!$W$7,M2463=TH!$W$7),"x","")</f>
        <v/>
      </c>
      <c r="X2463" s="39" t="str">
        <f>IF(AND(B2463&gt;='IN-NX'!$P$3,B2463&lt;='IN-NX'!$Q$3,'IN-NX'!$D$7=D2463,OR(LEFT(L2463,2)="15",AND(LEFT(M2463,2)&lt;&gt;"15",LEFT(M2463,2)&lt;&gt;"33"))),"x","")</f>
        <v/>
      </c>
      <c r="Y2463" s="39" t="str">
        <f>IF(AND(OR(LEFT(TH!L2463,2)="15",LEFT(TH!M2463,2)="15"),'152-CT'!$J$8=TH!F2463),"x","")</f>
        <v/>
      </c>
      <c r="Z2463" s="39" t="str">
        <f>IF(AND(OR(LEFT(TH!L2463,2)="15",LEFT(TH!M2463,2)="15"),TK!$E$7=TH!F2463),"x","")</f>
        <v/>
      </c>
      <c r="AA2463" s="39" t="str">
        <f>IF(AND(B2463&lt;=NKC!$N$8,B2463&gt;=NKC!$M$8),"x","")</f>
        <v/>
      </c>
      <c r="AB2463" s="821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110"/>
        <v/>
      </c>
      <c r="C2464" s="191"/>
      <c r="D2464" s="191"/>
      <c r="E2464" s="786"/>
      <c r="F2464" s="192"/>
      <c r="G2464" s="468"/>
      <c r="H2464" s="193"/>
      <c r="I2464" s="256"/>
      <c r="J2464" s="256"/>
      <c r="K2464" s="568"/>
      <c r="L2464" s="194"/>
      <c r="M2464" s="194"/>
      <c r="N2464" s="39" t="str">
        <f>IF(AND('331-CT'!$E$7=TH!H2464,OR(L2464="331",M2464="331")),"331",IF(AND(OR(L2464="131",M2464="131"),H2464='131-CT'!$E$7),"131",""))</f>
        <v/>
      </c>
      <c r="O2464" s="902" t="str">
        <f>IF(AND('341-CT'!$E$9=H2464,OR(LEFT(L2464,3)=$O$7,LEFT(M2464,3)=$O$7)),"x","")</f>
        <v/>
      </c>
      <c r="P2464" s="39" t="str">
        <f>IF(AND($B2464&gt;='111'!$N$11,$B2464&lt;='111'!$O$11,OR($L2464=$P$7,$M2464=$P$7)),"x","")</f>
        <v/>
      </c>
      <c r="Q2464" s="39" t="str">
        <f>IF(AND($L2464=$P$7,$B2464&lt;'111'!$N$11),"x","")</f>
        <v/>
      </c>
      <c r="R2464" s="39" t="str">
        <f>IF(AND($M2464=$P$7,$B2464&lt;'111'!$N$11),"x","")</f>
        <v/>
      </c>
      <c r="S2464" s="39" t="str">
        <f>IF(ISERROR(FIND('112'!$M$9,G2464,1)),"",IF((AND(FIND('112'!$M$9,G2464,1)&gt;=1,$B2464&gt;='112'!$N$8,$B2464&lt;='112'!$O$8,OR($L2464='112'!$I$6,$M2464='112'!$I$6))),"x",""))</f>
        <v/>
      </c>
      <c r="T2464" s="39" t="str">
        <f>IF(ISERROR(FIND('112'!$M$9,G2464,1)),"",IF((AND(LEFT(G2464,2)=LEFT('112'!$M$9,2),B2464&lt;'112'!$N$8,$L2464='112'!$I$6)),"x",""))</f>
        <v/>
      </c>
      <c r="U2464" s="39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39" t="str">
        <f>IF(OR(TH!L2464=TH!$W$7,M2464=TH!$W$7),"x","")</f>
        <v/>
      </c>
      <c r="X2464" s="39" t="str">
        <f>IF(AND(B2464&gt;='IN-NX'!$P$3,B2464&lt;='IN-NX'!$Q$3,'IN-NX'!$D$7=D2464,OR(LEFT(L2464,2)="15",AND(LEFT(M2464,2)&lt;&gt;"15",LEFT(M2464,2)&lt;&gt;"33"))),"x","")</f>
        <v/>
      </c>
      <c r="Y2464" s="39" t="str">
        <f>IF(AND(OR(LEFT(TH!L2464,2)="15",LEFT(TH!M2464,2)="15"),'152-CT'!$J$8=TH!F2464),"x","")</f>
        <v/>
      </c>
      <c r="Z2464" s="39" t="str">
        <f>IF(AND(OR(LEFT(TH!L2464,2)="15",LEFT(TH!M2464,2)="15"),TK!$E$7=TH!F2464),"x","")</f>
        <v/>
      </c>
      <c r="AA2464" s="39" t="str">
        <f>IF(AND(B2464&lt;=NKC!$N$8,B2464&gt;=NKC!$M$8),"x","")</f>
        <v/>
      </c>
      <c r="AB2464" s="821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110"/>
        <v/>
      </c>
      <c r="C2465" s="191"/>
      <c r="D2465" s="191"/>
      <c r="E2465" s="786"/>
      <c r="F2465" s="192"/>
      <c r="G2465" s="468"/>
      <c r="H2465" s="193"/>
      <c r="I2465" s="256"/>
      <c r="J2465" s="256"/>
      <c r="K2465" s="568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902" t="str">
        <f>IF(AND('341-CT'!$E$9=H2465,OR(LEFT(L2465,3)=$O$7,LEFT(M2465,3)=$O$7)),"x","")</f>
        <v/>
      </c>
      <c r="P2465" s="39" t="str">
        <f>IF(AND($B2465&gt;='111'!$N$11,$B2465&lt;='111'!$O$11,OR($L2465=$P$7,$M2465=$P$7)),"x","")</f>
        <v/>
      </c>
      <c r="Q2465" s="39" t="str">
        <f>IF(AND($L2465=$P$7,$B2465&lt;'111'!$N$11),"x","")</f>
        <v/>
      </c>
      <c r="R2465" s="39" t="str">
        <f>IF(AND($M2465=$P$7,$B2465&lt;'111'!$N$11),"x","")</f>
        <v/>
      </c>
      <c r="S2465" s="39" t="str">
        <f>IF(ISERROR(FIND('112'!$M$9,G2465,1)),"",IF((AND(FIND('112'!$M$9,G2465,1)&gt;=1,$B2465&gt;='112'!$N$8,$B2465&lt;='112'!$O$8,OR($L2465='112'!$I$6,$M2465='112'!$I$6))),"x",""))</f>
        <v/>
      </c>
      <c r="T2465" s="39" t="str">
        <f>IF(ISERROR(FIND('112'!$M$9,G2465,1)),"",IF((AND(LEFT(G2465,2)=LEFT('112'!$M$9,2),B2465&lt;'112'!$N$8,$L2465='112'!$I$6)),"x",""))</f>
        <v/>
      </c>
      <c r="U2465" s="39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39" t="str">
        <f>IF(OR(TH!L2465=TH!$W$7,M2465=TH!$W$7),"x","")</f>
        <v/>
      </c>
      <c r="X2465" s="39" t="str">
        <f>IF(AND(B2465&gt;='IN-NX'!$P$3,B2465&lt;='IN-NX'!$Q$3,'IN-NX'!$D$7=D2465,OR(LEFT(L2465,2)="15",AND(LEFT(M2465,2)&lt;&gt;"15",LEFT(M2465,2)&lt;&gt;"33"))),"x","")</f>
        <v/>
      </c>
      <c r="Y2465" s="39" t="str">
        <f>IF(AND(OR(LEFT(TH!L2465,2)="15",LEFT(TH!M2465,2)="15"),'152-CT'!$J$8=TH!F2465),"x","")</f>
        <v/>
      </c>
      <c r="Z2465" s="39" t="str">
        <f>IF(AND(OR(LEFT(TH!L2465,2)="15",LEFT(TH!M2465,2)="15"),TK!$E$7=TH!F2465),"x","")</f>
        <v/>
      </c>
      <c r="AA2465" s="39" t="str">
        <f>IF(AND(B2465&lt;=NKC!$N$8,B2465&gt;=NKC!$M$8),"x","")</f>
        <v/>
      </c>
      <c r="AB2465" s="821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110"/>
        <v/>
      </c>
      <c r="C2466" s="191"/>
      <c r="D2466" s="191"/>
      <c r="E2466" s="786"/>
      <c r="F2466" s="192"/>
      <c r="G2466" s="468"/>
      <c r="H2466" s="193"/>
      <c r="I2466" s="256"/>
      <c r="J2466" s="256"/>
      <c r="K2466" s="568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902" t="str">
        <f>IF(AND('341-CT'!$E$9=H2466,OR(LEFT(L2466,3)=$O$7,LEFT(M2466,3)=$O$7)),"x","")</f>
        <v/>
      </c>
      <c r="P2466" s="39" t="str">
        <f>IF(AND($B2466&gt;='111'!$N$11,$B2466&lt;='111'!$O$11,OR($L2466=$P$7,$M2466=$P$7)),"x","")</f>
        <v/>
      </c>
      <c r="Q2466" s="39" t="str">
        <f>IF(AND($L2466=$P$7,$B2466&lt;'111'!$N$11),"x","")</f>
        <v/>
      </c>
      <c r="R2466" s="39" t="str">
        <f>IF(AND($M2466=$P$7,$B2466&lt;'111'!$N$11),"x","")</f>
        <v/>
      </c>
      <c r="S2466" s="39" t="str">
        <f>IF(ISERROR(FIND('112'!$M$9,G2466,1)),"",IF((AND(FIND('112'!$M$9,G2466,1)&gt;=1,$B2466&gt;='112'!$N$8,$B2466&lt;='112'!$O$8,OR($L2466='112'!$I$6,$M2466='112'!$I$6))),"x",""))</f>
        <v/>
      </c>
      <c r="T2466" s="39" t="str">
        <f>IF(ISERROR(FIND('112'!$M$9,G2466,1)),"",IF((AND(LEFT(G2466,2)=LEFT('112'!$M$9,2),B2466&lt;'112'!$N$8,$L2466='112'!$I$6)),"x",""))</f>
        <v/>
      </c>
      <c r="U2466" s="39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39" t="str">
        <f>IF(OR(TH!L2466=TH!$W$7,M2466=TH!$W$7),"x","")</f>
        <v/>
      </c>
      <c r="X2466" s="39" t="str">
        <f>IF(AND(B2466&gt;='IN-NX'!$P$3,B2466&lt;='IN-NX'!$Q$3,'IN-NX'!$D$7=D2466,OR(LEFT(L2466,2)="15",AND(LEFT(M2466,2)&lt;&gt;"15",LEFT(M2466,2)&lt;&gt;"33"))),"x","")</f>
        <v/>
      </c>
      <c r="Y2466" s="39" t="str">
        <f>IF(AND(OR(LEFT(TH!L2466,2)="15",LEFT(TH!M2466,2)="15"),'152-CT'!$J$8=TH!F2466),"x","")</f>
        <v/>
      </c>
      <c r="Z2466" s="39" t="str">
        <f>IF(AND(OR(LEFT(TH!L2466,2)="15",LEFT(TH!M2466,2)="15"),TK!$E$7=TH!F2466),"x","")</f>
        <v/>
      </c>
      <c r="AA2466" s="39" t="str">
        <f>IF(AND(B2466&lt;=NKC!$N$8,B2466&gt;=NKC!$M$8),"x","")</f>
        <v/>
      </c>
      <c r="AB2466" s="821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110"/>
        <v/>
      </c>
      <c r="C2467" s="191"/>
      <c r="D2467" s="191"/>
      <c r="E2467" s="786"/>
      <c r="F2467" s="192"/>
      <c r="G2467" s="468"/>
      <c r="H2467" s="193"/>
      <c r="I2467" s="256"/>
      <c r="J2467" s="256"/>
      <c r="K2467" s="568"/>
      <c r="L2467" s="194"/>
      <c r="M2467" s="194"/>
      <c r="N2467" s="39" t="str">
        <f>IF(AND('331-CT'!$E$7=TH!H2467,OR(L2467="331",M2467="331")),"331",IF(AND(OR(L2467="131",M2467="131"),H2467='131-CT'!$E$7),"131",""))</f>
        <v/>
      </c>
      <c r="O2467" s="902" t="str">
        <f>IF(AND('341-CT'!$E$9=H2467,OR(LEFT(L2467,3)=$O$7,LEFT(M2467,3)=$O$7)),"x","")</f>
        <v/>
      </c>
      <c r="P2467" s="39" t="str">
        <f>IF(AND($B2467&gt;='111'!$N$11,$B2467&lt;='111'!$O$11,OR($L2467=$P$7,$M2467=$P$7)),"x","")</f>
        <v/>
      </c>
      <c r="Q2467" s="39" t="str">
        <f>IF(AND($L2467=$P$7,$B2467&lt;'111'!$N$11),"x","")</f>
        <v/>
      </c>
      <c r="R2467" s="39" t="str">
        <f>IF(AND($M2467=$P$7,$B2467&lt;'111'!$N$11),"x","")</f>
        <v/>
      </c>
      <c r="S2467" s="39" t="str">
        <f>IF(ISERROR(FIND('112'!$M$9,G2467,1)),"",IF((AND(FIND('112'!$M$9,G2467,1)&gt;=1,$B2467&gt;='112'!$N$8,$B2467&lt;='112'!$O$8,OR($L2467='112'!$I$6,$M2467='112'!$I$6))),"x",""))</f>
        <v/>
      </c>
      <c r="T2467" s="39" t="str">
        <f>IF(ISERROR(FIND('112'!$M$9,G2467,1)),"",IF((AND(LEFT(G2467,2)=LEFT('112'!$M$9,2),B2467&lt;'112'!$N$8,$L2467='112'!$I$6)),"x",""))</f>
        <v/>
      </c>
      <c r="U2467" s="39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39" t="str">
        <f>IF(OR(TH!L2467=TH!$W$7,M2467=TH!$W$7),"x","")</f>
        <v/>
      </c>
      <c r="X2467" s="39" t="str">
        <f>IF(AND(B2467&gt;='IN-NX'!$P$3,B2467&lt;='IN-NX'!$Q$3,'IN-NX'!$D$7=D2467,OR(LEFT(L2467,2)="15",AND(LEFT(M2467,2)&lt;&gt;"15",LEFT(M2467,2)&lt;&gt;"33"))),"x","")</f>
        <v/>
      </c>
      <c r="Y2467" s="39" t="str">
        <f>IF(AND(OR(LEFT(TH!L2467,2)="15",LEFT(TH!M2467,2)="15"),'152-CT'!$J$8=TH!F2467),"x","")</f>
        <v/>
      </c>
      <c r="Z2467" s="39" t="str">
        <f>IF(AND(OR(LEFT(TH!L2467,2)="15",LEFT(TH!M2467,2)="15"),TK!$E$7=TH!F2467),"x","")</f>
        <v/>
      </c>
      <c r="AA2467" s="39" t="str">
        <f>IF(AND(B2467&lt;=NKC!$N$8,B2467&gt;=NKC!$M$8),"x","")</f>
        <v/>
      </c>
      <c r="AB2467" s="821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110"/>
        <v/>
      </c>
      <c r="C2468" s="191"/>
      <c r="D2468" s="191"/>
      <c r="E2468" s="786"/>
      <c r="F2468" s="192"/>
      <c r="G2468" s="468"/>
      <c r="H2468" s="193"/>
      <c r="I2468" s="256"/>
      <c r="J2468" s="256"/>
      <c r="K2468" s="568"/>
      <c r="L2468" s="194"/>
      <c r="M2468" s="194"/>
      <c r="N2468" s="39" t="str">
        <f>IF(AND('331-CT'!$E$7=TH!H2468,OR(L2468="331",M2468="331")),"331",IF(AND(OR(L2468="131",M2468="131"),H2468='131-CT'!$E$7),"131",""))</f>
        <v/>
      </c>
      <c r="O2468" s="902" t="str">
        <f>IF(AND('341-CT'!$E$9=H2468,OR(LEFT(L2468,3)=$O$7,LEFT(M2468,3)=$O$7)),"x","")</f>
        <v/>
      </c>
      <c r="P2468" s="39" t="str">
        <f>IF(AND($B2468&gt;='111'!$N$11,$B2468&lt;='111'!$O$11,OR($L2468=$P$7,$M2468=$P$7)),"x","")</f>
        <v/>
      </c>
      <c r="Q2468" s="39" t="str">
        <f>IF(AND($L2468=$P$7,$B2468&lt;'111'!$N$11),"x","")</f>
        <v/>
      </c>
      <c r="R2468" s="39" t="str">
        <f>IF(AND($M2468=$P$7,$B2468&lt;'111'!$N$11),"x","")</f>
        <v/>
      </c>
      <c r="S2468" s="39" t="str">
        <f>IF(ISERROR(FIND('112'!$M$9,G2468,1)),"",IF((AND(FIND('112'!$M$9,G2468,1)&gt;=1,$B2468&gt;='112'!$N$8,$B2468&lt;='112'!$O$8,OR($L2468='112'!$I$6,$M2468='112'!$I$6))),"x",""))</f>
        <v/>
      </c>
      <c r="T2468" s="39" t="str">
        <f>IF(ISERROR(FIND('112'!$M$9,G2468,1)),"",IF((AND(LEFT(G2468,2)=LEFT('112'!$M$9,2),B2468&lt;'112'!$N$8,$L2468='112'!$I$6)),"x",""))</f>
        <v/>
      </c>
      <c r="U2468" s="39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39" t="str">
        <f>IF(OR(TH!L2468=TH!$W$7,M2468=TH!$W$7),"x","")</f>
        <v/>
      </c>
      <c r="X2468" s="39" t="str">
        <f>IF(AND(B2468&gt;='IN-NX'!$P$3,B2468&lt;='IN-NX'!$Q$3,'IN-NX'!$D$7=D2468,OR(LEFT(L2468,2)="15",AND(LEFT(M2468,2)&lt;&gt;"15",LEFT(M2468,2)&lt;&gt;"33"))),"x","")</f>
        <v/>
      </c>
      <c r="Y2468" s="39" t="str">
        <f>IF(AND(OR(LEFT(TH!L2468,2)="15",LEFT(TH!M2468,2)="15"),'152-CT'!$J$8=TH!F2468),"x","")</f>
        <v/>
      </c>
      <c r="Z2468" s="39" t="str">
        <f>IF(AND(OR(LEFT(TH!L2468,2)="15",LEFT(TH!M2468,2)="15"),TK!$E$7=TH!F2468),"x","")</f>
        <v/>
      </c>
      <c r="AA2468" s="39" t="str">
        <f>IF(AND(B2468&lt;=NKC!$N$8,B2468&gt;=NKC!$M$8),"x","")</f>
        <v/>
      </c>
      <c r="AB2468" s="821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110"/>
        <v/>
      </c>
      <c r="C2469" s="191"/>
      <c r="D2469" s="191"/>
      <c r="E2469" s="786"/>
      <c r="F2469" s="192"/>
      <c r="G2469" s="468"/>
      <c r="H2469" s="193"/>
      <c r="I2469" s="256"/>
      <c r="J2469" s="256"/>
      <c r="K2469" s="568"/>
      <c r="L2469" s="194"/>
      <c r="M2469" s="194"/>
      <c r="N2469" s="39" t="str">
        <f>IF(AND('331-CT'!$E$7=TH!H2469,OR(L2469="331",M2469="331")),"331",IF(AND(OR(L2469="131",M2469="131"),H2469='131-CT'!$E$7),"131",""))</f>
        <v/>
      </c>
      <c r="O2469" s="902" t="str">
        <f>IF(AND('341-CT'!$E$9=H2469,OR(LEFT(L2469,3)=$O$7,LEFT(M2469,3)=$O$7)),"x","")</f>
        <v/>
      </c>
      <c r="P2469" s="39" t="str">
        <f>IF(AND($B2469&gt;='111'!$N$11,$B2469&lt;='111'!$O$11,OR($L2469=$P$7,$M2469=$P$7)),"x","")</f>
        <v/>
      </c>
      <c r="Q2469" s="39" t="str">
        <f>IF(AND($L2469=$P$7,$B2469&lt;'111'!$N$11),"x","")</f>
        <v/>
      </c>
      <c r="R2469" s="39" t="str">
        <f>IF(AND($M2469=$P$7,$B2469&lt;'111'!$N$11),"x","")</f>
        <v/>
      </c>
      <c r="S2469" s="39" t="str">
        <f>IF(ISERROR(FIND('112'!$M$9,G2469,1)),"",IF((AND(FIND('112'!$M$9,G2469,1)&gt;=1,$B2469&gt;='112'!$N$8,$B2469&lt;='112'!$O$8,OR($L2469='112'!$I$6,$M2469='112'!$I$6))),"x",""))</f>
        <v/>
      </c>
      <c r="T2469" s="39" t="str">
        <f>IF(ISERROR(FIND('112'!$M$9,G2469,1)),"",IF((AND(LEFT(G2469,2)=LEFT('112'!$M$9,2),B2469&lt;'112'!$N$8,$L2469='112'!$I$6)),"x",""))</f>
        <v/>
      </c>
      <c r="U2469" s="39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39" t="str">
        <f>IF(OR(TH!L2469=TH!$W$7,M2469=TH!$W$7),"x","")</f>
        <v/>
      </c>
      <c r="X2469" s="39" t="str">
        <f>IF(AND(B2469&gt;='IN-NX'!$P$3,B2469&lt;='IN-NX'!$Q$3,'IN-NX'!$D$7=D2469,OR(LEFT(L2469,2)="15",AND(LEFT(M2469,2)&lt;&gt;"15",LEFT(M2469,2)&lt;&gt;"33"))),"x","")</f>
        <v/>
      </c>
      <c r="Y2469" s="39" t="str">
        <f>IF(AND(OR(LEFT(TH!L2469,2)="15",LEFT(TH!M2469,2)="15"),'152-CT'!$J$8=TH!F2469),"x","")</f>
        <v/>
      </c>
      <c r="Z2469" s="39" t="str">
        <f>IF(AND(OR(LEFT(TH!L2469,2)="15",LEFT(TH!M2469,2)="15"),TK!$E$7=TH!F2469),"x","")</f>
        <v/>
      </c>
      <c r="AA2469" s="39" t="str">
        <f>IF(AND(B2469&lt;=NKC!$N$8,B2469&gt;=NKC!$M$8),"x","")</f>
        <v/>
      </c>
      <c r="AB2469" s="821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110"/>
        <v/>
      </c>
      <c r="C2470" s="191"/>
      <c r="D2470" s="191"/>
      <c r="E2470" s="786"/>
      <c r="F2470" s="192"/>
      <c r="G2470" s="468"/>
      <c r="H2470" s="193"/>
      <c r="I2470" s="256"/>
      <c r="J2470" s="256"/>
      <c r="K2470" s="568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902" t="str">
        <f>IF(AND('341-CT'!$E$9=H2470,OR(LEFT(L2470,3)=$O$7,LEFT(M2470,3)=$O$7)),"x","")</f>
        <v/>
      </c>
      <c r="P2470" s="39" t="str">
        <f>IF(AND($B2470&gt;='111'!$N$11,$B2470&lt;='111'!$O$11,OR($L2470=$P$7,$M2470=$P$7)),"x","")</f>
        <v/>
      </c>
      <c r="Q2470" s="39" t="str">
        <f>IF(AND($L2470=$P$7,$B2470&lt;'111'!$N$11),"x","")</f>
        <v/>
      </c>
      <c r="R2470" s="39" t="str">
        <f>IF(AND($M2470=$P$7,$B2470&lt;'111'!$N$11),"x","")</f>
        <v/>
      </c>
      <c r="S2470" s="39" t="str">
        <f>IF(ISERROR(FIND('112'!$M$9,G2470,1)),"",IF((AND(FIND('112'!$M$9,G2470,1)&gt;=1,$B2470&gt;='112'!$N$8,$B2470&lt;='112'!$O$8,OR($L2470='112'!$I$6,$M2470='112'!$I$6))),"x",""))</f>
        <v/>
      </c>
      <c r="T2470" s="39" t="str">
        <f>IF(ISERROR(FIND('112'!$M$9,G2470,1)),"",IF((AND(LEFT(G2470,2)=LEFT('112'!$M$9,2),B2470&lt;'112'!$N$8,$L2470='112'!$I$6)),"x",""))</f>
        <v/>
      </c>
      <c r="U2470" s="39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39" t="str">
        <f>IF(OR(TH!L2470=TH!$W$7,M2470=TH!$W$7),"x","")</f>
        <v/>
      </c>
      <c r="X2470" s="39" t="str">
        <f>IF(AND(B2470&gt;='IN-NX'!$P$3,B2470&lt;='IN-NX'!$Q$3,'IN-NX'!$D$7=D2470,OR(LEFT(L2470,2)="15",AND(LEFT(M2470,2)&lt;&gt;"15",LEFT(M2470,2)&lt;&gt;"33"))),"x","")</f>
        <v/>
      </c>
      <c r="Y2470" s="39" t="str">
        <f>IF(AND(OR(LEFT(TH!L2470,2)="15",LEFT(TH!M2470,2)="15"),'152-CT'!$J$8=TH!F2470),"x","")</f>
        <v/>
      </c>
      <c r="Z2470" s="39" t="str">
        <f>IF(AND(OR(LEFT(TH!L2470,2)="15",LEFT(TH!M2470,2)="15"),TK!$E$7=TH!F2470),"x","")</f>
        <v/>
      </c>
      <c r="AA2470" s="39" t="str">
        <f>IF(AND(B2470&lt;=NKC!$N$8,B2470&gt;=NKC!$M$8),"x","")</f>
        <v/>
      </c>
      <c r="AB2470" s="821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110"/>
        <v/>
      </c>
      <c r="C2471" s="191"/>
      <c r="D2471" s="191"/>
      <c r="E2471" s="786"/>
      <c r="F2471" s="192"/>
      <c r="G2471" s="468"/>
      <c r="H2471" s="193"/>
      <c r="I2471" s="256"/>
      <c r="J2471" s="256"/>
      <c r="K2471" s="568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902" t="str">
        <f>IF(AND('341-CT'!$E$9=H2471,OR(LEFT(L2471,3)=$O$7,LEFT(M2471,3)=$O$7)),"x","")</f>
        <v/>
      </c>
      <c r="P2471" s="39" t="str">
        <f>IF(AND($B2471&gt;='111'!$N$11,$B2471&lt;='111'!$O$11,OR($L2471=$P$7,$M2471=$P$7)),"x","")</f>
        <v/>
      </c>
      <c r="Q2471" s="39" t="str">
        <f>IF(AND($L2471=$P$7,$B2471&lt;'111'!$N$11),"x","")</f>
        <v/>
      </c>
      <c r="R2471" s="39" t="str">
        <f>IF(AND($M2471=$P$7,$B2471&lt;'111'!$N$11),"x","")</f>
        <v/>
      </c>
      <c r="S2471" s="39" t="str">
        <f>IF(ISERROR(FIND('112'!$M$9,G2471,1)),"",IF((AND(FIND('112'!$M$9,G2471,1)&gt;=1,$B2471&gt;='112'!$N$8,$B2471&lt;='112'!$O$8,OR($L2471='112'!$I$6,$M2471='112'!$I$6))),"x",""))</f>
        <v/>
      </c>
      <c r="T2471" s="39" t="str">
        <f>IF(ISERROR(FIND('112'!$M$9,G2471,1)),"",IF((AND(LEFT(G2471,2)=LEFT('112'!$M$9,2),B2471&lt;'112'!$N$8,$L2471='112'!$I$6)),"x",""))</f>
        <v/>
      </c>
      <c r="U2471" s="39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39" t="str">
        <f>IF(OR(TH!L2471=TH!$W$7,M2471=TH!$W$7),"x","")</f>
        <v/>
      </c>
      <c r="X2471" s="39" t="str">
        <f>IF(AND(B2471&gt;='IN-NX'!$P$3,B2471&lt;='IN-NX'!$Q$3,'IN-NX'!$D$7=D2471,OR(LEFT(L2471,2)="15",AND(LEFT(M2471,2)&lt;&gt;"15",LEFT(M2471,2)&lt;&gt;"33"))),"x","")</f>
        <v/>
      </c>
      <c r="Y2471" s="39" t="str">
        <f>IF(AND(OR(LEFT(TH!L2471,2)="15",LEFT(TH!M2471,2)="15"),'152-CT'!$J$8=TH!F2471),"x","")</f>
        <v/>
      </c>
      <c r="Z2471" s="39" t="str">
        <f>IF(AND(OR(LEFT(TH!L2471,2)="15",LEFT(TH!M2471,2)="15"),TK!$E$7=TH!F2471),"x","")</f>
        <v/>
      </c>
      <c r="AA2471" s="39" t="str">
        <f>IF(AND(B2471&lt;=NKC!$N$8,B2471&gt;=NKC!$M$8),"x","")</f>
        <v/>
      </c>
      <c r="AB2471" s="821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110"/>
        <v/>
      </c>
      <c r="C2472" s="191"/>
      <c r="D2472" s="191"/>
      <c r="E2472" s="786"/>
      <c r="F2472" s="192"/>
      <c r="G2472" s="468"/>
      <c r="H2472" s="193"/>
      <c r="I2472" s="256"/>
      <c r="J2472" s="256"/>
      <c r="K2472" s="568"/>
      <c r="L2472" s="194"/>
      <c r="M2472" s="194"/>
      <c r="N2472" s="39" t="str">
        <f>IF(AND('331-CT'!$E$7=TH!H2472,OR(L2472="331",M2472="331")),"331",IF(AND(OR(L2472="131",M2472="131"),H2472='131-CT'!$E$7),"131",""))</f>
        <v/>
      </c>
      <c r="O2472" s="902" t="str">
        <f>IF(AND('341-CT'!$E$9=H2472,OR(LEFT(L2472,3)=$O$7,LEFT(M2472,3)=$O$7)),"x","")</f>
        <v/>
      </c>
      <c r="P2472" s="39" t="str">
        <f>IF(AND($B2472&gt;='111'!$N$11,$B2472&lt;='111'!$O$11,OR($L2472=$P$7,$M2472=$P$7)),"x","")</f>
        <v/>
      </c>
      <c r="Q2472" s="39" t="str">
        <f>IF(AND($L2472=$P$7,$B2472&lt;'111'!$N$11),"x","")</f>
        <v/>
      </c>
      <c r="R2472" s="39" t="str">
        <f>IF(AND($M2472=$P$7,$B2472&lt;'111'!$N$11),"x","")</f>
        <v/>
      </c>
      <c r="S2472" s="39" t="str">
        <f>IF(ISERROR(FIND('112'!$M$9,G2472,1)),"",IF((AND(FIND('112'!$M$9,G2472,1)&gt;=1,$B2472&gt;='112'!$N$8,$B2472&lt;='112'!$O$8,OR($L2472='112'!$I$6,$M2472='112'!$I$6))),"x",""))</f>
        <v/>
      </c>
      <c r="T2472" s="39" t="str">
        <f>IF(ISERROR(FIND('112'!$M$9,G2472,1)),"",IF((AND(LEFT(G2472,2)=LEFT('112'!$M$9,2),B2472&lt;'112'!$N$8,$L2472='112'!$I$6)),"x",""))</f>
        <v/>
      </c>
      <c r="U2472" s="39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39" t="str">
        <f>IF(OR(TH!L2472=TH!$W$7,M2472=TH!$W$7),"x","")</f>
        <v/>
      </c>
      <c r="X2472" s="39" t="str">
        <f>IF(AND(B2472&gt;='IN-NX'!$P$3,B2472&lt;='IN-NX'!$Q$3,'IN-NX'!$D$7=D2472,OR(LEFT(L2472,2)="15",AND(LEFT(M2472,2)&lt;&gt;"15",LEFT(M2472,2)&lt;&gt;"33"))),"x","")</f>
        <v/>
      </c>
      <c r="Y2472" s="39" t="str">
        <f>IF(AND(OR(LEFT(TH!L2472,2)="15",LEFT(TH!M2472,2)="15"),'152-CT'!$J$8=TH!F2472),"x","")</f>
        <v/>
      </c>
      <c r="Z2472" s="39" t="str">
        <f>IF(AND(OR(LEFT(TH!L2472,2)="15",LEFT(TH!M2472,2)="15"),TK!$E$7=TH!F2472),"x","")</f>
        <v/>
      </c>
      <c r="AA2472" s="39" t="str">
        <f>IF(AND(B2472&lt;=NKC!$N$8,B2472&gt;=NKC!$M$8),"x","")</f>
        <v/>
      </c>
      <c r="AB2472" s="821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110"/>
        <v/>
      </c>
      <c r="C2473" s="191"/>
      <c r="D2473" s="191"/>
      <c r="E2473" s="786"/>
      <c r="F2473" s="192"/>
      <c r="G2473" s="468"/>
      <c r="H2473" s="193"/>
      <c r="I2473" s="256"/>
      <c r="J2473" s="256"/>
      <c r="K2473" s="568"/>
      <c r="L2473" s="194"/>
      <c r="M2473" s="194"/>
      <c r="N2473" s="39" t="str">
        <f>IF(AND('331-CT'!$E$7=TH!H2473,OR(L2473="331",M2473="331")),"331",IF(AND(OR(L2473="131",M2473="131"),H2473='131-CT'!$E$7),"131",""))</f>
        <v/>
      </c>
      <c r="O2473" s="902" t="str">
        <f>IF(AND('341-CT'!$E$9=H2473,OR(LEFT(L2473,3)=$O$7,LEFT(M2473,3)=$O$7)),"x","")</f>
        <v/>
      </c>
      <c r="P2473" s="39" t="str">
        <f>IF(AND($B2473&gt;='111'!$N$11,$B2473&lt;='111'!$O$11,OR($L2473=$P$7,$M2473=$P$7)),"x","")</f>
        <v/>
      </c>
      <c r="Q2473" s="39" t="str">
        <f>IF(AND($L2473=$P$7,$B2473&lt;'111'!$N$11),"x","")</f>
        <v/>
      </c>
      <c r="R2473" s="39" t="str">
        <f>IF(AND($M2473=$P$7,$B2473&lt;'111'!$N$11),"x","")</f>
        <v/>
      </c>
      <c r="S2473" s="39" t="str">
        <f>IF(ISERROR(FIND('112'!$M$9,G2473,1)),"",IF((AND(FIND('112'!$M$9,G2473,1)&gt;=1,$B2473&gt;='112'!$N$8,$B2473&lt;='112'!$O$8,OR($L2473='112'!$I$6,$M2473='112'!$I$6))),"x",""))</f>
        <v/>
      </c>
      <c r="T2473" s="39" t="str">
        <f>IF(ISERROR(FIND('112'!$M$9,G2473,1)),"",IF((AND(LEFT(G2473,2)=LEFT('112'!$M$9,2),B2473&lt;'112'!$N$8,$L2473='112'!$I$6)),"x",""))</f>
        <v/>
      </c>
      <c r="U2473" s="39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39" t="str">
        <f>IF(OR(TH!L2473=TH!$W$7,M2473=TH!$W$7),"x","")</f>
        <v/>
      </c>
      <c r="X2473" s="39" t="str">
        <f>IF(AND(B2473&gt;='IN-NX'!$P$3,B2473&lt;='IN-NX'!$Q$3,'IN-NX'!$D$7=D2473,OR(LEFT(L2473,2)="15",AND(LEFT(M2473,2)&lt;&gt;"15",LEFT(M2473,2)&lt;&gt;"33"))),"x","")</f>
        <v/>
      </c>
      <c r="Y2473" s="39" t="str">
        <f>IF(AND(OR(LEFT(TH!L2473,2)="15",LEFT(TH!M2473,2)="15"),'152-CT'!$J$8=TH!F2473),"x","")</f>
        <v/>
      </c>
      <c r="Z2473" s="39" t="str">
        <f>IF(AND(OR(LEFT(TH!L2473,2)="15",LEFT(TH!M2473,2)="15"),TK!$E$7=TH!F2473),"x","")</f>
        <v/>
      </c>
      <c r="AA2473" s="39" t="str">
        <f>IF(AND(B2473&lt;=NKC!$N$8,B2473&gt;=NKC!$M$8),"x","")</f>
        <v/>
      </c>
      <c r="AB2473" s="821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110"/>
        <v/>
      </c>
      <c r="C2474" s="191"/>
      <c r="D2474" s="191"/>
      <c r="E2474" s="786"/>
      <c r="F2474" s="192"/>
      <c r="G2474" s="468"/>
      <c r="H2474" s="193"/>
      <c r="I2474" s="256"/>
      <c r="J2474" s="256"/>
      <c r="K2474" s="568"/>
      <c r="L2474" s="194"/>
      <c r="M2474" s="194"/>
      <c r="N2474" s="39" t="str">
        <f>IF(AND('331-CT'!$E$7=TH!H2474,OR(L2474="331",M2474="331")),"331",IF(AND(OR(L2474="131",M2474="131"),H2474='131-CT'!$E$7),"131",""))</f>
        <v/>
      </c>
      <c r="O2474" s="902" t="str">
        <f>IF(AND('341-CT'!$E$9=H2474,OR(LEFT(L2474,3)=$O$7,LEFT(M2474,3)=$O$7)),"x","")</f>
        <v/>
      </c>
      <c r="P2474" s="39" t="str">
        <f>IF(AND($B2474&gt;='111'!$N$11,$B2474&lt;='111'!$O$11,OR($L2474=$P$7,$M2474=$P$7)),"x","")</f>
        <v/>
      </c>
      <c r="Q2474" s="39" t="str">
        <f>IF(AND($L2474=$P$7,$B2474&lt;'111'!$N$11),"x","")</f>
        <v/>
      </c>
      <c r="R2474" s="39" t="str">
        <f>IF(AND($M2474=$P$7,$B2474&lt;'111'!$N$11),"x","")</f>
        <v/>
      </c>
      <c r="S2474" s="39" t="str">
        <f>IF(ISERROR(FIND('112'!$M$9,G2474,1)),"",IF((AND(FIND('112'!$M$9,G2474,1)&gt;=1,$B2474&gt;='112'!$N$8,$B2474&lt;='112'!$O$8,OR($L2474='112'!$I$6,$M2474='112'!$I$6))),"x",""))</f>
        <v/>
      </c>
      <c r="T2474" s="39" t="str">
        <f>IF(ISERROR(FIND('112'!$M$9,G2474,1)),"",IF((AND(LEFT(G2474,2)=LEFT('112'!$M$9,2),B2474&lt;'112'!$N$8,$L2474='112'!$I$6)),"x",""))</f>
        <v/>
      </c>
      <c r="U2474" s="39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39" t="str">
        <f>IF(OR(TH!L2474=TH!$W$7,M2474=TH!$W$7),"x","")</f>
        <v/>
      </c>
      <c r="X2474" s="39" t="str">
        <f>IF(AND(B2474&gt;='IN-NX'!$P$3,B2474&lt;='IN-NX'!$Q$3,'IN-NX'!$D$7=D2474,OR(LEFT(L2474,2)="15",AND(LEFT(M2474,2)&lt;&gt;"15",LEFT(M2474,2)&lt;&gt;"33"))),"x","")</f>
        <v/>
      </c>
      <c r="Y2474" s="39" t="str">
        <f>IF(AND(OR(LEFT(TH!L2474,2)="15",LEFT(TH!M2474,2)="15"),'152-CT'!$J$8=TH!F2474),"x","")</f>
        <v/>
      </c>
      <c r="Z2474" s="39" t="str">
        <f>IF(AND(OR(LEFT(TH!L2474,2)="15",LEFT(TH!M2474,2)="15"),TK!$E$7=TH!F2474),"x","")</f>
        <v/>
      </c>
      <c r="AA2474" s="39" t="str">
        <f>IF(AND(B2474&lt;=NKC!$N$8,B2474&gt;=NKC!$M$8),"x","")</f>
        <v/>
      </c>
      <c r="AB2474" s="821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110"/>
        <v/>
      </c>
      <c r="C2475" s="191"/>
      <c r="D2475" s="191"/>
      <c r="E2475" s="786"/>
      <c r="F2475" s="192"/>
      <c r="G2475" s="468"/>
      <c r="H2475" s="193"/>
      <c r="I2475" s="256"/>
      <c r="J2475" s="256"/>
      <c r="K2475" s="568"/>
      <c r="L2475" s="194"/>
      <c r="M2475" s="194"/>
      <c r="N2475" s="39" t="str">
        <f>IF(AND('331-CT'!$E$7=TH!H2475,OR(L2475="331",M2475="331")),"331",IF(AND(OR(L2475="131",M2475="131"),H2475='131-CT'!$E$7),"131",""))</f>
        <v/>
      </c>
      <c r="O2475" s="902" t="str">
        <f>IF(AND('341-CT'!$E$9=H2475,OR(LEFT(L2475,3)=$O$7,LEFT(M2475,3)=$O$7)),"x","")</f>
        <v/>
      </c>
      <c r="P2475" s="39" t="str">
        <f>IF(AND($B2475&gt;='111'!$N$11,$B2475&lt;='111'!$O$11,OR($L2475=$P$7,$M2475=$P$7)),"x","")</f>
        <v/>
      </c>
      <c r="Q2475" s="39" t="str">
        <f>IF(AND($L2475=$P$7,$B2475&lt;'111'!$N$11),"x","")</f>
        <v/>
      </c>
      <c r="R2475" s="39" t="str">
        <f>IF(AND($M2475=$P$7,$B2475&lt;'111'!$N$11),"x","")</f>
        <v/>
      </c>
      <c r="S2475" s="39" t="str">
        <f>IF(ISERROR(FIND('112'!$M$9,G2475,1)),"",IF((AND(FIND('112'!$M$9,G2475,1)&gt;=1,$B2475&gt;='112'!$N$8,$B2475&lt;='112'!$O$8,OR($L2475='112'!$I$6,$M2475='112'!$I$6))),"x",""))</f>
        <v/>
      </c>
      <c r="T2475" s="39" t="str">
        <f>IF(ISERROR(FIND('112'!$M$9,G2475,1)),"",IF((AND(LEFT(G2475,2)=LEFT('112'!$M$9,2),B2475&lt;'112'!$N$8,$L2475='112'!$I$6)),"x",""))</f>
        <v/>
      </c>
      <c r="U2475" s="39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39" t="str">
        <f>IF(OR(TH!L2475=TH!$W$7,M2475=TH!$W$7),"x","")</f>
        <v/>
      </c>
      <c r="X2475" s="39" t="str">
        <f>IF(AND(B2475&gt;='IN-NX'!$P$3,B2475&lt;='IN-NX'!$Q$3,'IN-NX'!$D$7=D2475,OR(LEFT(L2475,2)="15",AND(LEFT(M2475,2)&lt;&gt;"15",LEFT(M2475,2)&lt;&gt;"33"))),"x","")</f>
        <v/>
      </c>
      <c r="Y2475" s="39" t="str">
        <f>IF(AND(OR(LEFT(TH!L2475,2)="15",LEFT(TH!M2475,2)="15"),'152-CT'!$J$8=TH!F2475),"x","")</f>
        <v/>
      </c>
      <c r="Z2475" s="39" t="str">
        <f>IF(AND(OR(LEFT(TH!L2475,2)="15",LEFT(TH!M2475,2)="15"),TK!$E$7=TH!F2475),"x","")</f>
        <v/>
      </c>
      <c r="AA2475" s="39" t="str">
        <f>IF(AND(B2475&lt;=NKC!$N$8,B2475&gt;=NKC!$M$8),"x","")</f>
        <v/>
      </c>
      <c r="AB2475" s="821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110"/>
        <v/>
      </c>
      <c r="C2476" s="191"/>
      <c r="D2476" s="191"/>
      <c r="E2476" s="786"/>
      <c r="F2476" s="192"/>
      <c r="G2476" s="468"/>
      <c r="H2476" s="193"/>
      <c r="I2476" s="256"/>
      <c r="J2476" s="256"/>
      <c r="K2476" s="568"/>
      <c r="L2476" s="194"/>
      <c r="M2476" s="194"/>
      <c r="N2476" s="39" t="str">
        <f>IF(AND('331-CT'!$E$7=TH!H2476,OR(L2476="331",M2476="331")),"331",IF(AND(OR(L2476="131",M2476="131"),H2476='131-CT'!$E$7),"131",""))</f>
        <v/>
      </c>
      <c r="O2476" s="902" t="str">
        <f>IF(AND('341-CT'!$E$9=H2476,OR(LEFT(L2476,3)=$O$7,LEFT(M2476,3)=$O$7)),"x","")</f>
        <v/>
      </c>
      <c r="P2476" s="39" t="str">
        <f>IF(AND($B2476&gt;='111'!$N$11,$B2476&lt;='111'!$O$11,OR($L2476=$P$7,$M2476=$P$7)),"x","")</f>
        <v/>
      </c>
      <c r="Q2476" s="39" t="str">
        <f>IF(AND($L2476=$P$7,$B2476&lt;'111'!$N$11),"x","")</f>
        <v/>
      </c>
      <c r="R2476" s="39" t="str">
        <f>IF(AND($M2476=$P$7,$B2476&lt;'111'!$N$11),"x","")</f>
        <v/>
      </c>
      <c r="S2476" s="39" t="str">
        <f>IF(ISERROR(FIND('112'!$M$9,G2476,1)),"",IF((AND(FIND('112'!$M$9,G2476,1)&gt;=1,$B2476&gt;='112'!$N$8,$B2476&lt;='112'!$O$8,OR($L2476='112'!$I$6,$M2476='112'!$I$6))),"x",""))</f>
        <v/>
      </c>
      <c r="T2476" s="39" t="str">
        <f>IF(ISERROR(FIND('112'!$M$9,G2476,1)),"",IF((AND(LEFT(G2476,2)=LEFT('112'!$M$9,2),B2476&lt;'112'!$N$8,$L2476='112'!$I$6)),"x",""))</f>
        <v/>
      </c>
      <c r="U2476" s="39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39" t="str">
        <f>IF(OR(TH!L2476=TH!$W$7,M2476=TH!$W$7),"x","")</f>
        <v/>
      </c>
      <c r="X2476" s="39" t="str">
        <f>IF(AND(B2476&gt;='IN-NX'!$P$3,B2476&lt;='IN-NX'!$Q$3,'IN-NX'!$D$7=D2476,OR(LEFT(L2476,2)="15",AND(LEFT(M2476,2)&lt;&gt;"15",LEFT(M2476,2)&lt;&gt;"33"))),"x","")</f>
        <v/>
      </c>
      <c r="Y2476" s="39" t="str">
        <f>IF(AND(OR(LEFT(TH!L2476,2)="15",LEFT(TH!M2476,2)="15"),'152-CT'!$J$8=TH!F2476),"x","")</f>
        <v/>
      </c>
      <c r="Z2476" s="39" t="str">
        <f>IF(AND(OR(LEFT(TH!L2476,2)="15",LEFT(TH!M2476,2)="15"),TK!$E$7=TH!F2476),"x","")</f>
        <v/>
      </c>
      <c r="AA2476" s="39" t="str">
        <f>IF(AND(B2476&lt;=NKC!$N$8,B2476&gt;=NKC!$M$8),"x","")</f>
        <v/>
      </c>
      <c r="AB2476" s="821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110"/>
        <v/>
      </c>
      <c r="C2477" s="191"/>
      <c r="D2477" s="191"/>
      <c r="E2477" s="786"/>
      <c r="F2477" s="192"/>
      <c r="G2477" s="468"/>
      <c r="H2477" s="193"/>
      <c r="I2477" s="256"/>
      <c r="J2477" s="256"/>
      <c r="K2477" s="568"/>
      <c r="L2477" s="194"/>
      <c r="M2477" s="194"/>
      <c r="N2477" s="39" t="str">
        <f>IF(AND('331-CT'!$E$7=TH!H2477,OR(L2477="331",M2477="331")),"331",IF(AND(OR(L2477="131",M2477="131"),H2477='131-CT'!$E$7),"131",""))</f>
        <v/>
      </c>
      <c r="O2477" s="902" t="str">
        <f>IF(AND('341-CT'!$E$9=H2477,OR(LEFT(L2477,3)=$O$7,LEFT(M2477,3)=$O$7)),"x","")</f>
        <v/>
      </c>
      <c r="P2477" s="39" t="str">
        <f>IF(AND($B2477&gt;='111'!$N$11,$B2477&lt;='111'!$O$11,OR($L2477=$P$7,$M2477=$P$7)),"x","")</f>
        <v/>
      </c>
      <c r="Q2477" s="39" t="str">
        <f>IF(AND($L2477=$P$7,$B2477&lt;'111'!$N$11),"x","")</f>
        <v/>
      </c>
      <c r="R2477" s="39" t="str">
        <f>IF(AND($M2477=$P$7,$B2477&lt;'111'!$N$11),"x","")</f>
        <v/>
      </c>
      <c r="S2477" s="39" t="str">
        <f>IF(ISERROR(FIND('112'!$M$9,G2477,1)),"",IF((AND(FIND('112'!$M$9,G2477,1)&gt;=1,$B2477&gt;='112'!$N$8,$B2477&lt;='112'!$O$8,OR($L2477='112'!$I$6,$M2477='112'!$I$6))),"x",""))</f>
        <v/>
      </c>
      <c r="T2477" s="39" t="str">
        <f>IF(ISERROR(FIND('112'!$M$9,G2477,1)),"",IF((AND(LEFT(G2477,2)=LEFT('112'!$M$9,2),B2477&lt;'112'!$N$8,$L2477='112'!$I$6)),"x",""))</f>
        <v/>
      </c>
      <c r="U2477" s="39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39" t="str">
        <f>IF(OR(TH!L2477=TH!$W$7,M2477=TH!$W$7),"x","")</f>
        <v/>
      </c>
      <c r="X2477" s="39" t="str">
        <f>IF(AND(B2477&gt;='IN-NX'!$P$3,B2477&lt;='IN-NX'!$Q$3,'IN-NX'!$D$7=D2477,OR(LEFT(L2477,2)="15",AND(LEFT(M2477,2)&lt;&gt;"15",LEFT(M2477,2)&lt;&gt;"33"))),"x","")</f>
        <v/>
      </c>
      <c r="Y2477" s="39" t="str">
        <f>IF(AND(OR(LEFT(TH!L2477,2)="15",LEFT(TH!M2477,2)="15"),'152-CT'!$J$8=TH!F2477),"x","")</f>
        <v/>
      </c>
      <c r="Z2477" s="39" t="str">
        <f>IF(AND(OR(LEFT(TH!L2477,2)="15",LEFT(TH!M2477,2)="15"),TK!$E$7=TH!F2477),"x","")</f>
        <v/>
      </c>
      <c r="AA2477" s="39" t="str">
        <f>IF(AND(B2477&lt;=NKC!$N$8,B2477&gt;=NKC!$M$8),"x","")</f>
        <v/>
      </c>
      <c r="AB2477" s="821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110"/>
        <v/>
      </c>
      <c r="C2478" s="191"/>
      <c r="D2478" s="191"/>
      <c r="E2478" s="786"/>
      <c r="F2478" s="192"/>
      <c r="G2478" s="468"/>
      <c r="H2478" s="193"/>
      <c r="I2478" s="256"/>
      <c r="J2478" s="256"/>
      <c r="K2478" s="568"/>
      <c r="L2478" s="194"/>
      <c r="M2478" s="194"/>
      <c r="N2478" s="39" t="str">
        <f>IF(AND('331-CT'!$E$7=TH!H2478,OR(L2478="331",M2478="331")),"331",IF(AND(OR(L2478="131",M2478="131"),H2478='131-CT'!$E$7),"131",""))</f>
        <v/>
      </c>
      <c r="O2478" s="902" t="str">
        <f>IF(AND('341-CT'!$E$9=H2478,OR(LEFT(L2478,3)=$O$7,LEFT(M2478,3)=$O$7)),"x","")</f>
        <v/>
      </c>
      <c r="P2478" s="39" t="str">
        <f>IF(AND($B2478&gt;='111'!$N$11,$B2478&lt;='111'!$O$11,OR($L2478=$P$7,$M2478=$P$7)),"x","")</f>
        <v/>
      </c>
      <c r="Q2478" s="39" t="str">
        <f>IF(AND($L2478=$P$7,$B2478&lt;'111'!$N$11),"x","")</f>
        <v/>
      </c>
      <c r="R2478" s="39" t="str">
        <f>IF(AND($M2478=$P$7,$B2478&lt;'111'!$N$11),"x","")</f>
        <v/>
      </c>
      <c r="S2478" s="39" t="str">
        <f>IF(ISERROR(FIND('112'!$M$9,G2478,1)),"",IF((AND(FIND('112'!$M$9,G2478,1)&gt;=1,$B2478&gt;='112'!$N$8,$B2478&lt;='112'!$O$8,OR($L2478='112'!$I$6,$M2478='112'!$I$6))),"x",""))</f>
        <v/>
      </c>
      <c r="T2478" s="39" t="str">
        <f>IF(ISERROR(FIND('112'!$M$9,G2478,1)),"",IF((AND(LEFT(G2478,2)=LEFT('112'!$M$9,2),B2478&lt;'112'!$N$8,$L2478='112'!$I$6)),"x",""))</f>
        <v/>
      </c>
      <c r="U2478" s="39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39" t="str">
        <f>IF(OR(TH!L2478=TH!$W$7,M2478=TH!$W$7),"x","")</f>
        <v/>
      </c>
      <c r="X2478" s="39" t="str">
        <f>IF(AND(B2478&gt;='IN-NX'!$P$3,B2478&lt;='IN-NX'!$Q$3,'IN-NX'!$D$7=D2478,OR(LEFT(L2478,2)="15",AND(LEFT(M2478,2)&lt;&gt;"15",LEFT(M2478,2)&lt;&gt;"33"))),"x","")</f>
        <v/>
      </c>
      <c r="Y2478" s="39" t="str">
        <f>IF(AND(OR(LEFT(TH!L2478,2)="15",LEFT(TH!M2478,2)="15"),'152-CT'!$J$8=TH!F2478),"x","")</f>
        <v/>
      </c>
      <c r="Z2478" s="39" t="str">
        <f>IF(AND(OR(LEFT(TH!L2478,2)="15",LEFT(TH!M2478,2)="15"),TK!$E$7=TH!F2478),"x","")</f>
        <v/>
      </c>
      <c r="AA2478" s="39" t="str">
        <f>IF(AND(B2478&lt;=NKC!$N$8,B2478&gt;=NKC!$M$8),"x","")</f>
        <v/>
      </c>
      <c r="AB2478" s="821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110"/>
        <v/>
      </c>
      <c r="C2479" s="191"/>
      <c r="D2479" s="191"/>
      <c r="E2479" s="786"/>
      <c r="F2479" s="192"/>
      <c r="G2479" s="468"/>
      <c r="H2479" s="193"/>
      <c r="I2479" s="256"/>
      <c r="J2479" s="256"/>
      <c r="K2479" s="568"/>
      <c r="L2479" s="194"/>
      <c r="M2479" s="194"/>
      <c r="N2479" s="39" t="str">
        <f>IF(AND('331-CT'!$E$7=TH!H2479,OR(L2479="331",M2479="331")),"331",IF(AND(OR(L2479="131",M2479="131"),H2479='131-CT'!$E$7),"131",""))</f>
        <v/>
      </c>
      <c r="O2479" s="902" t="str">
        <f>IF(AND('341-CT'!$E$9=H2479,OR(LEFT(L2479,3)=$O$7,LEFT(M2479,3)=$O$7)),"x","")</f>
        <v/>
      </c>
      <c r="P2479" s="39" t="str">
        <f>IF(AND($B2479&gt;='111'!$N$11,$B2479&lt;='111'!$O$11,OR($L2479=$P$7,$M2479=$P$7)),"x","")</f>
        <v/>
      </c>
      <c r="Q2479" s="39" t="str">
        <f>IF(AND($L2479=$P$7,$B2479&lt;'111'!$N$11),"x","")</f>
        <v/>
      </c>
      <c r="R2479" s="39" t="str">
        <f>IF(AND($M2479=$P$7,$B2479&lt;'111'!$N$11),"x","")</f>
        <v/>
      </c>
      <c r="S2479" s="39" t="str">
        <f>IF(ISERROR(FIND('112'!$M$9,G2479,1)),"",IF((AND(FIND('112'!$M$9,G2479,1)&gt;=1,$B2479&gt;='112'!$N$8,$B2479&lt;='112'!$O$8,OR($L2479='112'!$I$6,$M2479='112'!$I$6))),"x",""))</f>
        <v/>
      </c>
      <c r="T2479" s="39" t="str">
        <f>IF(ISERROR(FIND('112'!$M$9,G2479,1)),"",IF((AND(LEFT(G2479,2)=LEFT('112'!$M$9,2),B2479&lt;'112'!$N$8,$L2479='112'!$I$6)),"x",""))</f>
        <v/>
      </c>
      <c r="U2479" s="39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39" t="str">
        <f>IF(OR(TH!L2479=TH!$W$7,M2479=TH!$W$7),"x","")</f>
        <v/>
      </c>
      <c r="X2479" s="39" t="str">
        <f>IF(AND(B2479&gt;='IN-NX'!$P$3,B2479&lt;='IN-NX'!$Q$3,'IN-NX'!$D$7=D2479,OR(LEFT(L2479,2)="15",AND(LEFT(M2479,2)&lt;&gt;"15",LEFT(M2479,2)&lt;&gt;"33"))),"x","")</f>
        <v/>
      </c>
      <c r="Y2479" s="39" t="str">
        <f>IF(AND(OR(LEFT(TH!L2479,2)="15",LEFT(TH!M2479,2)="15"),'152-CT'!$J$8=TH!F2479),"x","")</f>
        <v/>
      </c>
      <c r="Z2479" s="39" t="str">
        <f>IF(AND(OR(LEFT(TH!L2479,2)="15",LEFT(TH!M2479,2)="15"),TK!$E$7=TH!F2479),"x","")</f>
        <v/>
      </c>
      <c r="AA2479" s="39" t="str">
        <f>IF(AND(B2479&lt;=NKC!$N$8,B2479&gt;=NKC!$M$8),"x","")</f>
        <v/>
      </c>
      <c r="AB2479" s="821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110"/>
        <v/>
      </c>
      <c r="C2480" s="191"/>
      <c r="D2480" s="191"/>
      <c r="E2480" s="786"/>
      <c r="F2480" s="192"/>
      <c r="G2480" s="468"/>
      <c r="H2480" s="193"/>
      <c r="I2480" s="256"/>
      <c r="J2480" s="256"/>
      <c r="K2480" s="568"/>
      <c r="L2480" s="194"/>
      <c r="M2480" s="194"/>
      <c r="N2480" s="39" t="str">
        <f>IF(AND('331-CT'!$E$7=TH!H2480,OR(L2480="331",M2480="331")),"331",IF(AND(OR(L2480="131",M2480="131"),H2480='131-CT'!$E$7),"131",""))</f>
        <v/>
      </c>
      <c r="O2480" s="902" t="str">
        <f>IF(AND('341-CT'!$E$9=H2480,OR(LEFT(L2480,3)=$O$7,LEFT(M2480,3)=$O$7)),"x","")</f>
        <v/>
      </c>
      <c r="P2480" s="39" t="str">
        <f>IF(AND($B2480&gt;='111'!$N$11,$B2480&lt;='111'!$O$11,OR($L2480=$P$7,$M2480=$P$7)),"x","")</f>
        <v/>
      </c>
      <c r="Q2480" s="39" t="str">
        <f>IF(AND($L2480=$P$7,$B2480&lt;'111'!$N$11),"x","")</f>
        <v/>
      </c>
      <c r="R2480" s="39" t="str">
        <f>IF(AND($M2480=$P$7,$B2480&lt;'111'!$N$11),"x","")</f>
        <v/>
      </c>
      <c r="S2480" s="39" t="str">
        <f>IF(ISERROR(FIND('112'!$M$9,G2480,1)),"",IF((AND(FIND('112'!$M$9,G2480,1)&gt;=1,$B2480&gt;='112'!$N$8,$B2480&lt;='112'!$O$8,OR($L2480='112'!$I$6,$M2480='112'!$I$6))),"x",""))</f>
        <v/>
      </c>
      <c r="T2480" s="39" t="str">
        <f>IF(ISERROR(FIND('112'!$M$9,G2480,1)),"",IF((AND(LEFT(G2480,2)=LEFT('112'!$M$9,2),B2480&lt;'112'!$N$8,$L2480='112'!$I$6)),"x",""))</f>
        <v/>
      </c>
      <c r="U2480" s="39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39" t="str">
        <f>IF(OR(TH!L2480=TH!$W$7,M2480=TH!$W$7),"x","")</f>
        <v/>
      </c>
      <c r="X2480" s="39" t="str">
        <f>IF(AND(B2480&gt;='IN-NX'!$P$3,B2480&lt;='IN-NX'!$Q$3,'IN-NX'!$D$7=D2480,OR(LEFT(L2480,2)="15",AND(LEFT(M2480,2)&lt;&gt;"15",LEFT(M2480,2)&lt;&gt;"33"))),"x","")</f>
        <v/>
      </c>
      <c r="Y2480" s="39" t="str">
        <f>IF(AND(OR(LEFT(TH!L2480,2)="15",LEFT(TH!M2480,2)="15"),'152-CT'!$J$8=TH!F2480),"x","")</f>
        <v/>
      </c>
      <c r="Z2480" s="39" t="str">
        <f>IF(AND(OR(LEFT(TH!L2480,2)="15",LEFT(TH!M2480,2)="15"),TK!$E$7=TH!F2480),"x","")</f>
        <v/>
      </c>
      <c r="AA2480" s="39" t="str">
        <f>IF(AND(B2480&lt;=NKC!$N$8,B2480&gt;=NKC!$M$8),"x","")</f>
        <v/>
      </c>
      <c r="AB2480" s="821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110"/>
        <v/>
      </c>
      <c r="C2481" s="191"/>
      <c r="D2481" s="191"/>
      <c r="E2481" s="786"/>
      <c r="F2481" s="192"/>
      <c r="G2481" s="468"/>
      <c r="H2481" s="193"/>
      <c r="I2481" s="256"/>
      <c r="J2481" s="256"/>
      <c r="K2481" s="568"/>
      <c r="L2481" s="194"/>
      <c r="M2481" s="194"/>
      <c r="N2481" s="39" t="str">
        <f>IF(AND('331-CT'!$E$7=TH!H2481,OR(L2481="331",M2481="331")),"331",IF(AND(OR(L2481="131",M2481="131"),H2481='131-CT'!$E$7),"131",""))</f>
        <v/>
      </c>
      <c r="O2481" s="902" t="str">
        <f>IF(AND('341-CT'!$E$9=H2481,OR(LEFT(L2481,3)=$O$7,LEFT(M2481,3)=$O$7)),"x","")</f>
        <v/>
      </c>
      <c r="P2481" s="39" t="str">
        <f>IF(AND($B2481&gt;='111'!$N$11,$B2481&lt;='111'!$O$11,OR($L2481=$P$7,$M2481=$P$7)),"x","")</f>
        <v/>
      </c>
      <c r="Q2481" s="39" t="str">
        <f>IF(AND($L2481=$P$7,$B2481&lt;'111'!$N$11),"x","")</f>
        <v/>
      </c>
      <c r="R2481" s="39" t="str">
        <f>IF(AND($M2481=$P$7,$B2481&lt;'111'!$N$11),"x","")</f>
        <v/>
      </c>
      <c r="S2481" s="39" t="str">
        <f>IF(ISERROR(FIND('112'!$M$9,G2481,1)),"",IF((AND(FIND('112'!$M$9,G2481,1)&gt;=1,$B2481&gt;='112'!$N$8,$B2481&lt;='112'!$O$8,OR($L2481='112'!$I$6,$M2481='112'!$I$6))),"x",""))</f>
        <v/>
      </c>
      <c r="T2481" s="39" t="str">
        <f>IF(ISERROR(FIND('112'!$M$9,G2481,1)),"",IF((AND(LEFT(G2481,2)=LEFT('112'!$M$9,2),B2481&lt;'112'!$N$8,$L2481='112'!$I$6)),"x",""))</f>
        <v/>
      </c>
      <c r="U2481" s="39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39" t="str">
        <f>IF(OR(TH!L2481=TH!$W$7,M2481=TH!$W$7),"x","")</f>
        <v/>
      </c>
      <c r="X2481" s="39" t="str">
        <f>IF(AND(B2481&gt;='IN-NX'!$P$3,B2481&lt;='IN-NX'!$Q$3,'IN-NX'!$D$7=D2481,OR(LEFT(L2481,2)="15",AND(LEFT(M2481,2)&lt;&gt;"15",LEFT(M2481,2)&lt;&gt;"33"))),"x","")</f>
        <v/>
      </c>
      <c r="Y2481" s="39" t="str">
        <f>IF(AND(OR(LEFT(TH!L2481,2)="15",LEFT(TH!M2481,2)="15"),'152-CT'!$J$8=TH!F2481),"x","")</f>
        <v/>
      </c>
      <c r="Z2481" s="39" t="str">
        <f>IF(AND(OR(LEFT(TH!L2481,2)="15",LEFT(TH!M2481,2)="15"),TK!$E$7=TH!F2481),"x","")</f>
        <v/>
      </c>
      <c r="AA2481" s="39" t="str">
        <f>IF(AND(B2481&lt;=NKC!$N$8,B2481&gt;=NKC!$M$8),"x","")</f>
        <v/>
      </c>
      <c r="AB2481" s="821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110"/>
        <v/>
      </c>
      <c r="C2482" s="191"/>
      <c r="D2482" s="191"/>
      <c r="E2482" s="786"/>
      <c r="F2482" s="192"/>
      <c r="G2482" s="468"/>
      <c r="H2482" s="193"/>
      <c r="I2482" s="256"/>
      <c r="J2482" s="256"/>
      <c r="K2482" s="568"/>
      <c r="L2482" s="194"/>
      <c r="M2482" s="194"/>
      <c r="N2482" s="39" t="str">
        <f>IF(AND('331-CT'!$E$7=TH!H2482,OR(L2482="331",M2482="331")),"331",IF(AND(OR(L2482="131",M2482="131"),H2482='131-CT'!$E$7),"131",""))</f>
        <v/>
      </c>
      <c r="O2482" s="902" t="str">
        <f>IF(AND('341-CT'!$E$9=H2482,OR(LEFT(L2482,3)=$O$7,LEFT(M2482,3)=$O$7)),"x","")</f>
        <v/>
      </c>
      <c r="P2482" s="39" t="str">
        <f>IF(AND($B2482&gt;='111'!$N$11,$B2482&lt;='111'!$O$11,OR($L2482=$P$7,$M2482=$P$7)),"x","")</f>
        <v/>
      </c>
      <c r="Q2482" s="39" t="str">
        <f>IF(AND($L2482=$P$7,$B2482&lt;'111'!$N$11),"x","")</f>
        <v/>
      </c>
      <c r="R2482" s="39" t="str">
        <f>IF(AND($M2482=$P$7,$B2482&lt;'111'!$N$11),"x","")</f>
        <v/>
      </c>
      <c r="S2482" s="39" t="str">
        <f>IF(ISERROR(FIND('112'!$M$9,G2482,1)),"",IF((AND(FIND('112'!$M$9,G2482,1)&gt;=1,$B2482&gt;='112'!$N$8,$B2482&lt;='112'!$O$8,OR($L2482='112'!$I$6,$M2482='112'!$I$6))),"x",""))</f>
        <v/>
      </c>
      <c r="T2482" s="39" t="str">
        <f>IF(ISERROR(FIND('112'!$M$9,G2482,1)),"",IF((AND(LEFT(G2482,2)=LEFT('112'!$M$9,2),B2482&lt;'112'!$N$8,$L2482='112'!$I$6)),"x",""))</f>
        <v/>
      </c>
      <c r="U2482" s="39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39" t="str">
        <f>IF(OR(TH!L2482=TH!$W$7,M2482=TH!$W$7),"x","")</f>
        <v/>
      </c>
      <c r="X2482" s="39" t="str">
        <f>IF(AND(B2482&gt;='IN-NX'!$P$3,B2482&lt;='IN-NX'!$Q$3,'IN-NX'!$D$7=D2482,OR(LEFT(L2482,2)="15",AND(LEFT(M2482,2)&lt;&gt;"15",LEFT(M2482,2)&lt;&gt;"33"))),"x","")</f>
        <v/>
      </c>
      <c r="Y2482" s="39" t="str">
        <f>IF(AND(OR(LEFT(TH!L2482,2)="15",LEFT(TH!M2482,2)="15"),'152-CT'!$J$8=TH!F2482),"x","")</f>
        <v/>
      </c>
      <c r="Z2482" s="39" t="str">
        <f>IF(AND(OR(LEFT(TH!L2482,2)="15",LEFT(TH!M2482,2)="15"),TK!$E$7=TH!F2482),"x","")</f>
        <v/>
      </c>
      <c r="AA2482" s="39" t="str">
        <f>IF(AND(B2482&lt;=NKC!$N$8,B2482&gt;=NKC!$M$8),"x","")</f>
        <v/>
      </c>
      <c r="AB2482" s="821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110"/>
        <v/>
      </c>
      <c r="C2483" s="191"/>
      <c r="D2483" s="191"/>
      <c r="E2483" s="786"/>
      <c r="F2483" s="192"/>
      <c r="G2483" s="468"/>
      <c r="H2483" s="193"/>
      <c r="I2483" s="256"/>
      <c r="J2483" s="256"/>
      <c r="K2483" s="568"/>
      <c r="L2483" s="194"/>
      <c r="M2483" s="194"/>
      <c r="N2483" s="39" t="str">
        <f>IF(AND('331-CT'!$E$7=TH!H2483,OR(L2483="331",M2483="331")),"331",IF(AND(OR(L2483="131",M2483="131"),H2483='131-CT'!$E$7),"131",""))</f>
        <v/>
      </c>
      <c r="O2483" s="902" t="str">
        <f>IF(AND('341-CT'!$E$9=H2483,OR(LEFT(L2483,3)=$O$7,LEFT(M2483,3)=$O$7)),"x","")</f>
        <v/>
      </c>
      <c r="P2483" s="39" t="str">
        <f>IF(AND($B2483&gt;='111'!$N$11,$B2483&lt;='111'!$O$11,OR($L2483=$P$7,$M2483=$P$7)),"x","")</f>
        <v/>
      </c>
      <c r="Q2483" s="39" t="str">
        <f>IF(AND($L2483=$P$7,$B2483&lt;'111'!$N$11),"x","")</f>
        <v/>
      </c>
      <c r="R2483" s="39" t="str">
        <f>IF(AND($M2483=$P$7,$B2483&lt;'111'!$N$11),"x","")</f>
        <v/>
      </c>
      <c r="S2483" s="39" t="str">
        <f>IF(ISERROR(FIND('112'!$M$9,G2483,1)),"",IF((AND(FIND('112'!$M$9,G2483,1)&gt;=1,$B2483&gt;='112'!$N$8,$B2483&lt;='112'!$O$8,OR($L2483='112'!$I$6,$M2483='112'!$I$6))),"x",""))</f>
        <v/>
      </c>
      <c r="T2483" s="39" t="str">
        <f>IF(ISERROR(FIND('112'!$M$9,G2483,1)),"",IF((AND(LEFT(G2483,2)=LEFT('112'!$M$9,2),B2483&lt;'112'!$N$8,$L2483='112'!$I$6)),"x",""))</f>
        <v/>
      </c>
      <c r="U2483" s="39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39" t="str">
        <f>IF(OR(TH!L2483=TH!$W$7,M2483=TH!$W$7),"x","")</f>
        <v/>
      </c>
      <c r="X2483" s="39" t="str">
        <f>IF(AND(B2483&gt;='IN-NX'!$P$3,B2483&lt;='IN-NX'!$Q$3,'IN-NX'!$D$7=D2483,OR(LEFT(L2483,2)="15",AND(LEFT(M2483,2)&lt;&gt;"15",LEFT(M2483,2)&lt;&gt;"33"))),"x","")</f>
        <v/>
      </c>
      <c r="Y2483" s="39" t="str">
        <f>IF(AND(OR(LEFT(TH!L2483,2)="15",LEFT(TH!M2483,2)="15"),'152-CT'!$J$8=TH!F2483),"x","")</f>
        <v/>
      </c>
      <c r="Z2483" s="39" t="str">
        <f>IF(AND(OR(LEFT(TH!L2483,2)="15",LEFT(TH!M2483,2)="15"),TK!$E$7=TH!F2483),"x","")</f>
        <v/>
      </c>
      <c r="AA2483" s="39" t="str">
        <f>IF(AND(B2483&lt;=NKC!$N$8,B2483&gt;=NKC!$M$8),"x","")</f>
        <v/>
      </c>
      <c r="AB2483" s="821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110"/>
        <v/>
      </c>
      <c r="C2484" s="191"/>
      <c r="D2484" s="191"/>
      <c r="E2484" s="786"/>
      <c r="F2484" s="192"/>
      <c r="G2484" s="468"/>
      <c r="H2484" s="193"/>
      <c r="I2484" s="256"/>
      <c r="J2484" s="256"/>
      <c r="K2484" s="568"/>
      <c r="L2484" s="194"/>
      <c r="M2484" s="194"/>
      <c r="N2484" s="39" t="str">
        <f>IF(AND('331-CT'!$E$7=TH!H2484,OR(L2484="331",M2484="331")),"331",IF(AND(OR(L2484="131",M2484="131"),H2484='131-CT'!$E$7),"131",""))</f>
        <v/>
      </c>
      <c r="O2484" s="902" t="str">
        <f>IF(AND('341-CT'!$E$9=H2484,OR(LEFT(L2484,3)=$O$7,LEFT(M2484,3)=$O$7)),"x","")</f>
        <v/>
      </c>
      <c r="P2484" s="39" t="str">
        <f>IF(AND($B2484&gt;='111'!$N$11,$B2484&lt;='111'!$O$11,OR($L2484=$P$7,$M2484=$P$7)),"x","")</f>
        <v/>
      </c>
      <c r="Q2484" s="39" t="str">
        <f>IF(AND($L2484=$P$7,$B2484&lt;'111'!$N$11),"x","")</f>
        <v/>
      </c>
      <c r="R2484" s="39" t="str">
        <f>IF(AND($M2484=$P$7,$B2484&lt;'111'!$N$11),"x","")</f>
        <v/>
      </c>
      <c r="S2484" s="39" t="str">
        <f>IF(ISERROR(FIND('112'!$M$9,G2484,1)),"",IF((AND(FIND('112'!$M$9,G2484,1)&gt;=1,$B2484&gt;='112'!$N$8,$B2484&lt;='112'!$O$8,OR($L2484='112'!$I$6,$M2484='112'!$I$6))),"x",""))</f>
        <v/>
      </c>
      <c r="T2484" s="39" t="str">
        <f>IF(ISERROR(FIND('112'!$M$9,G2484,1)),"",IF((AND(LEFT(G2484,2)=LEFT('112'!$M$9,2),B2484&lt;'112'!$N$8,$L2484='112'!$I$6)),"x",""))</f>
        <v/>
      </c>
      <c r="U2484" s="39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39" t="str">
        <f>IF(OR(TH!L2484=TH!$W$7,M2484=TH!$W$7),"x","")</f>
        <v/>
      </c>
      <c r="X2484" s="39" t="str">
        <f>IF(AND(B2484&gt;='IN-NX'!$P$3,B2484&lt;='IN-NX'!$Q$3,'IN-NX'!$D$7=D2484,OR(LEFT(L2484,2)="15",AND(LEFT(M2484,2)&lt;&gt;"15",LEFT(M2484,2)&lt;&gt;"33"))),"x","")</f>
        <v/>
      </c>
      <c r="Y2484" s="39" t="str">
        <f>IF(AND(OR(LEFT(TH!L2484,2)="15",LEFT(TH!M2484,2)="15"),'152-CT'!$J$8=TH!F2484),"x","")</f>
        <v/>
      </c>
      <c r="Z2484" s="39" t="str">
        <f>IF(AND(OR(LEFT(TH!L2484,2)="15",LEFT(TH!M2484,2)="15"),TK!$E$7=TH!F2484),"x","")</f>
        <v/>
      </c>
      <c r="AA2484" s="39" t="str">
        <f>IF(AND(B2484&lt;=NKC!$N$8,B2484&gt;=NKC!$M$8),"x","")</f>
        <v/>
      </c>
      <c r="AB2484" s="821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110"/>
        <v/>
      </c>
      <c r="C2485" s="191"/>
      <c r="D2485" s="191"/>
      <c r="E2485" s="786"/>
      <c r="F2485" s="192"/>
      <c r="G2485" s="468"/>
      <c r="H2485" s="193"/>
      <c r="I2485" s="256"/>
      <c r="J2485" s="256"/>
      <c r="K2485" s="568"/>
      <c r="L2485" s="194"/>
      <c r="M2485" s="194"/>
      <c r="N2485" s="39" t="str">
        <f>IF(AND('331-CT'!$E$7=TH!H2485,OR(L2485="331",M2485="331")),"331",IF(AND(OR(L2485="131",M2485="131"),H2485='131-CT'!$E$7),"131",""))</f>
        <v/>
      </c>
      <c r="O2485" s="902" t="str">
        <f>IF(AND('341-CT'!$E$9=H2485,OR(LEFT(L2485,3)=$O$7,LEFT(M2485,3)=$O$7)),"x","")</f>
        <v/>
      </c>
      <c r="P2485" s="39" t="str">
        <f>IF(AND($B2485&gt;='111'!$N$11,$B2485&lt;='111'!$O$11,OR($L2485=$P$7,$M2485=$P$7)),"x","")</f>
        <v/>
      </c>
      <c r="Q2485" s="39" t="str">
        <f>IF(AND($L2485=$P$7,$B2485&lt;'111'!$N$11),"x","")</f>
        <v/>
      </c>
      <c r="R2485" s="39" t="str">
        <f>IF(AND($M2485=$P$7,$B2485&lt;'111'!$N$11),"x","")</f>
        <v/>
      </c>
      <c r="S2485" s="39" t="str">
        <f>IF(ISERROR(FIND('112'!$M$9,G2485,1)),"",IF((AND(FIND('112'!$M$9,G2485,1)&gt;=1,$B2485&gt;='112'!$N$8,$B2485&lt;='112'!$O$8,OR($L2485='112'!$I$6,$M2485='112'!$I$6))),"x",""))</f>
        <v/>
      </c>
      <c r="T2485" s="39" t="str">
        <f>IF(ISERROR(FIND('112'!$M$9,G2485,1)),"",IF((AND(LEFT(G2485,2)=LEFT('112'!$M$9,2),B2485&lt;'112'!$N$8,$L2485='112'!$I$6)),"x",""))</f>
        <v/>
      </c>
      <c r="U2485" s="39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39" t="str">
        <f>IF(OR(TH!L2485=TH!$W$7,M2485=TH!$W$7),"x","")</f>
        <v/>
      </c>
      <c r="X2485" s="39" t="str">
        <f>IF(AND(B2485&gt;='IN-NX'!$P$3,B2485&lt;='IN-NX'!$Q$3,'IN-NX'!$D$7=D2485,OR(LEFT(L2485,2)="15",AND(LEFT(M2485,2)&lt;&gt;"15",LEFT(M2485,2)&lt;&gt;"33"))),"x","")</f>
        <v/>
      </c>
      <c r="Y2485" s="39" t="str">
        <f>IF(AND(OR(LEFT(TH!L2485,2)="15",LEFT(TH!M2485,2)="15"),'152-CT'!$J$8=TH!F2485),"x","")</f>
        <v/>
      </c>
      <c r="Z2485" s="39" t="str">
        <f>IF(AND(OR(LEFT(TH!L2485,2)="15",LEFT(TH!M2485,2)="15"),TK!$E$7=TH!F2485),"x","")</f>
        <v/>
      </c>
      <c r="AA2485" s="39" t="str">
        <f>IF(AND(B2485&lt;=NKC!$N$8,B2485&gt;=NKC!$M$8),"x","")</f>
        <v/>
      </c>
      <c r="AB2485" s="821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110"/>
        <v/>
      </c>
      <c r="C2486" s="191"/>
      <c r="D2486" s="191"/>
      <c r="E2486" s="786"/>
      <c r="F2486" s="192"/>
      <c r="G2486" s="468"/>
      <c r="H2486" s="193"/>
      <c r="I2486" s="256"/>
      <c r="J2486" s="256"/>
      <c r="K2486" s="56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902" t="str">
        <f>IF(AND('341-CT'!$E$9=H2486,OR(LEFT(L2486,3)=$O$7,LEFT(M2486,3)=$O$7)),"x","")</f>
        <v/>
      </c>
      <c r="P2486" s="39" t="str">
        <f>IF(AND($B2486&gt;='111'!$N$11,$B2486&lt;='111'!$O$11,OR($L2486=$P$7,$M2486=$P$7)),"x","")</f>
        <v/>
      </c>
      <c r="Q2486" s="39" t="str">
        <f>IF(AND($L2486=$P$7,$B2486&lt;'111'!$N$11),"x","")</f>
        <v/>
      </c>
      <c r="R2486" s="39" t="str">
        <f>IF(AND($M2486=$P$7,$B2486&lt;'111'!$N$11),"x","")</f>
        <v/>
      </c>
      <c r="S2486" s="39" t="str">
        <f>IF(ISERROR(FIND('112'!$M$9,G2486,1)),"",IF((AND(FIND('112'!$M$9,G2486,1)&gt;=1,$B2486&gt;='112'!$N$8,$B2486&lt;='112'!$O$8,OR($L2486='112'!$I$6,$M2486='112'!$I$6))),"x",""))</f>
        <v/>
      </c>
      <c r="T2486" s="39" t="str">
        <f>IF(ISERROR(FIND('112'!$M$9,G2486,1)),"",IF((AND(LEFT(G2486,2)=LEFT('112'!$M$9,2),B2486&lt;'112'!$N$8,$L2486='112'!$I$6)),"x",""))</f>
        <v/>
      </c>
      <c r="U2486" s="39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39" t="str">
        <f>IF(OR(TH!L2486=TH!$W$7,M2486=TH!$W$7),"x","")</f>
        <v/>
      </c>
      <c r="X2486" s="39" t="str">
        <f>IF(AND(B2486&gt;='IN-NX'!$P$3,B2486&lt;='IN-NX'!$Q$3,'IN-NX'!$D$7=D2486,OR(LEFT(L2486,2)="15",AND(LEFT(M2486,2)&lt;&gt;"15",LEFT(M2486,2)&lt;&gt;"33"))),"x","")</f>
        <v/>
      </c>
      <c r="Y2486" s="39" t="str">
        <f>IF(AND(OR(LEFT(TH!L2486,2)="15",LEFT(TH!M2486,2)="15"),'152-CT'!$J$8=TH!F2486),"x","")</f>
        <v/>
      </c>
      <c r="Z2486" s="39" t="str">
        <f>IF(AND(OR(LEFT(TH!L2486,2)="15",LEFT(TH!M2486,2)="15"),TK!$E$7=TH!F2486),"x","")</f>
        <v/>
      </c>
      <c r="AA2486" s="39" t="str">
        <f>IF(AND(B2486&lt;=NKC!$N$8,B2486&gt;=NKC!$M$8),"x","")</f>
        <v/>
      </c>
      <c r="AB2486" s="821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110"/>
        <v/>
      </c>
      <c r="C2487" s="191"/>
      <c r="D2487" s="191"/>
      <c r="E2487" s="786"/>
      <c r="F2487" s="192"/>
      <c r="G2487" s="468"/>
      <c r="H2487" s="193"/>
      <c r="I2487" s="256"/>
      <c r="J2487" s="256"/>
      <c r="K2487" s="56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902" t="str">
        <f>IF(AND('341-CT'!$E$9=H2487,OR(LEFT(L2487,3)=$O$7,LEFT(M2487,3)=$O$7)),"x","")</f>
        <v/>
      </c>
      <c r="P2487" s="39" t="str">
        <f>IF(AND($B2487&gt;='111'!$N$11,$B2487&lt;='111'!$O$11,OR($L2487=$P$7,$M2487=$P$7)),"x","")</f>
        <v/>
      </c>
      <c r="Q2487" s="39" t="str">
        <f>IF(AND($L2487=$P$7,$B2487&lt;'111'!$N$11),"x","")</f>
        <v/>
      </c>
      <c r="R2487" s="39" t="str">
        <f>IF(AND($M2487=$P$7,$B2487&lt;'111'!$N$11),"x","")</f>
        <v/>
      </c>
      <c r="S2487" s="39" t="str">
        <f>IF(ISERROR(FIND('112'!$M$9,G2487,1)),"",IF((AND(FIND('112'!$M$9,G2487,1)&gt;=1,$B2487&gt;='112'!$N$8,$B2487&lt;='112'!$O$8,OR($L2487='112'!$I$6,$M2487='112'!$I$6))),"x",""))</f>
        <v/>
      </c>
      <c r="T2487" s="39" t="str">
        <f>IF(ISERROR(FIND('112'!$M$9,G2487,1)),"",IF((AND(LEFT(G2487,2)=LEFT('112'!$M$9,2),B2487&lt;'112'!$N$8,$L2487='112'!$I$6)),"x",""))</f>
        <v/>
      </c>
      <c r="U2487" s="39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39" t="str">
        <f>IF(OR(TH!L2487=TH!$W$7,M2487=TH!$W$7),"x","")</f>
        <v/>
      </c>
      <c r="X2487" s="39" t="str">
        <f>IF(AND(B2487&gt;='IN-NX'!$P$3,B2487&lt;='IN-NX'!$Q$3,'IN-NX'!$D$7=D2487,OR(LEFT(L2487,2)="15",AND(LEFT(M2487,2)&lt;&gt;"15",LEFT(M2487,2)&lt;&gt;"33"))),"x","")</f>
        <v/>
      </c>
      <c r="Y2487" s="39" t="str">
        <f>IF(AND(OR(LEFT(TH!L2487,2)="15",LEFT(TH!M2487,2)="15"),'152-CT'!$J$8=TH!F2487),"x","")</f>
        <v/>
      </c>
      <c r="Z2487" s="39" t="str">
        <f>IF(AND(OR(LEFT(TH!L2487,2)="15",LEFT(TH!M2487,2)="15"),TK!$E$7=TH!F2487),"x","")</f>
        <v/>
      </c>
      <c r="AA2487" s="39" t="str">
        <f>IF(AND(B2487&lt;=NKC!$N$8,B2487&gt;=NKC!$M$8),"x","")</f>
        <v/>
      </c>
      <c r="AB2487" s="821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110"/>
        <v/>
      </c>
      <c r="C2488" s="191"/>
      <c r="D2488" s="191"/>
      <c r="E2488" s="786"/>
      <c r="F2488" s="192"/>
      <c r="G2488" s="468"/>
      <c r="H2488" s="193"/>
      <c r="I2488" s="256"/>
      <c r="J2488" s="256"/>
      <c r="K2488" s="568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902" t="str">
        <f>IF(AND('341-CT'!$E$9=H2488,OR(LEFT(L2488,3)=$O$7,LEFT(M2488,3)=$O$7)),"x","")</f>
        <v/>
      </c>
      <c r="P2488" s="39" t="str">
        <f>IF(AND($B2488&gt;='111'!$N$11,$B2488&lt;='111'!$O$11,OR($L2488=$P$7,$M2488=$P$7)),"x","")</f>
        <v/>
      </c>
      <c r="Q2488" s="39" t="str">
        <f>IF(AND($L2488=$P$7,$B2488&lt;'111'!$N$11),"x","")</f>
        <v/>
      </c>
      <c r="R2488" s="39" t="str">
        <f>IF(AND($M2488=$P$7,$B2488&lt;'111'!$N$11),"x","")</f>
        <v/>
      </c>
      <c r="S2488" s="39" t="str">
        <f>IF(ISERROR(FIND('112'!$M$9,G2488,1)),"",IF((AND(FIND('112'!$M$9,G2488,1)&gt;=1,$B2488&gt;='112'!$N$8,$B2488&lt;='112'!$O$8,OR($L2488='112'!$I$6,$M2488='112'!$I$6))),"x",""))</f>
        <v/>
      </c>
      <c r="T2488" s="39" t="str">
        <f>IF(ISERROR(FIND('112'!$M$9,G2488,1)),"",IF((AND(LEFT(G2488,2)=LEFT('112'!$M$9,2),B2488&lt;'112'!$N$8,$L2488='112'!$I$6)),"x",""))</f>
        <v/>
      </c>
      <c r="U2488" s="39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39" t="str">
        <f>IF(OR(TH!L2488=TH!$W$7,M2488=TH!$W$7),"x","")</f>
        <v/>
      </c>
      <c r="X2488" s="39" t="str">
        <f>IF(AND(B2488&gt;='IN-NX'!$P$3,B2488&lt;='IN-NX'!$Q$3,'IN-NX'!$D$7=D2488,OR(LEFT(L2488,2)="15",AND(LEFT(M2488,2)&lt;&gt;"15",LEFT(M2488,2)&lt;&gt;"33"))),"x","")</f>
        <v/>
      </c>
      <c r="Y2488" s="39" t="str">
        <f>IF(AND(OR(LEFT(TH!L2488,2)="15",LEFT(TH!M2488,2)="15"),'152-CT'!$J$8=TH!F2488),"x","")</f>
        <v/>
      </c>
      <c r="Z2488" s="39" t="str">
        <f>IF(AND(OR(LEFT(TH!L2488,2)="15",LEFT(TH!M2488,2)="15"),TK!$E$7=TH!F2488),"x","")</f>
        <v/>
      </c>
      <c r="AA2488" s="39" t="str">
        <f>IF(AND(B2488&lt;=NKC!$N$8,B2488&gt;=NKC!$M$8),"x","")</f>
        <v/>
      </c>
      <c r="AB2488" s="821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ref="B2489:B2552" si="111">IF(C2489&lt;&gt;"",MONTH(C2489),"")</f>
        <v/>
      </c>
      <c r="C2489" s="191"/>
      <c r="D2489" s="191"/>
      <c r="E2489" s="786"/>
      <c r="F2489" s="192"/>
      <c r="G2489" s="468"/>
      <c r="H2489" s="193"/>
      <c r="I2489" s="256"/>
      <c r="J2489" s="256"/>
      <c r="K2489" s="568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902" t="str">
        <f>IF(AND('341-CT'!$E$9=H2489,OR(LEFT(L2489,3)=$O$7,LEFT(M2489,3)=$O$7)),"x","")</f>
        <v/>
      </c>
      <c r="P2489" s="39" t="str">
        <f>IF(AND($B2489&gt;='111'!$N$11,$B2489&lt;='111'!$O$11,OR($L2489=$P$7,$M2489=$P$7)),"x","")</f>
        <v/>
      </c>
      <c r="Q2489" s="39" t="str">
        <f>IF(AND($L2489=$P$7,$B2489&lt;'111'!$N$11),"x","")</f>
        <v/>
      </c>
      <c r="R2489" s="39" t="str">
        <f>IF(AND($M2489=$P$7,$B2489&lt;'111'!$N$11),"x","")</f>
        <v/>
      </c>
      <c r="S2489" s="39" t="str">
        <f>IF(ISERROR(FIND('112'!$M$9,G2489,1)),"",IF((AND(FIND('112'!$M$9,G2489,1)&gt;=1,$B2489&gt;='112'!$N$8,$B2489&lt;='112'!$O$8,OR($L2489='112'!$I$6,$M2489='112'!$I$6))),"x",""))</f>
        <v/>
      </c>
      <c r="T2489" s="39" t="str">
        <f>IF(ISERROR(FIND('112'!$M$9,G2489,1)),"",IF((AND(LEFT(G2489,2)=LEFT('112'!$M$9,2),B2489&lt;'112'!$N$8,$L2489='112'!$I$6)),"x",""))</f>
        <v/>
      </c>
      <c r="U2489" s="39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39" t="str">
        <f>IF(OR(TH!L2489=TH!$W$7,M2489=TH!$W$7),"x","")</f>
        <v/>
      </c>
      <c r="X2489" s="39" t="str">
        <f>IF(AND(B2489&gt;='IN-NX'!$P$3,B2489&lt;='IN-NX'!$Q$3,'IN-NX'!$D$7=D2489,OR(LEFT(L2489,2)="15",AND(LEFT(M2489,2)&lt;&gt;"15",LEFT(M2489,2)&lt;&gt;"33"))),"x","")</f>
        <v/>
      </c>
      <c r="Y2489" s="39" t="str">
        <f>IF(AND(OR(LEFT(TH!L2489,2)="15",LEFT(TH!M2489,2)="15"),'152-CT'!$J$8=TH!F2489),"x","")</f>
        <v/>
      </c>
      <c r="Z2489" s="39" t="str">
        <f>IF(AND(OR(LEFT(TH!L2489,2)="15",LEFT(TH!M2489,2)="15"),TK!$E$7=TH!F2489),"x","")</f>
        <v/>
      </c>
      <c r="AA2489" s="39" t="str">
        <f>IF(AND(B2489&lt;=NKC!$N$8,B2489&gt;=NKC!$M$8),"x","")</f>
        <v/>
      </c>
      <c r="AB2489" s="821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111"/>
        <v/>
      </c>
      <c r="C2490" s="191"/>
      <c r="D2490" s="191"/>
      <c r="E2490" s="786"/>
      <c r="F2490" s="192"/>
      <c r="G2490" s="468"/>
      <c r="H2490" s="193"/>
      <c r="I2490" s="256"/>
      <c r="J2490" s="256"/>
      <c r="K2490" s="568"/>
      <c r="L2490" s="194"/>
      <c r="M2490" s="194"/>
      <c r="N2490" s="39" t="str">
        <f>IF(AND('331-CT'!$E$7=TH!H2490,OR(L2490="331",M2490="331")),"331",IF(AND(OR(L2490="131",M2490="131"),H2490='131-CT'!$E$7),"131",""))</f>
        <v/>
      </c>
      <c r="O2490" s="902" t="str">
        <f>IF(AND('341-CT'!$E$9=H2490,OR(LEFT(L2490,3)=$O$7,LEFT(M2490,3)=$O$7)),"x","")</f>
        <v/>
      </c>
      <c r="P2490" s="39" t="str">
        <f>IF(AND($B2490&gt;='111'!$N$11,$B2490&lt;='111'!$O$11,OR($L2490=$P$7,$M2490=$P$7)),"x","")</f>
        <v/>
      </c>
      <c r="Q2490" s="39" t="str">
        <f>IF(AND($L2490=$P$7,$B2490&lt;'111'!$N$11),"x","")</f>
        <v/>
      </c>
      <c r="R2490" s="39" t="str">
        <f>IF(AND($M2490=$P$7,$B2490&lt;'111'!$N$11),"x","")</f>
        <v/>
      </c>
      <c r="S2490" s="39" t="str">
        <f>IF(ISERROR(FIND('112'!$M$9,G2490,1)),"",IF((AND(FIND('112'!$M$9,G2490,1)&gt;=1,$B2490&gt;='112'!$N$8,$B2490&lt;='112'!$O$8,OR($L2490='112'!$I$6,$M2490='112'!$I$6))),"x",""))</f>
        <v/>
      </c>
      <c r="T2490" s="39" t="str">
        <f>IF(ISERROR(FIND('112'!$M$9,G2490,1)),"",IF((AND(LEFT(G2490,2)=LEFT('112'!$M$9,2),B2490&lt;'112'!$N$8,$L2490='112'!$I$6)),"x",""))</f>
        <v/>
      </c>
      <c r="U2490" s="39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39" t="str">
        <f>IF(OR(TH!L2490=TH!$W$7,M2490=TH!$W$7),"x","")</f>
        <v/>
      </c>
      <c r="X2490" s="39" t="str">
        <f>IF(AND(B2490&gt;='IN-NX'!$P$3,B2490&lt;='IN-NX'!$Q$3,'IN-NX'!$D$7=D2490,OR(LEFT(L2490,2)="15",AND(LEFT(M2490,2)&lt;&gt;"15",LEFT(M2490,2)&lt;&gt;"33"))),"x","")</f>
        <v/>
      </c>
      <c r="Y2490" s="39" t="str">
        <f>IF(AND(OR(LEFT(TH!L2490,2)="15",LEFT(TH!M2490,2)="15"),'152-CT'!$J$8=TH!F2490),"x","")</f>
        <v/>
      </c>
      <c r="Z2490" s="39" t="str">
        <f>IF(AND(OR(LEFT(TH!L2490,2)="15",LEFT(TH!M2490,2)="15"),TK!$E$7=TH!F2490),"x","")</f>
        <v/>
      </c>
      <c r="AA2490" s="39" t="str">
        <f>IF(AND(B2490&lt;=NKC!$N$8,B2490&gt;=NKC!$M$8),"x","")</f>
        <v/>
      </c>
      <c r="AB2490" s="821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111"/>
        <v/>
      </c>
      <c r="C2491" s="191"/>
      <c r="D2491" s="191"/>
      <c r="E2491" s="786"/>
      <c r="F2491" s="192"/>
      <c r="G2491" s="468"/>
      <c r="H2491" s="193"/>
      <c r="I2491" s="256"/>
      <c r="J2491" s="256"/>
      <c r="K2491" s="568"/>
      <c r="L2491" s="194"/>
      <c r="M2491" s="194"/>
      <c r="N2491" s="39" t="str">
        <f>IF(AND('331-CT'!$E$7=TH!H2491,OR(L2491="331",M2491="331")),"331",IF(AND(OR(L2491="131",M2491="131"),H2491='131-CT'!$E$7),"131",""))</f>
        <v/>
      </c>
      <c r="O2491" s="902" t="str">
        <f>IF(AND('341-CT'!$E$9=H2491,OR(LEFT(L2491,3)=$O$7,LEFT(M2491,3)=$O$7)),"x","")</f>
        <v/>
      </c>
      <c r="P2491" s="39" t="str">
        <f>IF(AND($B2491&gt;='111'!$N$11,$B2491&lt;='111'!$O$11,OR($L2491=$P$7,$M2491=$P$7)),"x","")</f>
        <v/>
      </c>
      <c r="Q2491" s="39" t="str">
        <f>IF(AND($L2491=$P$7,$B2491&lt;'111'!$N$11),"x","")</f>
        <v/>
      </c>
      <c r="R2491" s="39" t="str">
        <f>IF(AND($M2491=$P$7,$B2491&lt;'111'!$N$11),"x","")</f>
        <v/>
      </c>
      <c r="S2491" s="39" t="str">
        <f>IF(ISERROR(FIND('112'!$M$9,G2491,1)),"",IF((AND(FIND('112'!$M$9,G2491,1)&gt;=1,$B2491&gt;='112'!$N$8,$B2491&lt;='112'!$O$8,OR($L2491='112'!$I$6,$M2491='112'!$I$6))),"x",""))</f>
        <v/>
      </c>
      <c r="T2491" s="39" t="str">
        <f>IF(ISERROR(FIND('112'!$M$9,G2491,1)),"",IF((AND(LEFT(G2491,2)=LEFT('112'!$M$9,2),B2491&lt;'112'!$N$8,$L2491='112'!$I$6)),"x",""))</f>
        <v/>
      </c>
      <c r="U2491" s="39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39" t="str">
        <f>IF(OR(TH!L2491=TH!$W$7,M2491=TH!$W$7),"x","")</f>
        <v/>
      </c>
      <c r="X2491" s="39" t="str">
        <f>IF(AND(B2491&gt;='IN-NX'!$P$3,B2491&lt;='IN-NX'!$Q$3,'IN-NX'!$D$7=D2491,OR(LEFT(L2491,2)="15",AND(LEFT(M2491,2)&lt;&gt;"15",LEFT(M2491,2)&lt;&gt;"33"))),"x","")</f>
        <v/>
      </c>
      <c r="Y2491" s="39" t="str">
        <f>IF(AND(OR(LEFT(TH!L2491,2)="15",LEFT(TH!M2491,2)="15"),'152-CT'!$J$8=TH!F2491),"x","")</f>
        <v/>
      </c>
      <c r="Z2491" s="39" t="str">
        <f>IF(AND(OR(LEFT(TH!L2491,2)="15",LEFT(TH!M2491,2)="15"),TK!$E$7=TH!F2491),"x","")</f>
        <v/>
      </c>
      <c r="AA2491" s="39" t="str">
        <f>IF(AND(B2491&lt;=NKC!$N$8,B2491&gt;=NKC!$M$8),"x","")</f>
        <v/>
      </c>
      <c r="AB2491" s="821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111"/>
        <v/>
      </c>
      <c r="C2492" s="191"/>
      <c r="D2492" s="191"/>
      <c r="E2492" s="786"/>
      <c r="F2492" s="192"/>
      <c r="G2492" s="468"/>
      <c r="H2492" s="193"/>
      <c r="I2492" s="256"/>
      <c r="J2492" s="256"/>
      <c r="K2492" s="568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902" t="str">
        <f>IF(AND('341-CT'!$E$9=H2492,OR(LEFT(L2492,3)=$O$7,LEFT(M2492,3)=$O$7)),"x","")</f>
        <v/>
      </c>
      <c r="P2492" s="39" t="str">
        <f>IF(AND($B2492&gt;='111'!$N$11,$B2492&lt;='111'!$O$11,OR($L2492=$P$7,$M2492=$P$7)),"x","")</f>
        <v/>
      </c>
      <c r="Q2492" s="39" t="str">
        <f>IF(AND($L2492=$P$7,$B2492&lt;'111'!$N$11),"x","")</f>
        <v/>
      </c>
      <c r="R2492" s="39" t="str">
        <f>IF(AND($M2492=$P$7,$B2492&lt;'111'!$N$11),"x","")</f>
        <v/>
      </c>
      <c r="S2492" s="39" t="str">
        <f>IF(ISERROR(FIND('112'!$M$9,G2492,1)),"",IF((AND(FIND('112'!$M$9,G2492,1)&gt;=1,$B2492&gt;='112'!$N$8,$B2492&lt;='112'!$O$8,OR($L2492='112'!$I$6,$M2492='112'!$I$6))),"x",""))</f>
        <v/>
      </c>
      <c r="T2492" s="39" t="str">
        <f>IF(ISERROR(FIND('112'!$M$9,G2492,1)),"",IF((AND(LEFT(G2492,2)=LEFT('112'!$M$9,2),B2492&lt;'112'!$N$8,$L2492='112'!$I$6)),"x",""))</f>
        <v/>
      </c>
      <c r="U2492" s="39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39" t="str">
        <f>IF(OR(TH!L2492=TH!$W$7,M2492=TH!$W$7),"x","")</f>
        <v/>
      </c>
      <c r="X2492" s="39" t="str">
        <f>IF(AND(B2492&gt;='IN-NX'!$P$3,B2492&lt;='IN-NX'!$Q$3,'IN-NX'!$D$7=D2492,OR(LEFT(L2492,2)="15",AND(LEFT(M2492,2)&lt;&gt;"15",LEFT(M2492,2)&lt;&gt;"33"))),"x","")</f>
        <v/>
      </c>
      <c r="Y2492" s="39" t="str">
        <f>IF(AND(OR(LEFT(TH!L2492,2)="15",LEFT(TH!M2492,2)="15"),'152-CT'!$J$8=TH!F2492),"x","")</f>
        <v/>
      </c>
      <c r="Z2492" s="39" t="str">
        <f>IF(AND(OR(LEFT(TH!L2492,2)="15",LEFT(TH!M2492,2)="15"),TK!$E$7=TH!F2492),"x","")</f>
        <v/>
      </c>
      <c r="AA2492" s="39" t="str">
        <f>IF(AND(B2492&lt;=NKC!$N$8,B2492&gt;=NKC!$M$8),"x","")</f>
        <v/>
      </c>
      <c r="AB2492" s="821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111"/>
        <v/>
      </c>
      <c r="C2493" s="191"/>
      <c r="D2493" s="191"/>
      <c r="E2493" s="786"/>
      <c r="F2493" s="192"/>
      <c r="G2493" s="468"/>
      <c r="H2493" s="193"/>
      <c r="I2493" s="256"/>
      <c r="J2493" s="256"/>
      <c r="K2493" s="568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902" t="str">
        <f>IF(AND('341-CT'!$E$9=H2493,OR(LEFT(L2493,3)=$O$7,LEFT(M2493,3)=$O$7)),"x","")</f>
        <v/>
      </c>
      <c r="P2493" s="39" t="str">
        <f>IF(AND($B2493&gt;='111'!$N$11,$B2493&lt;='111'!$O$11,OR($L2493=$P$7,$M2493=$P$7)),"x","")</f>
        <v/>
      </c>
      <c r="Q2493" s="39" t="str">
        <f>IF(AND($L2493=$P$7,$B2493&lt;'111'!$N$11),"x","")</f>
        <v/>
      </c>
      <c r="R2493" s="39" t="str">
        <f>IF(AND($M2493=$P$7,$B2493&lt;'111'!$N$11),"x","")</f>
        <v/>
      </c>
      <c r="S2493" s="39" t="str">
        <f>IF(ISERROR(FIND('112'!$M$9,G2493,1)),"",IF((AND(FIND('112'!$M$9,G2493,1)&gt;=1,$B2493&gt;='112'!$N$8,$B2493&lt;='112'!$O$8,OR($L2493='112'!$I$6,$M2493='112'!$I$6))),"x",""))</f>
        <v/>
      </c>
      <c r="T2493" s="39" t="str">
        <f>IF(ISERROR(FIND('112'!$M$9,G2493,1)),"",IF((AND(LEFT(G2493,2)=LEFT('112'!$M$9,2),B2493&lt;'112'!$N$8,$L2493='112'!$I$6)),"x",""))</f>
        <v/>
      </c>
      <c r="U2493" s="39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39" t="str">
        <f>IF(OR(TH!L2493=TH!$W$7,M2493=TH!$W$7),"x","")</f>
        <v/>
      </c>
      <c r="X2493" s="39" t="str">
        <f>IF(AND(B2493&gt;='IN-NX'!$P$3,B2493&lt;='IN-NX'!$Q$3,'IN-NX'!$D$7=D2493,OR(LEFT(L2493,2)="15",AND(LEFT(M2493,2)&lt;&gt;"15",LEFT(M2493,2)&lt;&gt;"33"))),"x","")</f>
        <v/>
      </c>
      <c r="Y2493" s="39" t="str">
        <f>IF(AND(OR(LEFT(TH!L2493,2)="15",LEFT(TH!M2493,2)="15"),'152-CT'!$J$8=TH!F2493),"x","")</f>
        <v/>
      </c>
      <c r="Z2493" s="39" t="str">
        <f>IF(AND(OR(LEFT(TH!L2493,2)="15",LEFT(TH!M2493,2)="15"),TK!$E$7=TH!F2493),"x","")</f>
        <v/>
      </c>
      <c r="AA2493" s="39" t="str">
        <f>IF(AND(B2493&lt;=NKC!$N$8,B2493&gt;=NKC!$M$8),"x","")</f>
        <v/>
      </c>
      <c r="AB2493" s="821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111"/>
        <v/>
      </c>
      <c r="C2494" s="191"/>
      <c r="D2494" s="191"/>
      <c r="E2494" s="786"/>
      <c r="F2494" s="192"/>
      <c r="G2494" s="468"/>
      <c r="H2494" s="193"/>
      <c r="I2494" s="256"/>
      <c r="J2494" s="256"/>
      <c r="K2494" s="568"/>
      <c r="L2494" s="194"/>
      <c r="M2494" s="194"/>
      <c r="N2494" s="39" t="str">
        <f>IF(AND('331-CT'!$E$7=TH!H2494,OR(L2494="331",M2494="331")),"331",IF(AND(OR(L2494="131",M2494="131"),H2494='131-CT'!$E$7),"131",""))</f>
        <v/>
      </c>
      <c r="O2494" s="902" t="str">
        <f>IF(AND('341-CT'!$E$9=H2494,OR(LEFT(L2494,3)=$O$7,LEFT(M2494,3)=$O$7)),"x","")</f>
        <v/>
      </c>
      <c r="P2494" s="39" t="str">
        <f>IF(AND($B2494&gt;='111'!$N$11,$B2494&lt;='111'!$O$11,OR($L2494=$P$7,$M2494=$P$7)),"x","")</f>
        <v/>
      </c>
      <c r="Q2494" s="39" t="str">
        <f>IF(AND($L2494=$P$7,$B2494&lt;'111'!$N$11),"x","")</f>
        <v/>
      </c>
      <c r="R2494" s="39" t="str">
        <f>IF(AND($M2494=$P$7,$B2494&lt;'111'!$N$11),"x","")</f>
        <v/>
      </c>
      <c r="S2494" s="39" t="str">
        <f>IF(ISERROR(FIND('112'!$M$9,G2494,1)),"",IF((AND(FIND('112'!$M$9,G2494,1)&gt;=1,$B2494&gt;='112'!$N$8,$B2494&lt;='112'!$O$8,OR($L2494='112'!$I$6,$M2494='112'!$I$6))),"x",""))</f>
        <v/>
      </c>
      <c r="T2494" s="39" t="str">
        <f>IF(ISERROR(FIND('112'!$M$9,G2494,1)),"",IF((AND(LEFT(G2494,2)=LEFT('112'!$M$9,2),B2494&lt;'112'!$N$8,$L2494='112'!$I$6)),"x",""))</f>
        <v/>
      </c>
      <c r="U2494" s="39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39" t="str">
        <f>IF(OR(TH!L2494=TH!$W$7,M2494=TH!$W$7),"x","")</f>
        <v/>
      </c>
      <c r="X2494" s="39" t="str">
        <f>IF(AND(B2494&gt;='IN-NX'!$P$3,B2494&lt;='IN-NX'!$Q$3,'IN-NX'!$D$7=D2494,OR(LEFT(L2494,2)="15",AND(LEFT(M2494,2)&lt;&gt;"15",LEFT(M2494,2)&lt;&gt;"33"))),"x","")</f>
        <v/>
      </c>
      <c r="Y2494" s="39" t="str">
        <f>IF(AND(OR(LEFT(TH!L2494,2)="15",LEFT(TH!M2494,2)="15"),'152-CT'!$J$8=TH!F2494),"x","")</f>
        <v/>
      </c>
      <c r="Z2494" s="39" t="str">
        <f>IF(AND(OR(LEFT(TH!L2494,2)="15",LEFT(TH!M2494,2)="15"),TK!$E$7=TH!F2494),"x","")</f>
        <v/>
      </c>
      <c r="AA2494" s="39" t="str">
        <f>IF(AND(B2494&lt;=NKC!$N$8,B2494&gt;=NKC!$M$8),"x","")</f>
        <v/>
      </c>
      <c r="AB2494" s="821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111"/>
        <v/>
      </c>
      <c r="C2495" s="191"/>
      <c r="D2495" s="191"/>
      <c r="E2495" s="786"/>
      <c r="F2495" s="192"/>
      <c r="G2495" s="468"/>
      <c r="H2495" s="193"/>
      <c r="I2495" s="256"/>
      <c r="J2495" s="256"/>
      <c r="K2495" s="568"/>
      <c r="L2495" s="194"/>
      <c r="M2495" s="194"/>
      <c r="N2495" s="39" t="str">
        <f>IF(AND('331-CT'!$E$7=TH!H2495,OR(L2495="331",M2495="331")),"331",IF(AND(OR(L2495="131",M2495="131"),H2495='131-CT'!$E$7),"131",""))</f>
        <v/>
      </c>
      <c r="O2495" s="902" t="str">
        <f>IF(AND('341-CT'!$E$9=H2495,OR(LEFT(L2495,3)=$O$7,LEFT(M2495,3)=$O$7)),"x","")</f>
        <v/>
      </c>
      <c r="P2495" s="39" t="str">
        <f>IF(AND($B2495&gt;='111'!$N$11,$B2495&lt;='111'!$O$11,OR($L2495=$P$7,$M2495=$P$7)),"x","")</f>
        <v/>
      </c>
      <c r="Q2495" s="39" t="str">
        <f>IF(AND($L2495=$P$7,$B2495&lt;'111'!$N$11),"x","")</f>
        <v/>
      </c>
      <c r="R2495" s="39" t="str">
        <f>IF(AND($M2495=$P$7,$B2495&lt;'111'!$N$11),"x","")</f>
        <v/>
      </c>
      <c r="S2495" s="39" t="str">
        <f>IF(ISERROR(FIND('112'!$M$9,G2495,1)),"",IF((AND(FIND('112'!$M$9,G2495,1)&gt;=1,$B2495&gt;='112'!$N$8,$B2495&lt;='112'!$O$8,OR($L2495='112'!$I$6,$M2495='112'!$I$6))),"x",""))</f>
        <v/>
      </c>
      <c r="T2495" s="39" t="str">
        <f>IF(ISERROR(FIND('112'!$M$9,G2495,1)),"",IF((AND(LEFT(G2495,2)=LEFT('112'!$M$9,2),B2495&lt;'112'!$N$8,$L2495='112'!$I$6)),"x",""))</f>
        <v/>
      </c>
      <c r="U2495" s="39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39" t="str">
        <f>IF(OR(TH!L2495=TH!$W$7,M2495=TH!$W$7),"x","")</f>
        <v/>
      </c>
      <c r="X2495" s="39" t="str">
        <f>IF(AND(B2495&gt;='IN-NX'!$P$3,B2495&lt;='IN-NX'!$Q$3,'IN-NX'!$D$7=D2495,OR(LEFT(L2495,2)="15",AND(LEFT(M2495,2)&lt;&gt;"15",LEFT(M2495,2)&lt;&gt;"33"))),"x","")</f>
        <v/>
      </c>
      <c r="Y2495" s="39" t="str">
        <f>IF(AND(OR(LEFT(TH!L2495,2)="15",LEFT(TH!M2495,2)="15"),'152-CT'!$J$8=TH!F2495),"x","")</f>
        <v/>
      </c>
      <c r="Z2495" s="39" t="str">
        <f>IF(AND(OR(LEFT(TH!L2495,2)="15",LEFT(TH!M2495,2)="15"),TK!$E$7=TH!F2495),"x","")</f>
        <v/>
      </c>
      <c r="AA2495" s="39" t="str">
        <f>IF(AND(B2495&lt;=NKC!$N$8,B2495&gt;=NKC!$M$8),"x","")</f>
        <v/>
      </c>
      <c r="AB2495" s="821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111"/>
        <v/>
      </c>
      <c r="C2496" s="191"/>
      <c r="D2496" s="191"/>
      <c r="E2496" s="786"/>
      <c r="F2496" s="192"/>
      <c r="G2496" s="468"/>
      <c r="H2496" s="193"/>
      <c r="I2496" s="256"/>
      <c r="J2496" s="256"/>
      <c r="K2496" s="568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902" t="str">
        <f>IF(AND('341-CT'!$E$9=H2496,OR(LEFT(L2496,3)=$O$7,LEFT(M2496,3)=$O$7)),"x","")</f>
        <v/>
      </c>
      <c r="P2496" s="39" t="str">
        <f>IF(AND($B2496&gt;='111'!$N$11,$B2496&lt;='111'!$O$11,OR($L2496=$P$7,$M2496=$P$7)),"x","")</f>
        <v/>
      </c>
      <c r="Q2496" s="39" t="str">
        <f>IF(AND($L2496=$P$7,$B2496&lt;'111'!$N$11),"x","")</f>
        <v/>
      </c>
      <c r="R2496" s="39" t="str">
        <f>IF(AND($M2496=$P$7,$B2496&lt;'111'!$N$11),"x","")</f>
        <v/>
      </c>
      <c r="S2496" s="39" t="str">
        <f>IF(ISERROR(FIND('112'!$M$9,G2496,1)),"",IF((AND(FIND('112'!$M$9,G2496,1)&gt;=1,$B2496&gt;='112'!$N$8,$B2496&lt;='112'!$O$8,OR($L2496='112'!$I$6,$M2496='112'!$I$6))),"x",""))</f>
        <v/>
      </c>
      <c r="T2496" s="39" t="str">
        <f>IF(ISERROR(FIND('112'!$M$9,G2496,1)),"",IF((AND(LEFT(G2496,2)=LEFT('112'!$M$9,2),B2496&lt;'112'!$N$8,$L2496='112'!$I$6)),"x",""))</f>
        <v/>
      </c>
      <c r="U2496" s="39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39" t="str">
        <f>IF(OR(TH!L2496=TH!$W$7,M2496=TH!$W$7),"x","")</f>
        <v/>
      </c>
      <c r="X2496" s="39" t="str">
        <f>IF(AND(B2496&gt;='IN-NX'!$P$3,B2496&lt;='IN-NX'!$Q$3,'IN-NX'!$D$7=D2496,OR(LEFT(L2496,2)="15",AND(LEFT(M2496,2)&lt;&gt;"15",LEFT(M2496,2)&lt;&gt;"33"))),"x","")</f>
        <v/>
      </c>
      <c r="Y2496" s="39" t="str">
        <f>IF(AND(OR(LEFT(TH!L2496,2)="15",LEFT(TH!M2496,2)="15"),'152-CT'!$J$8=TH!F2496),"x","")</f>
        <v/>
      </c>
      <c r="Z2496" s="39" t="str">
        <f>IF(AND(OR(LEFT(TH!L2496,2)="15",LEFT(TH!M2496,2)="15"),TK!$E$7=TH!F2496),"x","")</f>
        <v/>
      </c>
      <c r="AA2496" s="39" t="str">
        <f>IF(AND(B2496&lt;=NKC!$N$8,B2496&gt;=NKC!$M$8),"x","")</f>
        <v/>
      </c>
      <c r="AB2496" s="821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111"/>
        <v/>
      </c>
      <c r="C2497" s="191"/>
      <c r="D2497" s="191"/>
      <c r="E2497" s="786"/>
      <c r="F2497" s="192"/>
      <c r="G2497" s="468"/>
      <c r="H2497" s="193"/>
      <c r="I2497" s="256"/>
      <c r="J2497" s="256"/>
      <c r="K2497" s="568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902" t="str">
        <f>IF(AND('341-CT'!$E$9=H2497,OR(LEFT(L2497,3)=$O$7,LEFT(M2497,3)=$O$7)),"x","")</f>
        <v/>
      </c>
      <c r="P2497" s="39" t="str">
        <f>IF(AND($B2497&gt;='111'!$N$11,$B2497&lt;='111'!$O$11,OR($L2497=$P$7,$M2497=$P$7)),"x","")</f>
        <v/>
      </c>
      <c r="Q2497" s="39" t="str">
        <f>IF(AND($L2497=$P$7,$B2497&lt;'111'!$N$11),"x","")</f>
        <v/>
      </c>
      <c r="R2497" s="39" t="str">
        <f>IF(AND($M2497=$P$7,$B2497&lt;'111'!$N$11),"x","")</f>
        <v/>
      </c>
      <c r="S2497" s="39" t="str">
        <f>IF(ISERROR(FIND('112'!$M$9,G2497,1)),"",IF((AND(FIND('112'!$M$9,G2497,1)&gt;=1,$B2497&gt;='112'!$N$8,$B2497&lt;='112'!$O$8,OR($L2497='112'!$I$6,$M2497='112'!$I$6))),"x",""))</f>
        <v/>
      </c>
      <c r="T2497" s="39" t="str">
        <f>IF(ISERROR(FIND('112'!$M$9,G2497,1)),"",IF((AND(LEFT(G2497,2)=LEFT('112'!$M$9,2),B2497&lt;'112'!$N$8,$L2497='112'!$I$6)),"x",""))</f>
        <v/>
      </c>
      <c r="U2497" s="39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39" t="str">
        <f>IF(OR(TH!L2497=TH!$W$7,M2497=TH!$W$7),"x","")</f>
        <v/>
      </c>
      <c r="X2497" s="39" t="str">
        <f>IF(AND(B2497&gt;='IN-NX'!$P$3,B2497&lt;='IN-NX'!$Q$3,'IN-NX'!$D$7=D2497,OR(LEFT(L2497,2)="15",AND(LEFT(M2497,2)&lt;&gt;"15",LEFT(M2497,2)&lt;&gt;"33"))),"x","")</f>
        <v/>
      </c>
      <c r="Y2497" s="39" t="str">
        <f>IF(AND(OR(LEFT(TH!L2497,2)="15",LEFT(TH!M2497,2)="15"),'152-CT'!$J$8=TH!F2497),"x","")</f>
        <v/>
      </c>
      <c r="Z2497" s="39" t="str">
        <f>IF(AND(OR(LEFT(TH!L2497,2)="15",LEFT(TH!M2497,2)="15"),TK!$E$7=TH!F2497),"x","")</f>
        <v/>
      </c>
      <c r="AA2497" s="39" t="str">
        <f>IF(AND(B2497&lt;=NKC!$N$8,B2497&gt;=NKC!$M$8),"x","")</f>
        <v/>
      </c>
      <c r="AB2497" s="821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111"/>
        <v/>
      </c>
      <c r="C2498" s="191"/>
      <c r="D2498" s="191"/>
      <c r="E2498" s="786"/>
      <c r="F2498" s="192"/>
      <c r="G2498" s="468"/>
      <c r="H2498" s="193"/>
      <c r="I2498" s="256"/>
      <c r="J2498" s="256"/>
      <c r="K2498" s="568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902" t="str">
        <f>IF(AND('341-CT'!$E$9=H2498,OR(LEFT(L2498,3)=$O$7,LEFT(M2498,3)=$O$7)),"x","")</f>
        <v/>
      </c>
      <c r="P2498" s="39" t="str">
        <f>IF(AND($B2498&gt;='111'!$N$11,$B2498&lt;='111'!$O$11,OR($L2498=$P$7,$M2498=$P$7)),"x","")</f>
        <v/>
      </c>
      <c r="Q2498" s="39" t="str">
        <f>IF(AND($L2498=$P$7,$B2498&lt;'111'!$N$11),"x","")</f>
        <v/>
      </c>
      <c r="R2498" s="39" t="str">
        <f>IF(AND($M2498=$P$7,$B2498&lt;'111'!$N$11),"x","")</f>
        <v/>
      </c>
      <c r="S2498" s="39" t="str">
        <f>IF(ISERROR(FIND('112'!$M$9,G2498,1)),"",IF((AND(FIND('112'!$M$9,G2498,1)&gt;=1,$B2498&gt;='112'!$N$8,$B2498&lt;='112'!$O$8,OR($L2498='112'!$I$6,$M2498='112'!$I$6))),"x",""))</f>
        <v/>
      </c>
      <c r="T2498" s="39" t="str">
        <f>IF(ISERROR(FIND('112'!$M$9,G2498,1)),"",IF((AND(LEFT(G2498,2)=LEFT('112'!$M$9,2),B2498&lt;'112'!$N$8,$L2498='112'!$I$6)),"x",""))</f>
        <v/>
      </c>
      <c r="U2498" s="39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39" t="str">
        <f>IF(OR(TH!L2498=TH!$W$7,M2498=TH!$W$7),"x","")</f>
        <v/>
      </c>
      <c r="X2498" s="39" t="str">
        <f>IF(AND(B2498&gt;='IN-NX'!$P$3,B2498&lt;='IN-NX'!$Q$3,'IN-NX'!$D$7=D2498,OR(LEFT(L2498,2)="15",AND(LEFT(M2498,2)&lt;&gt;"15",LEFT(M2498,2)&lt;&gt;"33"))),"x","")</f>
        <v/>
      </c>
      <c r="Y2498" s="39" t="str">
        <f>IF(AND(OR(LEFT(TH!L2498,2)="15",LEFT(TH!M2498,2)="15"),'152-CT'!$J$8=TH!F2498),"x","")</f>
        <v/>
      </c>
      <c r="Z2498" s="39" t="str">
        <f>IF(AND(OR(LEFT(TH!L2498,2)="15",LEFT(TH!M2498,2)="15"),TK!$E$7=TH!F2498),"x","")</f>
        <v/>
      </c>
      <c r="AA2498" s="39" t="str">
        <f>IF(AND(B2498&lt;=NKC!$N$8,B2498&gt;=NKC!$M$8),"x","")</f>
        <v/>
      </c>
      <c r="AB2498" s="821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111"/>
        <v/>
      </c>
      <c r="C2499" s="191"/>
      <c r="D2499" s="191"/>
      <c r="E2499" s="786"/>
      <c r="F2499" s="40"/>
      <c r="G2499" s="40"/>
      <c r="H2499" s="7"/>
      <c r="I2499" s="256"/>
      <c r="J2499" s="256"/>
      <c r="K2499" s="56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902" t="str">
        <f>IF(AND('341-CT'!$E$9=H2499,OR(LEFT(L2499,3)=$O$7,LEFT(M2499,3)=$O$7)),"x","")</f>
        <v/>
      </c>
      <c r="P2499" s="39" t="str">
        <f>IF(AND($B2499&gt;='111'!$N$11,$B2499&lt;='111'!$O$11,OR($L2499=$P$7,$M2499=$P$7)),"x","")</f>
        <v/>
      </c>
      <c r="Q2499" s="39" t="str">
        <f>IF(AND($L2499=$P$7,$B2499&lt;'111'!$N$11),"x","")</f>
        <v/>
      </c>
      <c r="R2499" s="39" t="str">
        <f>IF(AND($M2499=$P$7,$B2499&lt;'111'!$N$11),"x","")</f>
        <v/>
      </c>
      <c r="S2499" s="39" t="str">
        <f>IF(ISERROR(FIND('112'!$M$9,G2499,1)),"",IF((AND(FIND('112'!$M$9,G2499,1)&gt;=1,$B2499&gt;='112'!$N$8,$B2499&lt;='112'!$O$8,OR($L2499='112'!$I$6,$M2499='112'!$I$6))),"x",""))</f>
        <v/>
      </c>
      <c r="T2499" s="39" t="str">
        <f>IF(ISERROR(FIND('112'!$M$9,G2499,1)),"",IF((AND(LEFT(G2499,2)=LEFT('112'!$M$9,2),B2499&lt;'112'!$N$8,$L2499='112'!$I$6)),"x",""))</f>
        <v/>
      </c>
      <c r="U2499" s="39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39" t="str">
        <f>IF(OR(TH!L2499=TH!$W$7,M2499=TH!$W$7),"x","")</f>
        <v/>
      </c>
      <c r="X2499" s="39" t="str">
        <f>IF(AND(B2499&gt;='IN-NX'!$P$3,B2499&lt;='IN-NX'!$Q$3,'IN-NX'!$D$7=D2499,OR(LEFT(L2499,2)="15",AND(LEFT(M2499,2)&lt;&gt;"15",LEFT(M2499,2)&lt;&gt;"33"))),"x","")</f>
        <v/>
      </c>
      <c r="Y2499" s="39" t="str">
        <f>IF(AND(OR(LEFT(TH!L2499,2)="15",LEFT(TH!M2499,2)="15"),'152-CT'!$J$8=TH!F2499),"x","")</f>
        <v/>
      </c>
      <c r="Z2499" s="39" t="str">
        <f>IF(AND(OR(LEFT(TH!L2499,2)="15",LEFT(TH!M2499,2)="15"),TK!$E$7=TH!F2499),"x","")</f>
        <v/>
      </c>
      <c r="AA2499" s="39" t="str">
        <f>IF(AND(B2499&lt;=NKC!$N$8,B2499&gt;=NKC!$M$8),"x","")</f>
        <v/>
      </c>
      <c r="AB2499" s="821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111"/>
        <v/>
      </c>
      <c r="C2500" s="191"/>
      <c r="D2500" s="191"/>
      <c r="E2500" s="786"/>
      <c r="F2500" s="189"/>
      <c r="G2500" s="40"/>
      <c r="H2500" s="7"/>
      <c r="I2500" s="256"/>
      <c r="J2500" s="256"/>
      <c r="K2500" s="56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902" t="str">
        <f>IF(AND('341-CT'!$E$9=H2500,OR(LEFT(L2500,3)=$O$7,LEFT(M2500,3)=$O$7)),"x","")</f>
        <v/>
      </c>
      <c r="P2500" s="39" t="str">
        <f>IF(AND($B2500&gt;='111'!$N$11,$B2500&lt;='111'!$O$11,OR($L2500=$P$7,$M2500=$P$7)),"x","")</f>
        <v/>
      </c>
      <c r="Q2500" s="39" t="str">
        <f>IF(AND($L2500=$P$7,$B2500&lt;'111'!$N$11),"x","")</f>
        <v/>
      </c>
      <c r="R2500" s="39" t="str">
        <f>IF(AND($M2500=$P$7,$B2500&lt;'111'!$N$11),"x","")</f>
        <v/>
      </c>
      <c r="S2500" s="39" t="str">
        <f>IF(ISERROR(FIND('112'!$M$9,G2500,1)),"",IF((AND(FIND('112'!$M$9,G2500,1)&gt;=1,$B2500&gt;='112'!$N$8,$B2500&lt;='112'!$O$8,OR($L2500='112'!$I$6,$M2500='112'!$I$6))),"x",""))</f>
        <v/>
      </c>
      <c r="T2500" s="39" t="str">
        <f>IF(ISERROR(FIND('112'!$M$9,G2500,1)),"",IF((AND(LEFT(G2500,2)=LEFT('112'!$M$9,2),B2500&lt;'112'!$N$8,$L2500='112'!$I$6)),"x",""))</f>
        <v/>
      </c>
      <c r="U2500" s="39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39" t="str">
        <f>IF(OR(TH!L2500=TH!$W$7,M2500=TH!$W$7),"x","")</f>
        <v/>
      </c>
      <c r="X2500" s="39" t="str">
        <f>IF(AND(B2500&gt;='IN-NX'!$P$3,B2500&lt;='IN-NX'!$Q$3,'IN-NX'!$D$7=D2500,OR(LEFT(L2500,2)="15",AND(LEFT(M2500,2)&lt;&gt;"15",LEFT(M2500,2)&lt;&gt;"33"))),"x","")</f>
        <v/>
      </c>
      <c r="Y2500" s="39" t="str">
        <f>IF(AND(OR(LEFT(TH!L2500,2)="15",LEFT(TH!M2500,2)="15"),'152-CT'!$J$8=TH!F2500),"x","")</f>
        <v/>
      </c>
      <c r="Z2500" s="39" t="str">
        <f>IF(AND(OR(LEFT(TH!L2500,2)="15",LEFT(TH!M2500,2)="15"),TK!$E$7=TH!F2500),"x","")</f>
        <v/>
      </c>
      <c r="AA2500" s="39" t="str">
        <f>IF(AND(B2500&lt;=NKC!$N$8,B2500&gt;=NKC!$M$8),"x","")</f>
        <v/>
      </c>
      <c r="AB2500" s="821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111"/>
        <v/>
      </c>
      <c r="C2501" s="191"/>
      <c r="D2501" s="191"/>
      <c r="E2501" s="786"/>
      <c r="F2501" s="40"/>
      <c r="G2501" s="40"/>
      <c r="H2501" s="7"/>
      <c r="I2501" s="256"/>
      <c r="J2501" s="256"/>
      <c r="K2501" s="56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902" t="str">
        <f>IF(AND('341-CT'!$E$9=H2501,OR(LEFT(L2501,3)=$O$7,LEFT(M2501,3)=$O$7)),"x","")</f>
        <v/>
      </c>
      <c r="P2501" s="39" t="str">
        <f>IF(AND($B2501&gt;='111'!$N$11,$B2501&lt;='111'!$O$11,OR($L2501=$P$7,$M2501=$P$7)),"x","")</f>
        <v/>
      </c>
      <c r="Q2501" s="39" t="str">
        <f>IF(AND($L2501=$P$7,$B2501&lt;'111'!$N$11),"x","")</f>
        <v/>
      </c>
      <c r="R2501" s="39" t="str">
        <f>IF(AND($M2501=$P$7,$B2501&lt;'111'!$N$11),"x","")</f>
        <v/>
      </c>
      <c r="S2501" s="39" t="str">
        <f>IF(ISERROR(FIND('112'!$M$9,G2501,1)),"",IF((AND(FIND('112'!$M$9,G2501,1)&gt;=1,$B2501&gt;='112'!$N$8,$B2501&lt;='112'!$O$8,OR($L2501='112'!$I$6,$M2501='112'!$I$6))),"x",""))</f>
        <v/>
      </c>
      <c r="T2501" s="39" t="str">
        <f>IF(ISERROR(FIND('112'!$M$9,G2501,1)),"",IF((AND(LEFT(G2501,2)=LEFT('112'!$M$9,2),B2501&lt;'112'!$N$8,$L2501='112'!$I$6)),"x",""))</f>
        <v/>
      </c>
      <c r="U2501" s="39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39" t="str">
        <f>IF(OR(TH!L2501=TH!$W$7,M2501=TH!$W$7),"x","")</f>
        <v/>
      </c>
      <c r="X2501" s="39" t="str">
        <f>IF(AND(B2501&gt;='IN-NX'!$P$3,B2501&lt;='IN-NX'!$Q$3,'IN-NX'!$D$7=D2501,OR(LEFT(L2501,2)="15",AND(LEFT(M2501,2)&lt;&gt;"15",LEFT(M2501,2)&lt;&gt;"33"))),"x","")</f>
        <v/>
      </c>
      <c r="Y2501" s="39" t="str">
        <f>IF(AND(OR(LEFT(TH!L2501,2)="15",LEFT(TH!M2501,2)="15"),'152-CT'!$J$8=TH!F2501),"x","")</f>
        <v/>
      </c>
      <c r="Z2501" s="39" t="str">
        <f>IF(AND(OR(LEFT(TH!L2501,2)="15",LEFT(TH!M2501,2)="15"),TK!$E$7=TH!F2501),"x","")</f>
        <v/>
      </c>
      <c r="AA2501" s="39" t="str">
        <f>IF(AND(B2501&lt;=NKC!$N$8,B2501&gt;=NKC!$M$8),"x","")</f>
        <v/>
      </c>
      <c r="AB2501" s="821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111"/>
        <v/>
      </c>
      <c r="C2502" s="191"/>
      <c r="D2502" s="191"/>
      <c r="E2502" s="786"/>
      <c r="F2502" s="40"/>
      <c r="G2502" s="40"/>
      <c r="H2502" s="7"/>
      <c r="I2502" s="256"/>
      <c r="J2502" s="256"/>
      <c r="K2502" s="568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902" t="str">
        <f>IF(AND('341-CT'!$E$9=H2502,OR(LEFT(L2502,3)=$O$7,LEFT(M2502,3)=$O$7)),"x","")</f>
        <v/>
      </c>
      <c r="P2502" s="39" t="str">
        <f>IF(AND($B2502&gt;='111'!$N$11,$B2502&lt;='111'!$O$11,OR($L2502=$P$7,$M2502=$P$7)),"x","")</f>
        <v/>
      </c>
      <c r="Q2502" s="39" t="str">
        <f>IF(AND($L2502=$P$7,$B2502&lt;'111'!$N$11),"x","")</f>
        <v/>
      </c>
      <c r="R2502" s="39" t="str">
        <f>IF(AND($M2502=$P$7,$B2502&lt;'111'!$N$11),"x","")</f>
        <v/>
      </c>
      <c r="S2502" s="39" t="str">
        <f>IF(ISERROR(FIND('112'!$M$9,G2502,1)),"",IF((AND(FIND('112'!$M$9,G2502,1)&gt;=1,$B2502&gt;='112'!$N$8,$B2502&lt;='112'!$O$8,OR($L2502='112'!$I$6,$M2502='112'!$I$6))),"x",""))</f>
        <v/>
      </c>
      <c r="T2502" s="39" t="str">
        <f>IF(ISERROR(FIND('112'!$M$9,G2502,1)),"",IF((AND(LEFT(G2502,2)=LEFT('112'!$M$9,2),B2502&lt;'112'!$N$8,$L2502='112'!$I$6)),"x",""))</f>
        <v/>
      </c>
      <c r="U2502" s="39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39" t="str">
        <f>IF(OR(TH!L2502=TH!$W$7,M2502=TH!$W$7),"x","")</f>
        <v/>
      </c>
      <c r="X2502" s="39" t="str">
        <f>IF(AND(B2502&gt;='IN-NX'!$P$3,B2502&lt;='IN-NX'!$Q$3,'IN-NX'!$D$7=D2502,OR(LEFT(L2502,2)="15",AND(LEFT(M2502,2)&lt;&gt;"15",LEFT(M2502,2)&lt;&gt;"33"))),"x","")</f>
        <v/>
      </c>
      <c r="Y2502" s="39" t="str">
        <f>IF(AND(OR(LEFT(TH!L2502,2)="15",LEFT(TH!M2502,2)="15"),'152-CT'!$J$8=TH!F2502),"x","")</f>
        <v/>
      </c>
      <c r="Z2502" s="39" t="str">
        <f>IF(AND(OR(LEFT(TH!L2502,2)="15",LEFT(TH!M2502,2)="15"),TK!$E$7=TH!F2502),"x","")</f>
        <v/>
      </c>
      <c r="AA2502" s="39" t="str">
        <f>IF(AND(B2502&lt;=NKC!$N$8,B2502&gt;=NKC!$M$8),"x","")</f>
        <v/>
      </c>
      <c r="AB2502" s="821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111"/>
        <v/>
      </c>
      <c r="C2503" s="191"/>
      <c r="D2503" s="191"/>
      <c r="E2503" s="786"/>
      <c r="F2503" s="40"/>
      <c r="G2503" s="40"/>
      <c r="H2503" s="7"/>
      <c r="I2503" s="256"/>
      <c r="J2503" s="256"/>
      <c r="K2503" s="568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902" t="str">
        <f>IF(AND('341-CT'!$E$9=H2503,OR(LEFT(L2503,3)=$O$7,LEFT(M2503,3)=$O$7)),"x","")</f>
        <v/>
      </c>
      <c r="P2503" s="39" t="str">
        <f>IF(AND($B2503&gt;='111'!$N$11,$B2503&lt;='111'!$O$11,OR($L2503=$P$7,$M2503=$P$7)),"x","")</f>
        <v/>
      </c>
      <c r="Q2503" s="39" t="str">
        <f>IF(AND($L2503=$P$7,$B2503&lt;'111'!$N$11),"x","")</f>
        <v/>
      </c>
      <c r="R2503" s="39" t="str">
        <f>IF(AND($M2503=$P$7,$B2503&lt;'111'!$N$11),"x","")</f>
        <v/>
      </c>
      <c r="S2503" s="39" t="str">
        <f>IF(ISERROR(FIND('112'!$M$9,G2503,1)),"",IF((AND(FIND('112'!$M$9,G2503,1)&gt;=1,$B2503&gt;='112'!$N$8,$B2503&lt;='112'!$O$8,OR($L2503='112'!$I$6,$M2503='112'!$I$6))),"x",""))</f>
        <v/>
      </c>
      <c r="T2503" s="39" t="str">
        <f>IF(ISERROR(FIND('112'!$M$9,G2503,1)),"",IF((AND(LEFT(G2503,2)=LEFT('112'!$M$9,2),B2503&lt;'112'!$N$8,$L2503='112'!$I$6)),"x",""))</f>
        <v/>
      </c>
      <c r="U2503" s="39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39" t="str">
        <f>IF(OR(TH!L2503=TH!$W$7,M2503=TH!$W$7),"x","")</f>
        <v/>
      </c>
      <c r="X2503" s="39" t="str">
        <f>IF(AND(B2503&gt;='IN-NX'!$P$3,B2503&lt;='IN-NX'!$Q$3,'IN-NX'!$D$7=D2503,OR(LEFT(L2503,2)="15",AND(LEFT(M2503,2)&lt;&gt;"15",LEFT(M2503,2)&lt;&gt;"33"))),"x","")</f>
        <v/>
      </c>
      <c r="Y2503" s="39" t="str">
        <f>IF(AND(OR(LEFT(TH!L2503,2)="15",LEFT(TH!M2503,2)="15"),'152-CT'!$J$8=TH!F2503),"x","")</f>
        <v/>
      </c>
      <c r="Z2503" s="39" t="str">
        <f>IF(AND(OR(LEFT(TH!L2503,2)="15",LEFT(TH!M2503,2)="15"),TK!$E$7=TH!F2503),"x","")</f>
        <v/>
      </c>
      <c r="AA2503" s="39" t="str">
        <f>IF(AND(B2503&lt;=NKC!$N$8,B2503&gt;=NKC!$M$8),"x","")</f>
        <v/>
      </c>
      <c r="AB2503" s="821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111"/>
        <v/>
      </c>
      <c r="C2504" s="191"/>
      <c r="D2504" s="191"/>
      <c r="E2504" s="786"/>
      <c r="F2504" s="40"/>
      <c r="G2504" s="40"/>
      <c r="H2504" s="7"/>
      <c r="I2504" s="256"/>
      <c r="J2504" s="256"/>
      <c r="K2504" s="568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902" t="str">
        <f>IF(AND('341-CT'!$E$9=H2504,OR(LEFT(L2504,3)=$O$7,LEFT(M2504,3)=$O$7)),"x","")</f>
        <v/>
      </c>
      <c r="P2504" s="39" t="str">
        <f>IF(AND($B2504&gt;='111'!$N$11,$B2504&lt;='111'!$O$11,OR($L2504=$P$7,$M2504=$P$7)),"x","")</f>
        <v/>
      </c>
      <c r="Q2504" s="39" t="str">
        <f>IF(AND($L2504=$P$7,$B2504&lt;'111'!$N$11),"x","")</f>
        <v/>
      </c>
      <c r="R2504" s="39" t="str">
        <f>IF(AND($M2504=$P$7,$B2504&lt;'111'!$N$11),"x","")</f>
        <v/>
      </c>
      <c r="S2504" s="39" t="str">
        <f>IF(ISERROR(FIND('112'!$M$9,G2504,1)),"",IF((AND(FIND('112'!$M$9,G2504,1)&gt;=1,$B2504&gt;='112'!$N$8,$B2504&lt;='112'!$O$8,OR($L2504='112'!$I$6,$M2504='112'!$I$6))),"x",""))</f>
        <v/>
      </c>
      <c r="T2504" s="39" t="str">
        <f>IF(ISERROR(FIND('112'!$M$9,G2504,1)),"",IF((AND(LEFT(G2504,2)=LEFT('112'!$M$9,2),B2504&lt;'112'!$N$8,$L2504='112'!$I$6)),"x",""))</f>
        <v/>
      </c>
      <c r="U2504" s="39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39" t="str">
        <f>IF(OR(TH!L2504=TH!$W$7,M2504=TH!$W$7),"x","")</f>
        <v/>
      </c>
      <c r="X2504" s="39" t="str">
        <f>IF(AND(B2504&gt;='IN-NX'!$P$3,B2504&lt;='IN-NX'!$Q$3,'IN-NX'!$D$7=D2504,OR(LEFT(L2504,2)="15",AND(LEFT(M2504,2)&lt;&gt;"15",LEFT(M2504,2)&lt;&gt;"33"))),"x","")</f>
        <v/>
      </c>
      <c r="Y2504" s="39" t="str">
        <f>IF(AND(OR(LEFT(TH!L2504,2)="15",LEFT(TH!M2504,2)="15"),'152-CT'!$J$8=TH!F2504),"x","")</f>
        <v/>
      </c>
      <c r="Z2504" s="39" t="str">
        <f>IF(AND(OR(LEFT(TH!L2504,2)="15",LEFT(TH!M2504,2)="15"),TK!$E$7=TH!F2504),"x","")</f>
        <v/>
      </c>
      <c r="AA2504" s="39" t="str">
        <f>IF(AND(B2504&lt;=NKC!$N$8,B2504&gt;=NKC!$M$8),"x","")</f>
        <v/>
      </c>
      <c r="AB2504" s="821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111"/>
        <v/>
      </c>
      <c r="C2505" s="191"/>
      <c r="D2505" s="191"/>
      <c r="E2505" s="786"/>
      <c r="F2505" s="40"/>
      <c r="G2505" s="40"/>
      <c r="H2505" s="7"/>
      <c r="I2505" s="256"/>
      <c r="J2505" s="256"/>
      <c r="K2505" s="568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902" t="str">
        <f>IF(AND('341-CT'!$E$9=H2505,OR(LEFT(L2505,3)=$O$7,LEFT(M2505,3)=$O$7)),"x","")</f>
        <v/>
      </c>
      <c r="P2505" s="39" t="str">
        <f>IF(AND($B2505&gt;='111'!$N$11,$B2505&lt;='111'!$O$11,OR($L2505=$P$7,$M2505=$P$7)),"x","")</f>
        <v/>
      </c>
      <c r="Q2505" s="39" t="str">
        <f>IF(AND($L2505=$P$7,$B2505&lt;'111'!$N$11),"x","")</f>
        <v/>
      </c>
      <c r="R2505" s="39" t="str">
        <f>IF(AND($M2505=$P$7,$B2505&lt;'111'!$N$11),"x","")</f>
        <v/>
      </c>
      <c r="S2505" s="39" t="str">
        <f>IF(ISERROR(FIND('112'!$M$9,G2505,1)),"",IF((AND(FIND('112'!$M$9,G2505,1)&gt;=1,$B2505&gt;='112'!$N$8,$B2505&lt;='112'!$O$8,OR($L2505='112'!$I$6,$M2505='112'!$I$6))),"x",""))</f>
        <v/>
      </c>
      <c r="T2505" s="39" t="str">
        <f>IF(ISERROR(FIND('112'!$M$9,G2505,1)),"",IF((AND(LEFT(G2505,2)=LEFT('112'!$M$9,2),B2505&lt;'112'!$N$8,$L2505='112'!$I$6)),"x",""))</f>
        <v/>
      </c>
      <c r="U2505" s="39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39" t="str">
        <f>IF(OR(TH!L2505=TH!$W$7,M2505=TH!$W$7),"x","")</f>
        <v/>
      </c>
      <c r="X2505" s="39" t="str">
        <f>IF(AND(B2505&gt;='IN-NX'!$P$3,B2505&lt;='IN-NX'!$Q$3,'IN-NX'!$D$7=D2505,OR(LEFT(L2505,2)="15",AND(LEFT(M2505,2)&lt;&gt;"15",LEFT(M2505,2)&lt;&gt;"33"))),"x","")</f>
        <v/>
      </c>
      <c r="Y2505" s="39" t="str">
        <f>IF(AND(OR(LEFT(TH!L2505,2)="15",LEFT(TH!M2505,2)="15"),'152-CT'!$J$8=TH!F2505),"x","")</f>
        <v/>
      </c>
      <c r="Z2505" s="39" t="str">
        <f>IF(AND(OR(LEFT(TH!L2505,2)="15",LEFT(TH!M2505,2)="15"),TK!$E$7=TH!F2505),"x","")</f>
        <v/>
      </c>
      <c r="AA2505" s="39" t="str">
        <f>IF(AND(B2505&lt;=NKC!$N$8,B2505&gt;=NKC!$M$8),"x","")</f>
        <v/>
      </c>
      <c r="AB2505" s="821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111"/>
        <v/>
      </c>
      <c r="C2506" s="191"/>
      <c r="D2506" s="191"/>
      <c r="E2506" s="786"/>
      <c r="F2506" s="40"/>
      <c r="G2506" s="40"/>
      <c r="H2506" s="7"/>
      <c r="I2506" s="256"/>
      <c r="J2506" s="256"/>
      <c r="K2506" s="568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902" t="str">
        <f>IF(AND('341-CT'!$E$9=H2506,OR(LEFT(L2506,3)=$O$7,LEFT(M2506,3)=$O$7)),"x","")</f>
        <v/>
      </c>
      <c r="P2506" s="39" t="str">
        <f>IF(AND($B2506&gt;='111'!$N$11,$B2506&lt;='111'!$O$11,OR($L2506=$P$7,$M2506=$P$7)),"x","")</f>
        <v/>
      </c>
      <c r="Q2506" s="39" t="str">
        <f>IF(AND($L2506=$P$7,$B2506&lt;'111'!$N$11),"x","")</f>
        <v/>
      </c>
      <c r="R2506" s="39" t="str">
        <f>IF(AND($M2506=$P$7,$B2506&lt;'111'!$N$11),"x","")</f>
        <v/>
      </c>
      <c r="S2506" s="39" t="str">
        <f>IF(ISERROR(FIND('112'!$M$9,G2506,1)),"",IF((AND(FIND('112'!$M$9,G2506,1)&gt;=1,$B2506&gt;='112'!$N$8,$B2506&lt;='112'!$O$8,OR($L2506='112'!$I$6,$M2506='112'!$I$6))),"x",""))</f>
        <v/>
      </c>
      <c r="T2506" s="39" t="str">
        <f>IF(ISERROR(FIND('112'!$M$9,G2506,1)),"",IF((AND(LEFT(G2506,2)=LEFT('112'!$M$9,2),B2506&lt;'112'!$N$8,$L2506='112'!$I$6)),"x",""))</f>
        <v/>
      </c>
      <c r="U2506" s="39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39" t="str">
        <f>IF(OR(TH!L2506=TH!$W$7,M2506=TH!$W$7),"x","")</f>
        <v/>
      </c>
      <c r="X2506" s="39" t="str">
        <f>IF(AND(B2506&gt;='IN-NX'!$P$3,B2506&lt;='IN-NX'!$Q$3,'IN-NX'!$D$7=D2506,OR(LEFT(L2506,2)="15",AND(LEFT(M2506,2)&lt;&gt;"15",LEFT(M2506,2)&lt;&gt;"33"))),"x","")</f>
        <v/>
      </c>
      <c r="Y2506" s="39" t="str">
        <f>IF(AND(OR(LEFT(TH!L2506,2)="15",LEFT(TH!M2506,2)="15"),'152-CT'!$J$8=TH!F2506),"x","")</f>
        <v/>
      </c>
      <c r="Z2506" s="39" t="str">
        <f>IF(AND(OR(LEFT(TH!L2506,2)="15",LEFT(TH!M2506,2)="15"),TK!$E$7=TH!F2506),"x","")</f>
        <v/>
      </c>
      <c r="AA2506" s="39" t="str">
        <f>IF(AND(B2506&lt;=NKC!$N$8,B2506&gt;=NKC!$M$8),"x","")</f>
        <v/>
      </c>
      <c r="AB2506" s="821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111"/>
        <v/>
      </c>
      <c r="C2507" s="191"/>
      <c r="D2507" s="191"/>
      <c r="E2507" s="786"/>
      <c r="F2507" s="40"/>
      <c r="G2507" s="40"/>
      <c r="H2507" s="7"/>
      <c r="I2507" s="256"/>
      <c r="J2507" s="256"/>
      <c r="K2507" s="568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902" t="str">
        <f>IF(AND('341-CT'!$E$9=H2507,OR(LEFT(L2507,3)=$O$7,LEFT(M2507,3)=$O$7)),"x","")</f>
        <v/>
      </c>
      <c r="P2507" s="39" t="str">
        <f>IF(AND($B2507&gt;='111'!$N$11,$B2507&lt;='111'!$O$11,OR($L2507=$P$7,$M2507=$P$7)),"x","")</f>
        <v/>
      </c>
      <c r="Q2507" s="39" t="str">
        <f>IF(AND($L2507=$P$7,$B2507&lt;'111'!$N$11),"x","")</f>
        <v/>
      </c>
      <c r="R2507" s="39" t="str">
        <f>IF(AND($M2507=$P$7,$B2507&lt;'111'!$N$11),"x","")</f>
        <v/>
      </c>
      <c r="S2507" s="39" t="str">
        <f>IF(ISERROR(FIND('112'!$M$9,G2507,1)),"",IF((AND(FIND('112'!$M$9,G2507,1)&gt;=1,$B2507&gt;='112'!$N$8,$B2507&lt;='112'!$O$8,OR($L2507='112'!$I$6,$M2507='112'!$I$6))),"x",""))</f>
        <v/>
      </c>
      <c r="T2507" s="39" t="str">
        <f>IF(ISERROR(FIND('112'!$M$9,G2507,1)),"",IF((AND(LEFT(G2507,2)=LEFT('112'!$M$9,2),B2507&lt;'112'!$N$8,$L2507='112'!$I$6)),"x",""))</f>
        <v/>
      </c>
      <c r="U2507" s="39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39" t="str">
        <f>IF(OR(TH!L2507=TH!$W$7,M2507=TH!$W$7),"x","")</f>
        <v/>
      </c>
      <c r="X2507" s="39" t="str">
        <f>IF(AND(B2507&gt;='IN-NX'!$P$3,B2507&lt;='IN-NX'!$Q$3,'IN-NX'!$D$7=D2507,OR(LEFT(L2507,2)="15",AND(LEFT(M2507,2)&lt;&gt;"15",LEFT(M2507,2)&lt;&gt;"33"))),"x","")</f>
        <v/>
      </c>
      <c r="Y2507" s="39" t="str">
        <f>IF(AND(OR(LEFT(TH!L2507,2)="15",LEFT(TH!M2507,2)="15"),'152-CT'!$J$8=TH!F2507),"x","")</f>
        <v/>
      </c>
      <c r="Z2507" s="39" t="str">
        <f>IF(AND(OR(LEFT(TH!L2507,2)="15",LEFT(TH!M2507,2)="15"),TK!$E$7=TH!F2507),"x","")</f>
        <v/>
      </c>
      <c r="AA2507" s="39" t="str">
        <f>IF(AND(B2507&lt;=NKC!$N$8,B2507&gt;=NKC!$M$8),"x","")</f>
        <v/>
      </c>
      <c r="AB2507" s="821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111"/>
        <v/>
      </c>
      <c r="C2508" s="191"/>
      <c r="D2508" s="191"/>
      <c r="E2508" s="786"/>
      <c r="F2508" s="40"/>
      <c r="G2508" s="40"/>
      <c r="H2508" s="7"/>
      <c r="I2508" s="256"/>
      <c r="J2508" s="256"/>
      <c r="K2508" s="568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902" t="str">
        <f>IF(AND('341-CT'!$E$9=H2508,OR(LEFT(L2508,3)=$O$7,LEFT(M2508,3)=$O$7)),"x","")</f>
        <v/>
      </c>
      <c r="P2508" s="39" t="str">
        <f>IF(AND($B2508&gt;='111'!$N$11,$B2508&lt;='111'!$O$11,OR($L2508=$P$7,$M2508=$P$7)),"x","")</f>
        <v/>
      </c>
      <c r="Q2508" s="39" t="str">
        <f>IF(AND($L2508=$P$7,$B2508&lt;'111'!$N$11),"x","")</f>
        <v/>
      </c>
      <c r="R2508" s="39" t="str">
        <f>IF(AND($M2508=$P$7,$B2508&lt;'111'!$N$11),"x","")</f>
        <v/>
      </c>
      <c r="S2508" s="39" t="str">
        <f>IF(ISERROR(FIND('112'!$M$9,G2508,1)),"",IF((AND(FIND('112'!$M$9,G2508,1)&gt;=1,$B2508&gt;='112'!$N$8,$B2508&lt;='112'!$O$8,OR($L2508='112'!$I$6,$M2508='112'!$I$6))),"x",""))</f>
        <v/>
      </c>
      <c r="T2508" s="39" t="str">
        <f>IF(ISERROR(FIND('112'!$M$9,G2508,1)),"",IF((AND(LEFT(G2508,2)=LEFT('112'!$M$9,2),B2508&lt;'112'!$N$8,$L2508='112'!$I$6)),"x",""))</f>
        <v/>
      </c>
      <c r="U2508" s="39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39" t="str">
        <f>IF(OR(TH!L2508=TH!$W$7,M2508=TH!$W$7),"x","")</f>
        <v/>
      </c>
      <c r="X2508" s="39" t="str">
        <f>IF(AND(B2508&gt;='IN-NX'!$P$3,B2508&lt;='IN-NX'!$Q$3,'IN-NX'!$D$7=D2508,OR(LEFT(L2508,2)="15",AND(LEFT(M2508,2)&lt;&gt;"15",LEFT(M2508,2)&lt;&gt;"33"))),"x","")</f>
        <v/>
      </c>
      <c r="Y2508" s="39" t="str">
        <f>IF(AND(OR(LEFT(TH!L2508,2)="15",LEFT(TH!M2508,2)="15"),'152-CT'!$J$8=TH!F2508),"x","")</f>
        <v/>
      </c>
      <c r="Z2508" s="39" t="str">
        <f>IF(AND(OR(LEFT(TH!L2508,2)="15",LEFT(TH!M2508,2)="15"),TK!$E$7=TH!F2508),"x","")</f>
        <v/>
      </c>
      <c r="AA2508" s="39" t="str">
        <f>IF(AND(B2508&lt;=NKC!$N$8,B2508&gt;=NKC!$M$8),"x","")</f>
        <v/>
      </c>
      <c r="AB2508" s="821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111"/>
        <v/>
      </c>
      <c r="C2509" s="191"/>
      <c r="D2509" s="191"/>
      <c r="E2509" s="786"/>
      <c r="F2509" s="189"/>
      <c r="G2509" s="40"/>
      <c r="H2509" s="7"/>
      <c r="I2509" s="256"/>
      <c r="J2509" s="256"/>
      <c r="K2509" s="568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902" t="str">
        <f>IF(AND('341-CT'!$E$9=H2509,OR(LEFT(L2509,3)=$O$7,LEFT(M2509,3)=$O$7)),"x","")</f>
        <v/>
      </c>
      <c r="P2509" s="39" t="str">
        <f>IF(AND($B2509&gt;='111'!$N$11,$B2509&lt;='111'!$O$11,OR($L2509=$P$7,$M2509=$P$7)),"x","")</f>
        <v/>
      </c>
      <c r="Q2509" s="39" t="str">
        <f>IF(AND($L2509=$P$7,$B2509&lt;'111'!$N$11),"x","")</f>
        <v/>
      </c>
      <c r="R2509" s="39" t="str">
        <f>IF(AND($M2509=$P$7,$B2509&lt;'111'!$N$11),"x","")</f>
        <v/>
      </c>
      <c r="S2509" s="39" t="str">
        <f>IF(ISERROR(FIND('112'!$M$9,G2509,1)),"",IF((AND(FIND('112'!$M$9,G2509,1)&gt;=1,$B2509&gt;='112'!$N$8,$B2509&lt;='112'!$O$8,OR($L2509='112'!$I$6,$M2509='112'!$I$6))),"x",""))</f>
        <v/>
      </c>
      <c r="T2509" s="39" t="str">
        <f>IF(ISERROR(FIND('112'!$M$9,G2509,1)),"",IF((AND(LEFT(G2509,2)=LEFT('112'!$M$9,2),B2509&lt;'112'!$N$8,$L2509='112'!$I$6)),"x",""))</f>
        <v/>
      </c>
      <c r="U2509" s="39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39" t="str">
        <f>IF(OR(TH!L2509=TH!$W$7,M2509=TH!$W$7),"x","")</f>
        <v/>
      </c>
      <c r="X2509" s="39" t="str">
        <f>IF(AND(B2509&gt;='IN-NX'!$P$3,B2509&lt;='IN-NX'!$Q$3,'IN-NX'!$D$7=D2509,OR(LEFT(L2509,2)="15",AND(LEFT(M2509,2)&lt;&gt;"15",LEFT(M2509,2)&lt;&gt;"33"))),"x","")</f>
        <v/>
      </c>
      <c r="Y2509" s="39" t="str">
        <f>IF(AND(OR(LEFT(TH!L2509,2)="15",LEFT(TH!M2509,2)="15"),'152-CT'!$J$8=TH!F2509),"x","")</f>
        <v/>
      </c>
      <c r="Z2509" s="39" t="str">
        <f>IF(AND(OR(LEFT(TH!L2509,2)="15",LEFT(TH!M2509,2)="15"),TK!$E$7=TH!F2509),"x","")</f>
        <v/>
      </c>
      <c r="AA2509" s="39" t="str">
        <f>IF(AND(B2509&lt;=NKC!$N$8,B2509&gt;=NKC!$M$8),"x","")</f>
        <v/>
      </c>
      <c r="AB2509" s="821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111"/>
        <v/>
      </c>
      <c r="C2510" s="191"/>
      <c r="D2510" s="191"/>
      <c r="E2510" s="786"/>
      <c r="F2510" s="40"/>
      <c r="G2510" s="40"/>
      <c r="H2510" s="7"/>
      <c r="I2510" s="256"/>
      <c r="J2510" s="256"/>
      <c r="K2510" s="568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902" t="str">
        <f>IF(AND('341-CT'!$E$9=H2510,OR(LEFT(L2510,3)=$O$7,LEFT(M2510,3)=$O$7)),"x","")</f>
        <v/>
      </c>
      <c r="P2510" s="39" t="str">
        <f>IF(AND($B2510&gt;='111'!$N$11,$B2510&lt;='111'!$O$11,OR($L2510=$P$7,$M2510=$P$7)),"x","")</f>
        <v/>
      </c>
      <c r="Q2510" s="39" t="str">
        <f>IF(AND($L2510=$P$7,$B2510&lt;'111'!$N$11),"x","")</f>
        <v/>
      </c>
      <c r="R2510" s="39" t="str">
        <f>IF(AND($M2510=$P$7,$B2510&lt;'111'!$N$11),"x","")</f>
        <v/>
      </c>
      <c r="S2510" s="39" t="str">
        <f>IF(ISERROR(FIND('112'!$M$9,G2510,1)),"",IF((AND(FIND('112'!$M$9,G2510,1)&gt;=1,$B2510&gt;='112'!$N$8,$B2510&lt;='112'!$O$8,OR($L2510='112'!$I$6,$M2510='112'!$I$6))),"x",""))</f>
        <v/>
      </c>
      <c r="T2510" s="39" t="str">
        <f>IF(ISERROR(FIND('112'!$M$9,G2510,1)),"",IF((AND(LEFT(G2510,2)=LEFT('112'!$M$9,2),B2510&lt;'112'!$N$8,$L2510='112'!$I$6)),"x",""))</f>
        <v/>
      </c>
      <c r="U2510" s="39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39" t="str">
        <f>IF(OR(TH!L2510=TH!$W$7,M2510=TH!$W$7),"x","")</f>
        <v/>
      </c>
      <c r="X2510" s="39" t="str">
        <f>IF(AND(B2510&gt;='IN-NX'!$P$3,B2510&lt;='IN-NX'!$Q$3,'IN-NX'!$D$7=D2510,OR(LEFT(L2510,2)="15",AND(LEFT(M2510,2)&lt;&gt;"15",LEFT(M2510,2)&lt;&gt;"33"))),"x","")</f>
        <v/>
      </c>
      <c r="Y2510" s="39" t="str">
        <f>IF(AND(OR(LEFT(TH!L2510,2)="15",LEFT(TH!M2510,2)="15"),'152-CT'!$J$8=TH!F2510),"x","")</f>
        <v/>
      </c>
      <c r="Z2510" s="39" t="str">
        <f>IF(AND(OR(LEFT(TH!L2510,2)="15",LEFT(TH!M2510,2)="15"),TK!$E$7=TH!F2510),"x","")</f>
        <v/>
      </c>
      <c r="AA2510" s="39" t="str">
        <f>IF(AND(B2510&lt;=NKC!$N$8,B2510&gt;=NKC!$M$8),"x","")</f>
        <v/>
      </c>
      <c r="AB2510" s="821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111"/>
        <v/>
      </c>
      <c r="C2511" s="191"/>
      <c r="D2511" s="37"/>
      <c r="E2511" s="786"/>
      <c r="F2511" s="40"/>
      <c r="G2511" s="40"/>
      <c r="H2511" s="7"/>
      <c r="I2511" s="256"/>
      <c r="J2511" s="256"/>
      <c r="K2511" s="568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902" t="str">
        <f>IF(AND('341-CT'!$E$9=H2511,OR(LEFT(L2511,3)=$O$7,LEFT(M2511,3)=$O$7)),"x","")</f>
        <v/>
      </c>
      <c r="P2511" s="39" t="str">
        <f>IF(AND($B2511&gt;='111'!$N$11,$B2511&lt;='111'!$O$11,OR($L2511=$P$7,$M2511=$P$7)),"x","")</f>
        <v/>
      </c>
      <c r="Q2511" s="39" t="str">
        <f>IF(AND($L2511=$P$7,$B2511&lt;'111'!$N$11),"x","")</f>
        <v/>
      </c>
      <c r="R2511" s="39" t="str">
        <f>IF(AND($M2511=$P$7,$B2511&lt;'111'!$N$11),"x","")</f>
        <v/>
      </c>
      <c r="S2511" s="39" t="str">
        <f>IF(ISERROR(FIND('112'!$M$9,G2511,1)),"",IF((AND(FIND('112'!$M$9,G2511,1)&gt;=1,$B2511&gt;='112'!$N$8,$B2511&lt;='112'!$O$8,OR($L2511='112'!$I$6,$M2511='112'!$I$6))),"x",""))</f>
        <v/>
      </c>
      <c r="T2511" s="39" t="str">
        <f>IF(ISERROR(FIND('112'!$M$9,G2511,1)),"",IF((AND(LEFT(G2511,2)=LEFT('112'!$M$9,2),B2511&lt;'112'!$N$8,$L2511='112'!$I$6)),"x",""))</f>
        <v/>
      </c>
      <c r="U2511" s="39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39" t="str">
        <f>IF(OR(TH!L2511=TH!$W$7,M2511=TH!$W$7),"x","")</f>
        <v/>
      </c>
      <c r="X2511" s="39" t="str">
        <f>IF(AND(B2511&gt;='IN-NX'!$P$3,B2511&lt;='IN-NX'!$Q$3,'IN-NX'!$D$7=D2511,OR(LEFT(L2511,2)="15",AND(LEFT(M2511,2)&lt;&gt;"15",LEFT(M2511,2)&lt;&gt;"33"))),"x","")</f>
        <v/>
      </c>
      <c r="Y2511" s="39" t="str">
        <f>IF(AND(OR(LEFT(TH!L2511,2)="15",LEFT(TH!M2511,2)="15"),'152-CT'!$J$8=TH!F2511),"x","")</f>
        <v/>
      </c>
      <c r="Z2511" s="39" t="str">
        <f>IF(AND(OR(LEFT(TH!L2511,2)="15",LEFT(TH!M2511,2)="15"),TK!$E$7=TH!F2511),"x","")</f>
        <v/>
      </c>
      <c r="AA2511" s="39" t="str">
        <f>IF(AND(B2511&lt;=NKC!$N$8,B2511&gt;=NKC!$M$8),"x","")</f>
        <v/>
      </c>
      <c r="AB2511" s="821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111"/>
        <v/>
      </c>
      <c r="C2512" s="191"/>
      <c r="D2512" s="37"/>
      <c r="E2512" s="786"/>
      <c r="F2512" s="40"/>
      <c r="G2512" s="40"/>
      <c r="H2512" s="7"/>
      <c r="I2512" s="256"/>
      <c r="J2512" s="256"/>
      <c r="K2512" s="568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902" t="str">
        <f>IF(AND('341-CT'!$E$9=H2512,OR(LEFT(L2512,3)=$O$7,LEFT(M2512,3)=$O$7)),"x","")</f>
        <v/>
      </c>
      <c r="P2512" s="39" t="str">
        <f>IF(AND($B2512&gt;='111'!$N$11,$B2512&lt;='111'!$O$11,OR($L2512=$P$7,$M2512=$P$7)),"x","")</f>
        <v/>
      </c>
      <c r="Q2512" s="39" t="str">
        <f>IF(AND($L2512=$P$7,$B2512&lt;'111'!$N$11),"x","")</f>
        <v/>
      </c>
      <c r="R2512" s="39" t="str">
        <f>IF(AND($M2512=$P$7,$B2512&lt;'111'!$N$11),"x","")</f>
        <v/>
      </c>
      <c r="S2512" s="39" t="str">
        <f>IF(ISERROR(FIND('112'!$M$9,G2512,1)),"",IF((AND(FIND('112'!$M$9,G2512,1)&gt;=1,$B2512&gt;='112'!$N$8,$B2512&lt;='112'!$O$8,OR($L2512='112'!$I$6,$M2512='112'!$I$6))),"x",""))</f>
        <v/>
      </c>
      <c r="T2512" s="39" t="str">
        <f>IF(ISERROR(FIND('112'!$M$9,G2512,1)),"",IF((AND(LEFT(G2512,2)=LEFT('112'!$M$9,2),B2512&lt;'112'!$N$8,$L2512='112'!$I$6)),"x",""))</f>
        <v/>
      </c>
      <c r="U2512" s="39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39" t="str">
        <f>IF(OR(TH!L2512=TH!$W$7,M2512=TH!$W$7),"x","")</f>
        <v/>
      </c>
      <c r="X2512" s="39" t="str">
        <f>IF(AND(B2512&gt;='IN-NX'!$P$3,B2512&lt;='IN-NX'!$Q$3,'IN-NX'!$D$7=D2512,OR(LEFT(L2512,2)="15",AND(LEFT(M2512,2)&lt;&gt;"15",LEFT(M2512,2)&lt;&gt;"33"))),"x","")</f>
        <v/>
      </c>
      <c r="Y2512" s="39" t="str">
        <f>IF(AND(OR(LEFT(TH!L2512,2)="15",LEFT(TH!M2512,2)="15"),'152-CT'!$J$8=TH!F2512),"x","")</f>
        <v/>
      </c>
      <c r="Z2512" s="39" t="str">
        <f>IF(AND(OR(LEFT(TH!L2512,2)="15",LEFT(TH!M2512,2)="15"),TK!$E$7=TH!F2512),"x","")</f>
        <v/>
      </c>
      <c r="AA2512" s="39" t="str">
        <f>IF(AND(B2512&lt;=NKC!$N$8,B2512&gt;=NKC!$M$8),"x","")</f>
        <v/>
      </c>
      <c r="AB2512" s="821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111"/>
        <v/>
      </c>
      <c r="C2513" s="191"/>
      <c r="D2513" s="37"/>
      <c r="E2513" s="786"/>
      <c r="F2513" s="40"/>
      <c r="G2513" s="40"/>
      <c r="H2513" s="7"/>
      <c r="I2513" s="256"/>
      <c r="J2513" s="256"/>
      <c r="K2513" s="568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902" t="str">
        <f>IF(AND('341-CT'!$E$9=H2513,OR(LEFT(L2513,3)=$O$7,LEFT(M2513,3)=$O$7)),"x","")</f>
        <v/>
      </c>
      <c r="P2513" s="39" t="str">
        <f>IF(AND($B2513&gt;='111'!$N$11,$B2513&lt;='111'!$O$11,OR($L2513=$P$7,$M2513=$P$7)),"x","")</f>
        <v/>
      </c>
      <c r="Q2513" s="39" t="str">
        <f>IF(AND($L2513=$P$7,$B2513&lt;'111'!$N$11),"x","")</f>
        <v/>
      </c>
      <c r="R2513" s="39" t="str">
        <f>IF(AND($M2513=$P$7,$B2513&lt;'111'!$N$11),"x","")</f>
        <v/>
      </c>
      <c r="S2513" s="39" t="str">
        <f>IF(ISERROR(FIND('112'!$M$9,G2513,1)),"",IF((AND(FIND('112'!$M$9,G2513,1)&gt;=1,$B2513&gt;='112'!$N$8,$B2513&lt;='112'!$O$8,OR($L2513='112'!$I$6,$M2513='112'!$I$6))),"x",""))</f>
        <v/>
      </c>
      <c r="T2513" s="39" t="str">
        <f>IF(ISERROR(FIND('112'!$M$9,G2513,1)),"",IF((AND(LEFT(G2513,2)=LEFT('112'!$M$9,2),B2513&lt;'112'!$N$8,$L2513='112'!$I$6)),"x",""))</f>
        <v/>
      </c>
      <c r="U2513" s="39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39" t="str">
        <f>IF(OR(TH!L2513=TH!$W$7,M2513=TH!$W$7),"x","")</f>
        <v/>
      </c>
      <c r="X2513" s="39" t="str">
        <f>IF(AND(B2513&gt;='IN-NX'!$P$3,B2513&lt;='IN-NX'!$Q$3,'IN-NX'!$D$7=D2513,OR(LEFT(L2513,2)="15",AND(LEFT(M2513,2)&lt;&gt;"15",LEFT(M2513,2)&lt;&gt;"33"))),"x","")</f>
        <v/>
      </c>
      <c r="Y2513" s="39" t="str">
        <f>IF(AND(OR(LEFT(TH!L2513,2)="15",LEFT(TH!M2513,2)="15"),'152-CT'!$J$8=TH!F2513),"x","")</f>
        <v/>
      </c>
      <c r="Z2513" s="39" t="str">
        <f>IF(AND(OR(LEFT(TH!L2513,2)="15",LEFT(TH!M2513,2)="15"),TK!$E$7=TH!F2513),"x","")</f>
        <v/>
      </c>
      <c r="AA2513" s="39" t="str">
        <f>IF(AND(B2513&lt;=NKC!$N$8,B2513&gt;=NKC!$M$8),"x","")</f>
        <v/>
      </c>
      <c r="AB2513" s="821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111"/>
        <v/>
      </c>
      <c r="C2514" s="191"/>
      <c r="D2514" s="37"/>
      <c r="E2514" s="786"/>
      <c r="F2514" s="40"/>
      <c r="G2514" s="40"/>
      <c r="H2514" s="7"/>
      <c r="I2514" s="256"/>
      <c r="J2514" s="256"/>
      <c r="K2514" s="568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902" t="str">
        <f>IF(AND('341-CT'!$E$9=H2514,OR(LEFT(L2514,3)=$O$7,LEFT(M2514,3)=$O$7)),"x","")</f>
        <v/>
      </c>
      <c r="P2514" s="39" t="str">
        <f>IF(AND($B2514&gt;='111'!$N$11,$B2514&lt;='111'!$O$11,OR($L2514=$P$7,$M2514=$P$7)),"x","")</f>
        <v/>
      </c>
      <c r="Q2514" s="39" t="str">
        <f>IF(AND($L2514=$P$7,$B2514&lt;'111'!$N$11),"x","")</f>
        <v/>
      </c>
      <c r="R2514" s="39" t="str">
        <f>IF(AND($M2514=$P$7,$B2514&lt;'111'!$N$11),"x","")</f>
        <v/>
      </c>
      <c r="S2514" s="39" t="str">
        <f>IF(ISERROR(FIND('112'!$M$9,G2514,1)),"",IF((AND(FIND('112'!$M$9,G2514,1)&gt;=1,$B2514&gt;='112'!$N$8,$B2514&lt;='112'!$O$8,OR($L2514='112'!$I$6,$M2514='112'!$I$6))),"x",""))</f>
        <v/>
      </c>
      <c r="T2514" s="39" t="str">
        <f>IF(ISERROR(FIND('112'!$M$9,G2514,1)),"",IF((AND(LEFT(G2514,2)=LEFT('112'!$M$9,2),B2514&lt;'112'!$N$8,$L2514='112'!$I$6)),"x",""))</f>
        <v/>
      </c>
      <c r="U2514" s="39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39" t="str">
        <f>IF(OR(TH!L2514=TH!$W$7,M2514=TH!$W$7),"x","")</f>
        <v/>
      </c>
      <c r="X2514" s="39" t="str">
        <f>IF(AND(B2514&gt;='IN-NX'!$P$3,B2514&lt;='IN-NX'!$Q$3,'IN-NX'!$D$7=D2514,OR(LEFT(L2514,2)="15",AND(LEFT(M2514,2)&lt;&gt;"15",LEFT(M2514,2)&lt;&gt;"33"))),"x","")</f>
        <v/>
      </c>
      <c r="Y2514" s="39" t="str">
        <f>IF(AND(OR(LEFT(TH!L2514,2)="15",LEFT(TH!M2514,2)="15"),'152-CT'!$J$8=TH!F2514),"x","")</f>
        <v/>
      </c>
      <c r="Z2514" s="39" t="str">
        <f>IF(AND(OR(LEFT(TH!L2514,2)="15",LEFT(TH!M2514,2)="15"),TK!$E$7=TH!F2514),"x","")</f>
        <v/>
      </c>
      <c r="AA2514" s="39" t="str">
        <f>IF(AND(B2514&lt;=NKC!$N$8,B2514&gt;=NKC!$M$8),"x","")</f>
        <v/>
      </c>
      <c r="AB2514" s="821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111"/>
        <v/>
      </c>
      <c r="C2515" s="191"/>
      <c r="D2515" s="37"/>
      <c r="E2515" s="786"/>
      <c r="F2515" s="40"/>
      <c r="G2515" s="40"/>
      <c r="H2515" s="7"/>
      <c r="I2515" s="256"/>
      <c r="J2515" s="256"/>
      <c r="K2515" s="568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902" t="str">
        <f>IF(AND('341-CT'!$E$9=H2515,OR(LEFT(L2515,3)=$O$7,LEFT(M2515,3)=$O$7)),"x","")</f>
        <v/>
      </c>
      <c r="P2515" s="39" t="str">
        <f>IF(AND($B2515&gt;='111'!$N$11,$B2515&lt;='111'!$O$11,OR($L2515=$P$7,$M2515=$P$7)),"x","")</f>
        <v/>
      </c>
      <c r="Q2515" s="39" t="str">
        <f>IF(AND($L2515=$P$7,$B2515&lt;'111'!$N$11),"x","")</f>
        <v/>
      </c>
      <c r="R2515" s="39" t="str">
        <f>IF(AND($M2515=$P$7,$B2515&lt;'111'!$N$11),"x","")</f>
        <v/>
      </c>
      <c r="S2515" s="39" t="str">
        <f>IF(ISERROR(FIND('112'!$M$9,G2515,1)),"",IF((AND(FIND('112'!$M$9,G2515,1)&gt;=1,$B2515&gt;='112'!$N$8,$B2515&lt;='112'!$O$8,OR($L2515='112'!$I$6,$M2515='112'!$I$6))),"x",""))</f>
        <v/>
      </c>
      <c r="T2515" s="39" t="str">
        <f>IF(ISERROR(FIND('112'!$M$9,G2515,1)),"",IF((AND(LEFT(G2515,2)=LEFT('112'!$M$9,2),B2515&lt;'112'!$N$8,$L2515='112'!$I$6)),"x",""))</f>
        <v/>
      </c>
      <c r="U2515" s="39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39" t="str">
        <f>IF(OR(TH!L2515=TH!$W$7,M2515=TH!$W$7),"x","")</f>
        <v/>
      </c>
      <c r="X2515" s="39" t="str">
        <f>IF(AND(B2515&gt;='IN-NX'!$P$3,B2515&lt;='IN-NX'!$Q$3,'IN-NX'!$D$7=D2515,OR(LEFT(L2515,2)="15",AND(LEFT(M2515,2)&lt;&gt;"15",LEFT(M2515,2)&lt;&gt;"33"))),"x","")</f>
        <v/>
      </c>
      <c r="Y2515" s="39" t="str">
        <f>IF(AND(OR(LEFT(TH!L2515,2)="15",LEFT(TH!M2515,2)="15"),'152-CT'!$J$8=TH!F2515),"x","")</f>
        <v/>
      </c>
      <c r="Z2515" s="39" t="str">
        <f>IF(AND(OR(LEFT(TH!L2515,2)="15",LEFT(TH!M2515,2)="15"),TK!$E$7=TH!F2515),"x","")</f>
        <v/>
      </c>
      <c r="AA2515" s="39" t="str">
        <f>IF(AND(B2515&lt;=NKC!$N$8,B2515&gt;=NKC!$M$8),"x","")</f>
        <v/>
      </c>
      <c r="AB2515" s="821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111"/>
        <v/>
      </c>
      <c r="C2516" s="191"/>
      <c r="D2516" s="37"/>
      <c r="E2516" s="786"/>
      <c r="F2516" s="40"/>
      <c r="G2516" s="40"/>
      <c r="H2516" s="7"/>
      <c r="I2516" s="256"/>
      <c r="J2516" s="256"/>
      <c r="K2516" s="568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902" t="str">
        <f>IF(AND('341-CT'!$E$9=H2516,OR(LEFT(L2516,3)=$O$7,LEFT(M2516,3)=$O$7)),"x","")</f>
        <v/>
      </c>
      <c r="P2516" s="39" t="str">
        <f>IF(AND($B2516&gt;='111'!$N$11,$B2516&lt;='111'!$O$11,OR($L2516=$P$7,$M2516=$P$7)),"x","")</f>
        <v/>
      </c>
      <c r="Q2516" s="39" t="str">
        <f>IF(AND($L2516=$P$7,$B2516&lt;'111'!$N$11),"x","")</f>
        <v/>
      </c>
      <c r="R2516" s="39" t="str">
        <f>IF(AND($M2516=$P$7,$B2516&lt;'111'!$N$11),"x","")</f>
        <v/>
      </c>
      <c r="S2516" s="39" t="str">
        <f>IF(ISERROR(FIND('112'!$M$9,G2516,1)),"",IF((AND(FIND('112'!$M$9,G2516,1)&gt;=1,$B2516&gt;='112'!$N$8,$B2516&lt;='112'!$O$8,OR($L2516='112'!$I$6,$M2516='112'!$I$6))),"x",""))</f>
        <v/>
      </c>
      <c r="T2516" s="39" t="str">
        <f>IF(ISERROR(FIND('112'!$M$9,G2516,1)),"",IF((AND(LEFT(G2516,2)=LEFT('112'!$M$9,2),B2516&lt;'112'!$N$8,$L2516='112'!$I$6)),"x",""))</f>
        <v/>
      </c>
      <c r="U2516" s="39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39" t="str">
        <f>IF(OR(TH!L2516=TH!$W$7,M2516=TH!$W$7),"x","")</f>
        <v/>
      </c>
      <c r="X2516" s="39" t="str">
        <f>IF(AND(B2516&gt;='IN-NX'!$P$3,B2516&lt;='IN-NX'!$Q$3,'IN-NX'!$D$7=D2516,OR(LEFT(L2516,2)="15",AND(LEFT(M2516,2)&lt;&gt;"15",LEFT(M2516,2)&lt;&gt;"33"))),"x","")</f>
        <v/>
      </c>
      <c r="Y2516" s="39" t="str">
        <f>IF(AND(OR(LEFT(TH!L2516,2)="15",LEFT(TH!M2516,2)="15"),'152-CT'!$J$8=TH!F2516),"x","")</f>
        <v/>
      </c>
      <c r="Z2516" s="39" t="str">
        <f>IF(AND(OR(LEFT(TH!L2516,2)="15",LEFT(TH!M2516,2)="15"),TK!$E$7=TH!F2516),"x","")</f>
        <v/>
      </c>
      <c r="AA2516" s="39" t="str">
        <f>IF(AND(B2516&lt;=NKC!$N$8,B2516&gt;=NKC!$M$8),"x","")</f>
        <v/>
      </c>
      <c r="AB2516" s="821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111"/>
        <v/>
      </c>
      <c r="C2517" s="191"/>
      <c r="D2517" s="37"/>
      <c r="E2517" s="786"/>
      <c r="F2517" s="40"/>
      <c r="G2517" s="40"/>
      <c r="H2517" s="7"/>
      <c r="I2517" s="256"/>
      <c r="J2517" s="256"/>
      <c r="K2517" s="568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902" t="str">
        <f>IF(AND('341-CT'!$E$9=H2517,OR(LEFT(L2517,3)=$O$7,LEFT(M2517,3)=$O$7)),"x","")</f>
        <v/>
      </c>
      <c r="P2517" s="39" t="str">
        <f>IF(AND($B2517&gt;='111'!$N$11,$B2517&lt;='111'!$O$11,OR($L2517=$P$7,$M2517=$P$7)),"x","")</f>
        <v/>
      </c>
      <c r="Q2517" s="39" t="str">
        <f>IF(AND($L2517=$P$7,$B2517&lt;'111'!$N$11),"x","")</f>
        <v/>
      </c>
      <c r="R2517" s="39" t="str">
        <f>IF(AND($M2517=$P$7,$B2517&lt;'111'!$N$11),"x","")</f>
        <v/>
      </c>
      <c r="S2517" s="39" t="str">
        <f>IF(ISERROR(FIND('112'!$M$9,G2517,1)),"",IF((AND(FIND('112'!$M$9,G2517,1)&gt;=1,$B2517&gt;='112'!$N$8,$B2517&lt;='112'!$O$8,OR($L2517='112'!$I$6,$M2517='112'!$I$6))),"x",""))</f>
        <v/>
      </c>
      <c r="T2517" s="39" t="str">
        <f>IF(ISERROR(FIND('112'!$M$9,G2517,1)),"",IF((AND(LEFT(G2517,2)=LEFT('112'!$M$9,2),B2517&lt;'112'!$N$8,$L2517='112'!$I$6)),"x",""))</f>
        <v/>
      </c>
      <c r="U2517" s="39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39" t="str">
        <f>IF(OR(TH!L2517=TH!$W$7,M2517=TH!$W$7),"x","")</f>
        <v/>
      </c>
      <c r="X2517" s="39" t="str">
        <f>IF(AND(B2517&gt;='IN-NX'!$P$3,B2517&lt;='IN-NX'!$Q$3,'IN-NX'!$D$7=D2517,OR(LEFT(L2517,2)="15",AND(LEFT(M2517,2)&lt;&gt;"15",LEFT(M2517,2)&lt;&gt;"33"))),"x","")</f>
        <v/>
      </c>
      <c r="Y2517" s="39" t="str">
        <f>IF(AND(OR(LEFT(TH!L2517,2)="15",LEFT(TH!M2517,2)="15"),'152-CT'!$J$8=TH!F2517),"x","")</f>
        <v/>
      </c>
      <c r="Z2517" s="39" t="str">
        <f>IF(AND(OR(LEFT(TH!L2517,2)="15",LEFT(TH!M2517,2)="15"),TK!$E$7=TH!F2517),"x","")</f>
        <v/>
      </c>
      <c r="AA2517" s="39" t="str">
        <f>IF(AND(B2517&lt;=NKC!$N$8,B2517&gt;=NKC!$M$8),"x","")</f>
        <v/>
      </c>
      <c r="AB2517" s="821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111"/>
        <v/>
      </c>
      <c r="C2518" s="191"/>
      <c r="D2518" s="37"/>
      <c r="E2518" s="786"/>
      <c r="F2518" s="40"/>
      <c r="G2518" s="40"/>
      <c r="H2518" s="7"/>
      <c r="I2518" s="256"/>
      <c r="J2518" s="256"/>
      <c r="K2518" s="568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902" t="str">
        <f>IF(AND('341-CT'!$E$9=H2518,OR(LEFT(L2518,3)=$O$7,LEFT(M2518,3)=$O$7)),"x","")</f>
        <v/>
      </c>
      <c r="P2518" s="39" t="str">
        <f>IF(AND($B2518&gt;='111'!$N$11,$B2518&lt;='111'!$O$11,OR($L2518=$P$7,$M2518=$P$7)),"x","")</f>
        <v/>
      </c>
      <c r="Q2518" s="39" t="str">
        <f>IF(AND($L2518=$P$7,$B2518&lt;'111'!$N$11),"x","")</f>
        <v/>
      </c>
      <c r="R2518" s="39" t="str">
        <f>IF(AND($M2518=$P$7,$B2518&lt;'111'!$N$11),"x","")</f>
        <v/>
      </c>
      <c r="S2518" s="39" t="str">
        <f>IF(ISERROR(FIND('112'!$M$9,G2518,1)),"",IF((AND(FIND('112'!$M$9,G2518,1)&gt;=1,$B2518&gt;='112'!$N$8,$B2518&lt;='112'!$O$8,OR($L2518='112'!$I$6,$M2518='112'!$I$6))),"x",""))</f>
        <v/>
      </c>
      <c r="T2518" s="39" t="str">
        <f>IF(ISERROR(FIND('112'!$M$9,G2518,1)),"",IF((AND(LEFT(G2518,2)=LEFT('112'!$M$9,2),B2518&lt;'112'!$N$8,$L2518='112'!$I$6)),"x",""))</f>
        <v/>
      </c>
      <c r="U2518" s="39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39" t="str">
        <f>IF(OR(TH!L2518=TH!$W$7,M2518=TH!$W$7),"x","")</f>
        <v/>
      </c>
      <c r="X2518" s="39" t="str">
        <f>IF(AND(B2518&gt;='IN-NX'!$P$3,B2518&lt;='IN-NX'!$Q$3,'IN-NX'!$D$7=D2518,OR(LEFT(L2518,2)="15",AND(LEFT(M2518,2)&lt;&gt;"15",LEFT(M2518,2)&lt;&gt;"33"))),"x","")</f>
        <v/>
      </c>
      <c r="Y2518" s="39" t="str">
        <f>IF(AND(OR(LEFT(TH!L2518,2)="15",LEFT(TH!M2518,2)="15"),'152-CT'!$J$8=TH!F2518),"x","")</f>
        <v/>
      </c>
      <c r="Z2518" s="39" t="str">
        <f>IF(AND(OR(LEFT(TH!L2518,2)="15",LEFT(TH!M2518,2)="15"),TK!$E$7=TH!F2518),"x","")</f>
        <v/>
      </c>
      <c r="AA2518" s="39" t="str">
        <f>IF(AND(B2518&lt;=NKC!$N$8,B2518&gt;=NKC!$M$8),"x","")</f>
        <v/>
      </c>
      <c r="AB2518" s="821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111"/>
        <v/>
      </c>
      <c r="C2519" s="191"/>
      <c r="D2519" s="37"/>
      <c r="E2519" s="786"/>
      <c r="F2519" s="40"/>
      <c r="G2519" s="40"/>
      <c r="H2519" s="7"/>
      <c r="I2519" s="256"/>
      <c r="J2519" s="256"/>
      <c r="K2519" s="568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902" t="str">
        <f>IF(AND('341-CT'!$E$9=H2519,OR(LEFT(L2519,3)=$O$7,LEFT(M2519,3)=$O$7)),"x","")</f>
        <v/>
      </c>
      <c r="P2519" s="39" t="str">
        <f>IF(AND($B2519&gt;='111'!$N$11,$B2519&lt;='111'!$O$11,OR($L2519=$P$7,$M2519=$P$7)),"x","")</f>
        <v/>
      </c>
      <c r="Q2519" s="39" t="str">
        <f>IF(AND($L2519=$P$7,$B2519&lt;'111'!$N$11),"x","")</f>
        <v/>
      </c>
      <c r="R2519" s="39" t="str">
        <f>IF(AND($M2519=$P$7,$B2519&lt;'111'!$N$11),"x","")</f>
        <v/>
      </c>
      <c r="S2519" s="39" t="str">
        <f>IF(ISERROR(FIND('112'!$M$9,G2519,1)),"",IF((AND(FIND('112'!$M$9,G2519,1)&gt;=1,$B2519&gt;='112'!$N$8,$B2519&lt;='112'!$O$8,OR($L2519='112'!$I$6,$M2519='112'!$I$6))),"x",""))</f>
        <v/>
      </c>
      <c r="T2519" s="39" t="str">
        <f>IF(ISERROR(FIND('112'!$M$9,G2519,1)),"",IF((AND(LEFT(G2519,2)=LEFT('112'!$M$9,2),B2519&lt;'112'!$N$8,$L2519='112'!$I$6)),"x",""))</f>
        <v/>
      </c>
      <c r="U2519" s="39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39" t="str">
        <f>IF(OR(TH!L2519=TH!$W$7,M2519=TH!$W$7),"x","")</f>
        <v/>
      </c>
      <c r="X2519" s="39" t="str">
        <f>IF(AND(B2519&gt;='IN-NX'!$P$3,B2519&lt;='IN-NX'!$Q$3,'IN-NX'!$D$7=D2519,OR(LEFT(L2519,2)="15",AND(LEFT(M2519,2)&lt;&gt;"15",LEFT(M2519,2)&lt;&gt;"33"))),"x","")</f>
        <v/>
      </c>
      <c r="Y2519" s="39" t="str">
        <f>IF(AND(OR(LEFT(TH!L2519,2)="15",LEFT(TH!M2519,2)="15"),'152-CT'!$J$8=TH!F2519),"x","")</f>
        <v/>
      </c>
      <c r="Z2519" s="39" t="str">
        <f>IF(AND(OR(LEFT(TH!L2519,2)="15",LEFT(TH!M2519,2)="15"),TK!$E$7=TH!F2519),"x","")</f>
        <v/>
      </c>
      <c r="AA2519" s="39" t="str">
        <f>IF(AND(B2519&lt;=NKC!$N$8,B2519&gt;=NKC!$M$8),"x","")</f>
        <v/>
      </c>
      <c r="AB2519" s="821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111"/>
        <v/>
      </c>
      <c r="C2520" s="191"/>
      <c r="D2520" s="37"/>
      <c r="E2520" s="786"/>
      <c r="F2520" s="40"/>
      <c r="G2520" s="40"/>
      <c r="H2520" s="7"/>
      <c r="I2520" s="256"/>
      <c r="J2520" s="256"/>
      <c r="K2520" s="568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902" t="str">
        <f>IF(AND('341-CT'!$E$9=H2520,OR(LEFT(L2520,3)=$O$7,LEFT(M2520,3)=$O$7)),"x","")</f>
        <v/>
      </c>
      <c r="P2520" s="39" t="str">
        <f>IF(AND($B2520&gt;='111'!$N$11,$B2520&lt;='111'!$O$11,OR($L2520=$P$7,$M2520=$P$7)),"x","")</f>
        <v/>
      </c>
      <c r="Q2520" s="39" t="str">
        <f>IF(AND($L2520=$P$7,$B2520&lt;'111'!$N$11),"x","")</f>
        <v/>
      </c>
      <c r="R2520" s="39" t="str">
        <f>IF(AND($M2520=$P$7,$B2520&lt;'111'!$N$11),"x","")</f>
        <v/>
      </c>
      <c r="S2520" s="39" t="str">
        <f>IF(ISERROR(FIND('112'!$M$9,G2520,1)),"",IF((AND(FIND('112'!$M$9,G2520,1)&gt;=1,$B2520&gt;='112'!$N$8,$B2520&lt;='112'!$O$8,OR($L2520='112'!$I$6,$M2520='112'!$I$6))),"x",""))</f>
        <v/>
      </c>
      <c r="T2520" s="39" t="str">
        <f>IF(ISERROR(FIND('112'!$M$9,G2520,1)),"",IF((AND(LEFT(G2520,2)=LEFT('112'!$M$9,2),B2520&lt;'112'!$N$8,$L2520='112'!$I$6)),"x",""))</f>
        <v/>
      </c>
      <c r="U2520" s="39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39" t="str">
        <f>IF(OR(TH!L2520=TH!$W$7,M2520=TH!$W$7),"x","")</f>
        <v/>
      </c>
      <c r="X2520" s="39" t="str">
        <f>IF(AND(B2520&gt;='IN-NX'!$P$3,B2520&lt;='IN-NX'!$Q$3,'IN-NX'!$D$7=D2520,OR(LEFT(L2520,2)="15",AND(LEFT(M2520,2)&lt;&gt;"15",LEFT(M2520,2)&lt;&gt;"33"))),"x","")</f>
        <v/>
      </c>
      <c r="Y2520" s="39" t="str">
        <f>IF(AND(OR(LEFT(TH!L2520,2)="15",LEFT(TH!M2520,2)="15"),'152-CT'!$J$8=TH!F2520),"x","")</f>
        <v/>
      </c>
      <c r="Z2520" s="39" t="str">
        <f>IF(AND(OR(LEFT(TH!L2520,2)="15",LEFT(TH!M2520,2)="15"),TK!$E$7=TH!F2520),"x","")</f>
        <v/>
      </c>
      <c r="AA2520" s="39" t="str">
        <f>IF(AND(B2520&lt;=NKC!$N$8,B2520&gt;=NKC!$M$8),"x","")</f>
        <v/>
      </c>
      <c r="AB2520" s="821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111"/>
        <v/>
      </c>
      <c r="C2521" s="191"/>
      <c r="D2521" s="37"/>
      <c r="E2521" s="786"/>
      <c r="F2521" s="40"/>
      <c r="G2521" s="40"/>
      <c r="H2521" s="7"/>
      <c r="I2521" s="256"/>
      <c r="J2521" s="256"/>
      <c r="K2521" s="568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902" t="str">
        <f>IF(AND('341-CT'!$E$9=H2521,OR(LEFT(L2521,3)=$O$7,LEFT(M2521,3)=$O$7)),"x","")</f>
        <v/>
      </c>
      <c r="P2521" s="39" t="str">
        <f>IF(AND($B2521&gt;='111'!$N$11,$B2521&lt;='111'!$O$11,OR($L2521=$P$7,$M2521=$P$7)),"x","")</f>
        <v/>
      </c>
      <c r="Q2521" s="39" t="str">
        <f>IF(AND($L2521=$P$7,$B2521&lt;'111'!$N$11),"x","")</f>
        <v/>
      </c>
      <c r="R2521" s="39" t="str">
        <f>IF(AND($M2521=$P$7,$B2521&lt;'111'!$N$11),"x","")</f>
        <v/>
      </c>
      <c r="S2521" s="39" t="str">
        <f>IF(ISERROR(FIND('112'!$M$9,G2521,1)),"",IF((AND(FIND('112'!$M$9,G2521,1)&gt;=1,$B2521&gt;='112'!$N$8,$B2521&lt;='112'!$O$8,OR($L2521='112'!$I$6,$M2521='112'!$I$6))),"x",""))</f>
        <v/>
      </c>
      <c r="T2521" s="39" t="str">
        <f>IF(ISERROR(FIND('112'!$M$9,G2521,1)),"",IF((AND(LEFT(G2521,2)=LEFT('112'!$M$9,2),B2521&lt;'112'!$N$8,$L2521='112'!$I$6)),"x",""))</f>
        <v/>
      </c>
      <c r="U2521" s="39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39" t="str">
        <f>IF(OR(TH!L2521=TH!$W$7,M2521=TH!$W$7),"x","")</f>
        <v/>
      </c>
      <c r="X2521" s="39" t="str">
        <f>IF(AND(B2521&gt;='IN-NX'!$P$3,B2521&lt;='IN-NX'!$Q$3,'IN-NX'!$D$7=D2521,OR(LEFT(L2521,2)="15",AND(LEFT(M2521,2)&lt;&gt;"15",LEFT(M2521,2)&lt;&gt;"33"))),"x","")</f>
        <v/>
      </c>
      <c r="Y2521" s="39" t="str">
        <f>IF(AND(OR(LEFT(TH!L2521,2)="15",LEFT(TH!M2521,2)="15"),'152-CT'!$J$8=TH!F2521),"x","")</f>
        <v/>
      </c>
      <c r="Z2521" s="39" t="str">
        <f>IF(AND(OR(LEFT(TH!L2521,2)="15",LEFT(TH!M2521,2)="15"),TK!$E$7=TH!F2521),"x","")</f>
        <v/>
      </c>
      <c r="AA2521" s="39" t="str">
        <f>IF(AND(B2521&lt;=NKC!$N$8,B2521&gt;=NKC!$M$8),"x","")</f>
        <v/>
      </c>
      <c r="AB2521" s="821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111"/>
        <v/>
      </c>
      <c r="C2522" s="191"/>
      <c r="D2522" s="37"/>
      <c r="E2522" s="786"/>
      <c r="F2522" s="40"/>
      <c r="G2522" s="40"/>
      <c r="H2522" s="7"/>
      <c r="I2522" s="256"/>
      <c r="J2522" s="256"/>
      <c r="K2522" s="568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902" t="str">
        <f>IF(AND('341-CT'!$E$9=H2522,OR(LEFT(L2522,3)=$O$7,LEFT(M2522,3)=$O$7)),"x","")</f>
        <v/>
      </c>
      <c r="P2522" s="39" t="str">
        <f>IF(AND($B2522&gt;='111'!$N$11,$B2522&lt;='111'!$O$11,OR($L2522=$P$7,$M2522=$P$7)),"x","")</f>
        <v/>
      </c>
      <c r="Q2522" s="39" t="str">
        <f>IF(AND($L2522=$P$7,$B2522&lt;'111'!$N$11),"x","")</f>
        <v/>
      </c>
      <c r="R2522" s="39" t="str">
        <f>IF(AND($M2522=$P$7,$B2522&lt;'111'!$N$11),"x","")</f>
        <v/>
      </c>
      <c r="S2522" s="39" t="str">
        <f>IF(ISERROR(FIND('112'!$M$9,G2522,1)),"",IF((AND(FIND('112'!$M$9,G2522,1)&gt;=1,$B2522&gt;='112'!$N$8,$B2522&lt;='112'!$O$8,OR($L2522='112'!$I$6,$M2522='112'!$I$6))),"x",""))</f>
        <v/>
      </c>
      <c r="T2522" s="39" t="str">
        <f>IF(ISERROR(FIND('112'!$M$9,G2522,1)),"",IF((AND(LEFT(G2522,2)=LEFT('112'!$M$9,2),B2522&lt;'112'!$N$8,$L2522='112'!$I$6)),"x",""))</f>
        <v/>
      </c>
      <c r="U2522" s="39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39" t="str">
        <f>IF(OR(TH!L2522=TH!$W$7,M2522=TH!$W$7),"x","")</f>
        <v/>
      </c>
      <c r="X2522" s="39" t="str">
        <f>IF(AND(B2522&gt;='IN-NX'!$P$3,B2522&lt;='IN-NX'!$Q$3,'IN-NX'!$D$7=D2522,OR(LEFT(L2522,2)="15",AND(LEFT(M2522,2)&lt;&gt;"15",LEFT(M2522,2)&lt;&gt;"33"))),"x","")</f>
        <v/>
      </c>
      <c r="Y2522" s="39" t="str">
        <f>IF(AND(OR(LEFT(TH!L2522,2)="15",LEFT(TH!M2522,2)="15"),'152-CT'!$J$8=TH!F2522),"x","")</f>
        <v/>
      </c>
      <c r="Z2522" s="39" t="str">
        <f>IF(AND(OR(LEFT(TH!L2522,2)="15",LEFT(TH!M2522,2)="15"),TK!$E$7=TH!F2522),"x","")</f>
        <v/>
      </c>
      <c r="AA2522" s="39" t="str">
        <f>IF(AND(B2522&lt;=NKC!$N$8,B2522&gt;=NKC!$M$8),"x","")</f>
        <v/>
      </c>
      <c r="AB2522" s="821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111"/>
        <v/>
      </c>
      <c r="C2523" s="191"/>
      <c r="D2523" s="37"/>
      <c r="E2523" s="786"/>
      <c r="F2523" s="40"/>
      <c r="G2523" s="40"/>
      <c r="H2523" s="7"/>
      <c r="I2523" s="256"/>
      <c r="J2523" s="256"/>
      <c r="K2523" s="568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902" t="str">
        <f>IF(AND('341-CT'!$E$9=H2523,OR(LEFT(L2523,3)=$O$7,LEFT(M2523,3)=$O$7)),"x","")</f>
        <v/>
      </c>
      <c r="P2523" s="39" t="str">
        <f>IF(AND($B2523&gt;='111'!$N$11,$B2523&lt;='111'!$O$11,OR($L2523=$P$7,$M2523=$P$7)),"x","")</f>
        <v/>
      </c>
      <c r="Q2523" s="39" t="str">
        <f>IF(AND($L2523=$P$7,$B2523&lt;'111'!$N$11),"x","")</f>
        <v/>
      </c>
      <c r="R2523" s="39" t="str">
        <f>IF(AND($M2523=$P$7,$B2523&lt;'111'!$N$11),"x","")</f>
        <v/>
      </c>
      <c r="S2523" s="39" t="str">
        <f>IF(ISERROR(FIND('112'!$M$9,G2523,1)),"",IF((AND(FIND('112'!$M$9,G2523,1)&gt;=1,$B2523&gt;='112'!$N$8,$B2523&lt;='112'!$O$8,OR($L2523='112'!$I$6,$M2523='112'!$I$6))),"x",""))</f>
        <v/>
      </c>
      <c r="T2523" s="39" t="str">
        <f>IF(ISERROR(FIND('112'!$M$9,G2523,1)),"",IF((AND(LEFT(G2523,2)=LEFT('112'!$M$9,2),B2523&lt;'112'!$N$8,$L2523='112'!$I$6)),"x",""))</f>
        <v/>
      </c>
      <c r="U2523" s="39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39" t="str">
        <f>IF(OR(TH!L2523=TH!$W$7,M2523=TH!$W$7),"x","")</f>
        <v/>
      </c>
      <c r="X2523" s="39" t="str">
        <f>IF(AND(B2523&gt;='IN-NX'!$P$3,B2523&lt;='IN-NX'!$Q$3,'IN-NX'!$D$7=D2523,OR(LEFT(L2523,2)="15",AND(LEFT(M2523,2)&lt;&gt;"15",LEFT(M2523,2)&lt;&gt;"33"))),"x","")</f>
        <v/>
      </c>
      <c r="Y2523" s="39" t="str">
        <f>IF(AND(OR(LEFT(TH!L2523,2)="15",LEFT(TH!M2523,2)="15"),'152-CT'!$J$8=TH!F2523),"x","")</f>
        <v/>
      </c>
      <c r="Z2523" s="39" t="str">
        <f>IF(AND(OR(LEFT(TH!L2523,2)="15",LEFT(TH!M2523,2)="15"),TK!$E$7=TH!F2523),"x","")</f>
        <v/>
      </c>
      <c r="AA2523" s="39" t="str">
        <f>IF(AND(B2523&lt;=NKC!$N$8,B2523&gt;=NKC!$M$8),"x","")</f>
        <v/>
      </c>
      <c r="AB2523" s="821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111"/>
        <v/>
      </c>
      <c r="C2524" s="191"/>
      <c r="D2524" s="37"/>
      <c r="E2524" s="786"/>
      <c r="F2524" s="40"/>
      <c r="G2524" s="40"/>
      <c r="H2524" s="7"/>
      <c r="I2524" s="256"/>
      <c r="J2524" s="256"/>
      <c r="K2524" s="568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902" t="str">
        <f>IF(AND('341-CT'!$E$9=H2524,OR(LEFT(L2524,3)=$O$7,LEFT(M2524,3)=$O$7)),"x","")</f>
        <v/>
      </c>
      <c r="P2524" s="39" t="str">
        <f>IF(AND($B2524&gt;='111'!$N$11,$B2524&lt;='111'!$O$11,OR($L2524=$P$7,$M2524=$P$7)),"x","")</f>
        <v/>
      </c>
      <c r="Q2524" s="39" t="str">
        <f>IF(AND($L2524=$P$7,$B2524&lt;'111'!$N$11),"x","")</f>
        <v/>
      </c>
      <c r="R2524" s="39" t="str">
        <f>IF(AND($M2524=$P$7,$B2524&lt;'111'!$N$11),"x","")</f>
        <v/>
      </c>
      <c r="S2524" s="39" t="str">
        <f>IF(ISERROR(FIND('112'!$M$9,G2524,1)),"",IF((AND(FIND('112'!$M$9,G2524,1)&gt;=1,$B2524&gt;='112'!$N$8,$B2524&lt;='112'!$O$8,OR($L2524='112'!$I$6,$M2524='112'!$I$6))),"x",""))</f>
        <v/>
      </c>
      <c r="T2524" s="39" t="str">
        <f>IF(ISERROR(FIND('112'!$M$9,G2524,1)),"",IF((AND(LEFT(G2524,2)=LEFT('112'!$M$9,2),B2524&lt;'112'!$N$8,$L2524='112'!$I$6)),"x",""))</f>
        <v/>
      </c>
      <c r="U2524" s="39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39" t="str">
        <f>IF(OR(TH!L2524=TH!$W$7,M2524=TH!$W$7),"x","")</f>
        <v/>
      </c>
      <c r="X2524" s="39" t="str">
        <f>IF(AND(B2524&gt;='IN-NX'!$P$3,B2524&lt;='IN-NX'!$Q$3,'IN-NX'!$D$7=D2524,OR(LEFT(L2524,2)="15",AND(LEFT(M2524,2)&lt;&gt;"15",LEFT(M2524,2)&lt;&gt;"33"))),"x","")</f>
        <v/>
      </c>
      <c r="Y2524" s="39" t="str">
        <f>IF(AND(OR(LEFT(TH!L2524,2)="15",LEFT(TH!M2524,2)="15"),'152-CT'!$J$8=TH!F2524),"x","")</f>
        <v/>
      </c>
      <c r="Z2524" s="39" t="str">
        <f>IF(AND(OR(LEFT(TH!L2524,2)="15",LEFT(TH!M2524,2)="15"),TK!$E$7=TH!F2524),"x","")</f>
        <v/>
      </c>
      <c r="AA2524" s="39" t="str">
        <f>IF(AND(B2524&lt;=NKC!$N$8,B2524&gt;=NKC!$M$8),"x","")</f>
        <v/>
      </c>
      <c r="AB2524" s="821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111"/>
        <v/>
      </c>
      <c r="C2525" s="191"/>
      <c r="D2525" s="37"/>
      <c r="E2525" s="786"/>
      <c r="F2525" s="40"/>
      <c r="G2525" s="40"/>
      <c r="H2525" s="7"/>
      <c r="I2525" s="256"/>
      <c r="J2525" s="256"/>
      <c r="K2525" s="568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902" t="str">
        <f>IF(AND('341-CT'!$E$9=H2525,OR(LEFT(L2525,3)=$O$7,LEFT(M2525,3)=$O$7)),"x","")</f>
        <v/>
      </c>
      <c r="P2525" s="39" t="str">
        <f>IF(AND($B2525&gt;='111'!$N$11,$B2525&lt;='111'!$O$11,OR($L2525=$P$7,$M2525=$P$7)),"x","")</f>
        <v/>
      </c>
      <c r="Q2525" s="39" t="str">
        <f>IF(AND($L2525=$P$7,$B2525&lt;'111'!$N$11),"x","")</f>
        <v/>
      </c>
      <c r="R2525" s="39" t="str">
        <f>IF(AND($M2525=$P$7,$B2525&lt;'111'!$N$11),"x","")</f>
        <v/>
      </c>
      <c r="S2525" s="39" t="str">
        <f>IF(ISERROR(FIND('112'!$M$9,G2525,1)),"",IF((AND(FIND('112'!$M$9,G2525,1)&gt;=1,$B2525&gt;='112'!$N$8,$B2525&lt;='112'!$O$8,OR($L2525='112'!$I$6,$M2525='112'!$I$6))),"x",""))</f>
        <v/>
      </c>
      <c r="T2525" s="39" t="str">
        <f>IF(ISERROR(FIND('112'!$M$9,G2525,1)),"",IF((AND(LEFT(G2525,2)=LEFT('112'!$M$9,2),B2525&lt;'112'!$N$8,$L2525='112'!$I$6)),"x",""))</f>
        <v/>
      </c>
      <c r="U2525" s="39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39" t="str">
        <f>IF(OR(TH!L2525=TH!$W$7,M2525=TH!$W$7),"x","")</f>
        <v/>
      </c>
      <c r="X2525" s="39" t="str">
        <f>IF(AND(B2525&gt;='IN-NX'!$P$3,B2525&lt;='IN-NX'!$Q$3,'IN-NX'!$D$7=D2525,OR(LEFT(L2525,2)="15",AND(LEFT(M2525,2)&lt;&gt;"15",LEFT(M2525,2)&lt;&gt;"33"))),"x","")</f>
        <v/>
      </c>
      <c r="Y2525" s="39" t="str">
        <f>IF(AND(OR(LEFT(TH!L2525,2)="15",LEFT(TH!M2525,2)="15"),'152-CT'!$J$8=TH!F2525),"x","")</f>
        <v/>
      </c>
      <c r="Z2525" s="39" t="str">
        <f>IF(AND(OR(LEFT(TH!L2525,2)="15",LEFT(TH!M2525,2)="15"),TK!$E$7=TH!F2525),"x","")</f>
        <v/>
      </c>
      <c r="AA2525" s="39" t="str">
        <f>IF(AND(B2525&lt;=NKC!$N$8,B2525&gt;=NKC!$M$8),"x","")</f>
        <v/>
      </c>
      <c r="AB2525" s="821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111"/>
        <v/>
      </c>
      <c r="C2526" s="191"/>
      <c r="D2526" s="37"/>
      <c r="E2526" s="191"/>
      <c r="F2526" s="40"/>
      <c r="G2526" s="40"/>
      <c r="H2526" s="7"/>
      <c r="I2526" s="256"/>
      <c r="J2526" s="256"/>
      <c r="K2526" s="568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902" t="str">
        <f>IF(AND('341-CT'!$E$9=H2526,OR(LEFT(L2526,3)=$O$7,LEFT(M2526,3)=$O$7)),"x","")</f>
        <v/>
      </c>
      <c r="P2526" s="39" t="str">
        <f>IF(AND($B2526&gt;='111'!$N$11,$B2526&lt;='111'!$O$11,OR($L2526=$P$7,$M2526=$P$7)),"x","")</f>
        <v/>
      </c>
      <c r="Q2526" s="39" t="str">
        <f>IF(AND($L2526=$P$7,$B2526&lt;'111'!$N$11),"x","")</f>
        <v/>
      </c>
      <c r="R2526" s="39" t="str">
        <f>IF(AND($M2526=$P$7,$B2526&lt;'111'!$N$11),"x","")</f>
        <v/>
      </c>
      <c r="S2526" s="39" t="str">
        <f>IF(ISERROR(FIND('112'!$M$9,G2526,1)),"",IF((AND(FIND('112'!$M$9,G2526,1)&gt;=1,$B2526&gt;='112'!$N$8,$B2526&lt;='112'!$O$8,OR($L2526='112'!$I$6,$M2526='112'!$I$6))),"x",""))</f>
        <v/>
      </c>
      <c r="T2526" s="39" t="str">
        <f>IF(ISERROR(FIND('112'!$M$9,G2526,1)),"",IF((AND(LEFT(G2526,2)=LEFT('112'!$M$9,2),B2526&lt;'112'!$N$8,$L2526='112'!$I$6)),"x",""))</f>
        <v/>
      </c>
      <c r="U2526" s="39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39" t="str">
        <f>IF(OR(TH!L2526=TH!$W$7,M2526=TH!$W$7),"x","")</f>
        <v/>
      </c>
      <c r="X2526" s="39" t="str">
        <f>IF(AND(B2526&gt;='IN-NX'!$P$3,B2526&lt;='IN-NX'!$Q$3,'IN-NX'!$D$7=D2526,OR(LEFT(L2526,2)="15",AND(LEFT(M2526,2)&lt;&gt;"15",LEFT(M2526,2)&lt;&gt;"33"))),"x","")</f>
        <v/>
      </c>
      <c r="Y2526" s="39" t="str">
        <f>IF(AND(OR(LEFT(TH!L2526,2)="15",LEFT(TH!M2526,2)="15"),'152-CT'!$J$8=TH!F2526),"x","")</f>
        <v/>
      </c>
      <c r="Z2526" s="39" t="str">
        <f>IF(AND(OR(LEFT(TH!L2526,2)="15",LEFT(TH!M2526,2)="15"),TK!$E$7=TH!F2526),"x","")</f>
        <v/>
      </c>
      <c r="AA2526" s="39" t="str">
        <f>IF(AND(B2526&lt;=NKC!$N$8,B2526&gt;=NKC!$M$8),"x","")</f>
        <v/>
      </c>
      <c r="AB2526" s="821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111"/>
        <v/>
      </c>
      <c r="C2527" s="191"/>
      <c r="D2527" s="37"/>
      <c r="E2527" s="191"/>
      <c r="F2527" s="40"/>
      <c r="G2527" s="40"/>
      <c r="H2527" s="7"/>
      <c r="I2527" s="256"/>
      <c r="J2527" s="256"/>
      <c r="K2527" s="568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902" t="str">
        <f>IF(AND('341-CT'!$E$9=H2527,OR(LEFT(L2527,3)=$O$7,LEFT(M2527,3)=$O$7)),"x","")</f>
        <v/>
      </c>
      <c r="P2527" s="39" t="str">
        <f>IF(AND($B2527&gt;='111'!$N$11,$B2527&lt;='111'!$O$11,OR($L2527=$P$7,$M2527=$P$7)),"x","")</f>
        <v/>
      </c>
      <c r="Q2527" s="39" t="str">
        <f>IF(AND($L2527=$P$7,$B2527&lt;'111'!$N$11),"x","")</f>
        <v/>
      </c>
      <c r="R2527" s="39" t="str">
        <f>IF(AND($M2527=$P$7,$B2527&lt;'111'!$N$11),"x","")</f>
        <v/>
      </c>
      <c r="S2527" s="39" t="str">
        <f>IF(ISERROR(FIND('112'!$M$9,G2527,1)),"",IF((AND(FIND('112'!$M$9,G2527,1)&gt;=1,$B2527&gt;='112'!$N$8,$B2527&lt;='112'!$O$8,OR($L2527='112'!$I$6,$M2527='112'!$I$6))),"x",""))</f>
        <v/>
      </c>
      <c r="T2527" s="39" t="str">
        <f>IF(ISERROR(FIND('112'!$M$9,G2527,1)),"",IF((AND(LEFT(G2527,2)=LEFT('112'!$M$9,2),B2527&lt;'112'!$N$8,$L2527='112'!$I$6)),"x",""))</f>
        <v/>
      </c>
      <c r="U2527" s="39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39" t="str">
        <f>IF(OR(TH!L2527=TH!$W$7,M2527=TH!$W$7),"x","")</f>
        <v/>
      </c>
      <c r="X2527" s="39" t="str">
        <f>IF(AND(B2527&gt;='IN-NX'!$P$3,B2527&lt;='IN-NX'!$Q$3,'IN-NX'!$D$7=D2527,OR(LEFT(L2527,2)="15",AND(LEFT(M2527,2)&lt;&gt;"15",LEFT(M2527,2)&lt;&gt;"33"))),"x","")</f>
        <v/>
      </c>
      <c r="Y2527" s="39" t="str">
        <f>IF(AND(OR(LEFT(TH!L2527,2)="15",LEFT(TH!M2527,2)="15"),'152-CT'!$J$8=TH!F2527),"x","")</f>
        <v/>
      </c>
      <c r="Z2527" s="39" t="str">
        <f>IF(AND(OR(LEFT(TH!L2527,2)="15",LEFT(TH!M2527,2)="15"),TK!$E$7=TH!F2527),"x","")</f>
        <v/>
      </c>
      <c r="AA2527" s="39" t="str">
        <f>IF(AND(B2527&lt;=NKC!$N$8,B2527&gt;=NKC!$M$8),"x","")</f>
        <v/>
      </c>
      <c r="AB2527" s="821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111"/>
        <v/>
      </c>
      <c r="C2528" s="191"/>
      <c r="D2528" s="37"/>
      <c r="E2528" s="191"/>
      <c r="F2528" s="40"/>
      <c r="G2528" s="40"/>
      <c r="H2528" s="7"/>
      <c r="I2528" s="256"/>
      <c r="J2528" s="256"/>
      <c r="K2528" s="568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902" t="str">
        <f>IF(AND('341-CT'!$E$9=H2528,OR(LEFT(L2528,3)=$O$7,LEFT(M2528,3)=$O$7)),"x","")</f>
        <v/>
      </c>
      <c r="P2528" s="39" t="str">
        <f>IF(AND($B2528&gt;='111'!$N$11,$B2528&lt;='111'!$O$11,OR($L2528=$P$7,$M2528=$P$7)),"x","")</f>
        <v/>
      </c>
      <c r="Q2528" s="39" t="str">
        <f>IF(AND($L2528=$P$7,$B2528&lt;'111'!$N$11),"x","")</f>
        <v/>
      </c>
      <c r="R2528" s="39" t="str">
        <f>IF(AND($M2528=$P$7,$B2528&lt;'111'!$N$11),"x","")</f>
        <v/>
      </c>
      <c r="S2528" s="39" t="str">
        <f>IF(ISERROR(FIND('112'!$M$9,G2528,1)),"",IF((AND(FIND('112'!$M$9,G2528,1)&gt;=1,$B2528&gt;='112'!$N$8,$B2528&lt;='112'!$O$8,OR($L2528='112'!$I$6,$M2528='112'!$I$6))),"x",""))</f>
        <v/>
      </c>
      <c r="T2528" s="39" t="str">
        <f>IF(ISERROR(FIND('112'!$M$9,G2528,1)),"",IF((AND(LEFT(G2528,2)=LEFT('112'!$M$9,2),B2528&lt;'112'!$N$8,$L2528='112'!$I$6)),"x",""))</f>
        <v/>
      </c>
      <c r="U2528" s="39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39" t="str">
        <f>IF(OR(TH!L2528=TH!$W$7,M2528=TH!$W$7),"x","")</f>
        <v/>
      </c>
      <c r="X2528" s="39" t="str">
        <f>IF(AND(B2528&gt;='IN-NX'!$P$3,B2528&lt;='IN-NX'!$Q$3,'IN-NX'!$D$7=D2528,OR(LEFT(L2528,2)="15",AND(LEFT(M2528,2)&lt;&gt;"15",LEFT(M2528,2)&lt;&gt;"33"))),"x","")</f>
        <v/>
      </c>
      <c r="Y2528" s="39" t="str">
        <f>IF(AND(OR(LEFT(TH!L2528,2)="15",LEFT(TH!M2528,2)="15"),'152-CT'!$J$8=TH!F2528),"x","")</f>
        <v/>
      </c>
      <c r="Z2528" s="39" t="str">
        <f>IF(AND(OR(LEFT(TH!L2528,2)="15",LEFT(TH!M2528,2)="15"),TK!$E$7=TH!F2528),"x","")</f>
        <v/>
      </c>
      <c r="AA2528" s="39" t="str">
        <f>IF(AND(B2528&lt;=NKC!$N$8,B2528&gt;=NKC!$M$8),"x","")</f>
        <v/>
      </c>
      <c r="AB2528" s="821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111"/>
        <v/>
      </c>
      <c r="C2529" s="191"/>
      <c r="D2529" s="37"/>
      <c r="E2529" s="191"/>
      <c r="F2529" s="40"/>
      <c r="G2529" s="40"/>
      <c r="H2529" s="7"/>
      <c r="I2529" s="256"/>
      <c r="J2529" s="256"/>
      <c r="K2529" s="568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902" t="str">
        <f>IF(AND('341-CT'!$E$9=H2529,OR(LEFT(L2529,3)=$O$7,LEFT(M2529,3)=$O$7)),"x","")</f>
        <v/>
      </c>
      <c r="P2529" s="39" t="str">
        <f>IF(AND($B2529&gt;='111'!$N$11,$B2529&lt;='111'!$O$11,OR($L2529=$P$7,$M2529=$P$7)),"x","")</f>
        <v/>
      </c>
      <c r="Q2529" s="39" t="str">
        <f>IF(AND($L2529=$P$7,$B2529&lt;'111'!$N$11),"x","")</f>
        <v/>
      </c>
      <c r="R2529" s="39" t="str">
        <f>IF(AND($M2529=$P$7,$B2529&lt;'111'!$N$11),"x","")</f>
        <v/>
      </c>
      <c r="S2529" s="39" t="str">
        <f>IF(ISERROR(FIND('112'!$M$9,G2529,1)),"",IF((AND(FIND('112'!$M$9,G2529,1)&gt;=1,$B2529&gt;='112'!$N$8,$B2529&lt;='112'!$O$8,OR($L2529='112'!$I$6,$M2529='112'!$I$6))),"x",""))</f>
        <v/>
      </c>
      <c r="T2529" s="39" t="str">
        <f>IF(ISERROR(FIND('112'!$M$9,G2529,1)),"",IF((AND(LEFT(G2529,2)=LEFT('112'!$M$9,2),B2529&lt;'112'!$N$8,$L2529='112'!$I$6)),"x",""))</f>
        <v/>
      </c>
      <c r="U2529" s="39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39" t="str">
        <f>IF(OR(TH!L2529=TH!$W$7,M2529=TH!$W$7),"x","")</f>
        <v/>
      </c>
      <c r="X2529" s="39" t="str">
        <f>IF(AND(B2529&gt;='IN-NX'!$P$3,B2529&lt;='IN-NX'!$Q$3,'IN-NX'!$D$7=D2529,OR(LEFT(L2529,2)="15",AND(LEFT(M2529,2)&lt;&gt;"15",LEFT(M2529,2)&lt;&gt;"33"))),"x","")</f>
        <v/>
      </c>
      <c r="Y2529" s="39" t="str">
        <f>IF(AND(OR(LEFT(TH!L2529,2)="15",LEFT(TH!M2529,2)="15"),'152-CT'!$J$8=TH!F2529),"x","")</f>
        <v/>
      </c>
      <c r="Z2529" s="39" t="str">
        <f>IF(AND(OR(LEFT(TH!L2529,2)="15",LEFT(TH!M2529,2)="15"),TK!$E$7=TH!F2529),"x","")</f>
        <v/>
      </c>
      <c r="AA2529" s="39" t="str">
        <f>IF(AND(B2529&lt;=NKC!$N$8,B2529&gt;=NKC!$M$8),"x","")</f>
        <v/>
      </c>
      <c r="AB2529" s="821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111"/>
        <v/>
      </c>
      <c r="C2530" s="191"/>
      <c r="D2530" s="37"/>
      <c r="E2530" s="191"/>
      <c r="F2530" s="40"/>
      <c r="G2530" s="40"/>
      <c r="H2530" s="7"/>
      <c r="I2530" s="256"/>
      <c r="J2530" s="256"/>
      <c r="K2530" s="568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902" t="str">
        <f>IF(AND('341-CT'!$E$9=H2530,OR(LEFT(L2530,3)=$O$7,LEFT(M2530,3)=$O$7)),"x","")</f>
        <v/>
      </c>
      <c r="P2530" s="39" t="str">
        <f>IF(AND($B2530&gt;='111'!$N$11,$B2530&lt;='111'!$O$11,OR($L2530=$P$7,$M2530=$P$7)),"x","")</f>
        <v/>
      </c>
      <c r="Q2530" s="39" t="str">
        <f>IF(AND($L2530=$P$7,$B2530&lt;'111'!$N$11),"x","")</f>
        <v/>
      </c>
      <c r="R2530" s="39" t="str">
        <f>IF(AND($M2530=$P$7,$B2530&lt;'111'!$N$11),"x","")</f>
        <v/>
      </c>
      <c r="S2530" s="39" t="str">
        <f>IF(ISERROR(FIND('112'!$M$9,G2530,1)),"",IF((AND(FIND('112'!$M$9,G2530,1)&gt;=1,$B2530&gt;='112'!$N$8,$B2530&lt;='112'!$O$8,OR($L2530='112'!$I$6,$M2530='112'!$I$6))),"x",""))</f>
        <v/>
      </c>
      <c r="T2530" s="39" t="str">
        <f>IF(ISERROR(FIND('112'!$M$9,G2530,1)),"",IF((AND(LEFT(G2530,2)=LEFT('112'!$M$9,2),B2530&lt;'112'!$N$8,$L2530='112'!$I$6)),"x",""))</f>
        <v/>
      </c>
      <c r="U2530" s="39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39" t="str">
        <f>IF(OR(TH!L2530=TH!$W$7,M2530=TH!$W$7),"x","")</f>
        <v/>
      </c>
      <c r="X2530" s="39" t="str">
        <f>IF(AND(B2530&gt;='IN-NX'!$P$3,B2530&lt;='IN-NX'!$Q$3,'IN-NX'!$D$7=D2530,OR(LEFT(L2530,2)="15",AND(LEFT(M2530,2)&lt;&gt;"15",LEFT(M2530,2)&lt;&gt;"33"))),"x","")</f>
        <v/>
      </c>
      <c r="Y2530" s="39" t="str">
        <f>IF(AND(OR(LEFT(TH!L2530,2)="15",LEFT(TH!M2530,2)="15"),'152-CT'!$J$8=TH!F2530),"x","")</f>
        <v/>
      </c>
      <c r="Z2530" s="39" t="str">
        <f>IF(AND(OR(LEFT(TH!L2530,2)="15",LEFT(TH!M2530,2)="15"),TK!$E$7=TH!F2530),"x","")</f>
        <v/>
      </c>
      <c r="AA2530" s="39" t="str">
        <f>IF(AND(B2530&lt;=NKC!$N$8,B2530&gt;=NKC!$M$8),"x","")</f>
        <v/>
      </c>
      <c r="AB2530" s="821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111"/>
        <v/>
      </c>
      <c r="C2531" s="191"/>
      <c r="D2531" s="37"/>
      <c r="E2531" s="191"/>
      <c r="F2531" s="40"/>
      <c r="G2531" s="40"/>
      <c r="H2531" s="7"/>
      <c r="I2531" s="256"/>
      <c r="J2531" s="256"/>
      <c r="K2531" s="568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902" t="str">
        <f>IF(AND('341-CT'!$E$9=H2531,OR(LEFT(L2531,3)=$O$7,LEFT(M2531,3)=$O$7)),"x","")</f>
        <v/>
      </c>
      <c r="P2531" s="39" t="str">
        <f>IF(AND($B2531&gt;='111'!$N$11,$B2531&lt;='111'!$O$11,OR($L2531=$P$7,$M2531=$P$7)),"x","")</f>
        <v/>
      </c>
      <c r="Q2531" s="39" t="str">
        <f>IF(AND($L2531=$P$7,$B2531&lt;'111'!$N$11),"x","")</f>
        <v/>
      </c>
      <c r="R2531" s="39" t="str">
        <f>IF(AND($M2531=$P$7,$B2531&lt;'111'!$N$11),"x","")</f>
        <v/>
      </c>
      <c r="S2531" s="39" t="str">
        <f>IF(ISERROR(FIND('112'!$M$9,G2531,1)),"",IF((AND(FIND('112'!$M$9,G2531,1)&gt;=1,$B2531&gt;='112'!$N$8,$B2531&lt;='112'!$O$8,OR($L2531='112'!$I$6,$M2531='112'!$I$6))),"x",""))</f>
        <v/>
      </c>
      <c r="T2531" s="39" t="str">
        <f>IF(ISERROR(FIND('112'!$M$9,G2531,1)),"",IF((AND(LEFT(G2531,2)=LEFT('112'!$M$9,2),B2531&lt;'112'!$N$8,$L2531='112'!$I$6)),"x",""))</f>
        <v/>
      </c>
      <c r="U2531" s="39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39" t="str">
        <f>IF(OR(TH!L2531=TH!$W$7,M2531=TH!$W$7),"x","")</f>
        <v/>
      </c>
      <c r="X2531" s="39" t="str">
        <f>IF(AND(B2531&gt;='IN-NX'!$P$3,B2531&lt;='IN-NX'!$Q$3,'IN-NX'!$D$7=D2531,OR(LEFT(L2531,2)="15",AND(LEFT(M2531,2)&lt;&gt;"15",LEFT(M2531,2)&lt;&gt;"33"))),"x","")</f>
        <v/>
      </c>
      <c r="Y2531" s="39" t="str">
        <f>IF(AND(OR(LEFT(TH!L2531,2)="15",LEFT(TH!M2531,2)="15"),'152-CT'!$J$8=TH!F2531),"x","")</f>
        <v/>
      </c>
      <c r="Z2531" s="39" t="str">
        <f>IF(AND(OR(LEFT(TH!L2531,2)="15",LEFT(TH!M2531,2)="15"),TK!$E$7=TH!F2531),"x","")</f>
        <v/>
      </c>
      <c r="AA2531" s="39" t="str">
        <f>IF(AND(B2531&lt;=NKC!$N$8,B2531&gt;=NKC!$M$8),"x","")</f>
        <v/>
      </c>
      <c r="AB2531" s="821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111"/>
        <v/>
      </c>
      <c r="C2532" s="191"/>
      <c r="D2532" s="37"/>
      <c r="E2532" s="191"/>
      <c r="F2532" s="40"/>
      <c r="G2532" s="40"/>
      <c r="H2532" s="7"/>
      <c r="I2532" s="256"/>
      <c r="J2532" s="256"/>
      <c r="K2532" s="568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902" t="str">
        <f>IF(AND('341-CT'!$E$9=H2532,OR(LEFT(L2532,3)=$O$7,LEFT(M2532,3)=$O$7)),"x","")</f>
        <v/>
      </c>
      <c r="P2532" s="39" t="str">
        <f>IF(AND($B2532&gt;='111'!$N$11,$B2532&lt;='111'!$O$11,OR($L2532=$P$7,$M2532=$P$7)),"x","")</f>
        <v/>
      </c>
      <c r="Q2532" s="39" t="str">
        <f>IF(AND($L2532=$P$7,$B2532&lt;'111'!$N$11),"x","")</f>
        <v/>
      </c>
      <c r="R2532" s="39" t="str">
        <f>IF(AND($M2532=$P$7,$B2532&lt;'111'!$N$11),"x","")</f>
        <v/>
      </c>
      <c r="S2532" s="39" t="str">
        <f>IF(ISERROR(FIND('112'!$M$9,G2532,1)),"",IF((AND(FIND('112'!$M$9,G2532,1)&gt;=1,$B2532&gt;='112'!$N$8,$B2532&lt;='112'!$O$8,OR($L2532='112'!$I$6,$M2532='112'!$I$6))),"x",""))</f>
        <v/>
      </c>
      <c r="T2532" s="39" t="str">
        <f>IF(ISERROR(FIND('112'!$M$9,G2532,1)),"",IF((AND(LEFT(G2532,2)=LEFT('112'!$M$9,2),B2532&lt;'112'!$N$8,$L2532='112'!$I$6)),"x",""))</f>
        <v/>
      </c>
      <c r="U2532" s="39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39" t="str">
        <f>IF(OR(TH!L2532=TH!$W$7,M2532=TH!$W$7),"x","")</f>
        <v/>
      </c>
      <c r="X2532" s="39" t="str">
        <f>IF(AND(B2532&gt;='IN-NX'!$P$3,B2532&lt;='IN-NX'!$Q$3,'IN-NX'!$D$7=D2532,OR(LEFT(L2532,2)="15",AND(LEFT(M2532,2)&lt;&gt;"15",LEFT(M2532,2)&lt;&gt;"33"))),"x","")</f>
        <v/>
      </c>
      <c r="Y2532" s="39" t="str">
        <f>IF(AND(OR(LEFT(TH!L2532,2)="15",LEFT(TH!M2532,2)="15"),'152-CT'!$J$8=TH!F2532),"x","")</f>
        <v/>
      </c>
      <c r="Z2532" s="39" t="str">
        <f>IF(AND(OR(LEFT(TH!L2532,2)="15",LEFT(TH!M2532,2)="15"),TK!$E$7=TH!F2532),"x","")</f>
        <v/>
      </c>
      <c r="AA2532" s="39" t="str">
        <f>IF(AND(B2532&lt;=NKC!$N$8,B2532&gt;=NKC!$M$8),"x","")</f>
        <v/>
      </c>
      <c r="AB2532" s="821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111"/>
        <v/>
      </c>
      <c r="C2533" s="191"/>
      <c r="D2533" s="37"/>
      <c r="E2533" s="191"/>
      <c r="F2533" s="40"/>
      <c r="G2533" s="40"/>
      <c r="H2533" s="7"/>
      <c r="I2533" s="256"/>
      <c r="J2533" s="256"/>
      <c r="K2533" s="568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902" t="str">
        <f>IF(AND('341-CT'!$E$9=H2533,OR(LEFT(L2533,3)=$O$7,LEFT(M2533,3)=$O$7)),"x","")</f>
        <v/>
      </c>
      <c r="P2533" s="39" t="str">
        <f>IF(AND($B2533&gt;='111'!$N$11,$B2533&lt;='111'!$O$11,OR($L2533=$P$7,$M2533=$P$7)),"x","")</f>
        <v/>
      </c>
      <c r="Q2533" s="39" t="str">
        <f>IF(AND($L2533=$P$7,$B2533&lt;'111'!$N$11),"x","")</f>
        <v/>
      </c>
      <c r="R2533" s="39" t="str">
        <f>IF(AND($M2533=$P$7,$B2533&lt;'111'!$N$11),"x","")</f>
        <v/>
      </c>
      <c r="S2533" s="39" t="str">
        <f>IF(ISERROR(FIND('112'!$M$9,G2533,1)),"",IF((AND(FIND('112'!$M$9,G2533,1)&gt;=1,$B2533&gt;='112'!$N$8,$B2533&lt;='112'!$O$8,OR($L2533='112'!$I$6,$M2533='112'!$I$6))),"x",""))</f>
        <v/>
      </c>
      <c r="T2533" s="39" t="str">
        <f>IF(ISERROR(FIND('112'!$M$9,G2533,1)),"",IF((AND(LEFT(G2533,2)=LEFT('112'!$M$9,2),B2533&lt;'112'!$N$8,$L2533='112'!$I$6)),"x",""))</f>
        <v/>
      </c>
      <c r="U2533" s="39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39" t="str">
        <f>IF(OR(TH!L2533=TH!$W$7,M2533=TH!$W$7),"x","")</f>
        <v/>
      </c>
      <c r="X2533" s="39" t="str">
        <f>IF(AND(B2533&gt;='IN-NX'!$P$3,B2533&lt;='IN-NX'!$Q$3,'IN-NX'!$D$7=D2533,OR(LEFT(L2533,2)="15",AND(LEFT(M2533,2)&lt;&gt;"15",LEFT(M2533,2)&lt;&gt;"33"))),"x","")</f>
        <v/>
      </c>
      <c r="Y2533" s="39" t="str">
        <f>IF(AND(OR(LEFT(TH!L2533,2)="15",LEFT(TH!M2533,2)="15"),'152-CT'!$J$8=TH!F2533),"x","")</f>
        <v/>
      </c>
      <c r="Z2533" s="39" t="str">
        <f>IF(AND(OR(LEFT(TH!L2533,2)="15",LEFT(TH!M2533,2)="15"),TK!$E$7=TH!F2533),"x","")</f>
        <v/>
      </c>
      <c r="AA2533" s="39" t="str">
        <f>IF(AND(B2533&lt;=NKC!$N$8,B2533&gt;=NKC!$M$8),"x","")</f>
        <v/>
      </c>
      <c r="AB2533" s="821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111"/>
        <v/>
      </c>
      <c r="C2534" s="191"/>
      <c r="D2534" s="37"/>
      <c r="E2534" s="191"/>
      <c r="F2534" s="40"/>
      <c r="G2534" s="40"/>
      <c r="H2534" s="7"/>
      <c r="I2534" s="256"/>
      <c r="J2534" s="256"/>
      <c r="K2534" s="568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902" t="str">
        <f>IF(AND('341-CT'!$E$9=H2534,OR(LEFT(L2534,3)=$O$7,LEFT(M2534,3)=$O$7)),"x","")</f>
        <v/>
      </c>
      <c r="P2534" s="39" t="str">
        <f>IF(AND($B2534&gt;='111'!$N$11,$B2534&lt;='111'!$O$11,OR($L2534=$P$7,$M2534=$P$7)),"x","")</f>
        <v/>
      </c>
      <c r="Q2534" s="39" t="str">
        <f>IF(AND($L2534=$P$7,$B2534&lt;'111'!$N$11),"x","")</f>
        <v/>
      </c>
      <c r="R2534" s="39" t="str">
        <f>IF(AND($M2534=$P$7,$B2534&lt;'111'!$N$11),"x","")</f>
        <v/>
      </c>
      <c r="S2534" s="39" t="str">
        <f>IF(ISERROR(FIND('112'!$M$9,G2534,1)),"",IF((AND(FIND('112'!$M$9,G2534,1)&gt;=1,$B2534&gt;='112'!$N$8,$B2534&lt;='112'!$O$8,OR($L2534='112'!$I$6,$M2534='112'!$I$6))),"x",""))</f>
        <v/>
      </c>
      <c r="T2534" s="39" t="str">
        <f>IF(ISERROR(FIND('112'!$M$9,G2534,1)),"",IF((AND(LEFT(G2534,2)=LEFT('112'!$M$9,2),B2534&lt;'112'!$N$8,$L2534='112'!$I$6)),"x",""))</f>
        <v/>
      </c>
      <c r="U2534" s="39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39" t="str">
        <f>IF(OR(TH!L2534=TH!$W$7,M2534=TH!$W$7),"x","")</f>
        <v/>
      </c>
      <c r="X2534" s="39" t="str">
        <f>IF(AND(B2534&gt;='IN-NX'!$P$3,B2534&lt;='IN-NX'!$Q$3,'IN-NX'!$D$7=D2534,OR(LEFT(L2534,2)="15",AND(LEFT(M2534,2)&lt;&gt;"15",LEFT(M2534,2)&lt;&gt;"33"))),"x","")</f>
        <v/>
      </c>
      <c r="Y2534" s="39" t="str">
        <f>IF(AND(OR(LEFT(TH!L2534,2)="15",LEFT(TH!M2534,2)="15"),'152-CT'!$J$8=TH!F2534),"x","")</f>
        <v/>
      </c>
      <c r="Z2534" s="39" t="str">
        <f>IF(AND(OR(LEFT(TH!L2534,2)="15",LEFT(TH!M2534,2)="15"),TK!$E$7=TH!F2534),"x","")</f>
        <v/>
      </c>
      <c r="AA2534" s="39" t="str">
        <f>IF(AND(B2534&lt;=NKC!$N$8,B2534&gt;=NKC!$M$8),"x","")</f>
        <v/>
      </c>
      <c r="AB2534" s="821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111"/>
        <v/>
      </c>
      <c r="C2535" s="191"/>
      <c r="D2535" s="37"/>
      <c r="E2535" s="191"/>
      <c r="F2535" s="40"/>
      <c r="G2535" s="40"/>
      <c r="H2535" s="7"/>
      <c r="I2535" s="256"/>
      <c r="J2535" s="256"/>
      <c r="K2535" s="568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902" t="str">
        <f>IF(AND('341-CT'!$E$9=H2535,OR(LEFT(L2535,3)=$O$7,LEFT(M2535,3)=$O$7)),"x","")</f>
        <v/>
      </c>
      <c r="P2535" s="39" t="str">
        <f>IF(AND($B2535&gt;='111'!$N$11,$B2535&lt;='111'!$O$11,OR($L2535=$P$7,$M2535=$P$7)),"x","")</f>
        <v/>
      </c>
      <c r="Q2535" s="39" t="str">
        <f>IF(AND($L2535=$P$7,$B2535&lt;'111'!$N$11),"x","")</f>
        <v/>
      </c>
      <c r="R2535" s="39" t="str">
        <f>IF(AND($M2535=$P$7,$B2535&lt;'111'!$N$11),"x","")</f>
        <v/>
      </c>
      <c r="S2535" s="39" t="str">
        <f>IF(ISERROR(FIND('112'!$M$9,G2535,1)),"",IF((AND(FIND('112'!$M$9,G2535,1)&gt;=1,$B2535&gt;='112'!$N$8,$B2535&lt;='112'!$O$8,OR($L2535='112'!$I$6,$M2535='112'!$I$6))),"x",""))</f>
        <v/>
      </c>
      <c r="T2535" s="39" t="str">
        <f>IF(ISERROR(FIND('112'!$M$9,G2535,1)),"",IF((AND(LEFT(G2535,2)=LEFT('112'!$M$9,2),B2535&lt;'112'!$N$8,$L2535='112'!$I$6)),"x",""))</f>
        <v/>
      </c>
      <c r="U2535" s="39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39" t="str">
        <f>IF(OR(TH!L2535=TH!$W$7,M2535=TH!$W$7),"x","")</f>
        <v/>
      </c>
      <c r="X2535" s="39" t="str">
        <f>IF(AND(B2535&gt;='IN-NX'!$P$3,B2535&lt;='IN-NX'!$Q$3,'IN-NX'!$D$7=D2535,OR(LEFT(L2535,2)="15",AND(LEFT(M2535,2)&lt;&gt;"15",LEFT(M2535,2)&lt;&gt;"33"))),"x","")</f>
        <v/>
      </c>
      <c r="Y2535" s="39" t="str">
        <f>IF(AND(OR(LEFT(TH!L2535,2)="15",LEFT(TH!M2535,2)="15"),'152-CT'!$J$8=TH!F2535),"x","")</f>
        <v/>
      </c>
      <c r="Z2535" s="39" t="str">
        <f>IF(AND(OR(LEFT(TH!L2535,2)="15",LEFT(TH!M2535,2)="15"),TK!$E$7=TH!F2535),"x","")</f>
        <v/>
      </c>
      <c r="AA2535" s="39" t="str">
        <f>IF(AND(B2535&lt;=NKC!$N$8,B2535&gt;=NKC!$M$8),"x","")</f>
        <v/>
      </c>
      <c r="AB2535" s="821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111"/>
        <v/>
      </c>
      <c r="C2536" s="191"/>
      <c r="D2536" s="37"/>
      <c r="E2536" s="191"/>
      <c r="F2536" s="40"/>
      <c r="G2536" s="40"/>
      <c r="H2536" s="7"/>
      <c r="I2536" s="256"/>
      <c r="J2536" s="256"/>
      <c r="K2536" s="568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902" t="str">
        <f>IF(AND('341-CT'!$E$9=H2536,OR(LEFT(L2536,3)=$O$7,LEFT(M2536,3)=$O$7)),"x","")</f>
        <v/>
      </c>
      <c r="P2536" s="39" t="str">
        <f>IF(AND($B2536&gt;='111'!$N$11,$B2536&lt;='111'!$O$11,OR($L2536=$P$7,$M2536=$P$7)),"x","")</f>
        <v/>
      </c>
      <c r="Q2536" s="39" t="str">
        <f>IF(AND($L2536=$P$7,$B2536&lt;'111'!$N$11),"x","")</f>
        <v/>
      </c>
      <c r="R2536" s="39" t="str">
        <f>IF(AND($M2536=$P$7,$B2536&lt;'111'!$N$11),"x","")</f>
        <v/>
      </c>
      <c r="S2536" s="39" t="str">
        <f>IF(ISERROR(FIND('112'!$M$9,G2536,1)),"",IF((AND(FIND('112'!$M$9,G2536,1)&gt;=1,$B2536&gt;='112'!$N$8,$B2536&lt;='112'!$O$8,OR($L2536='112'!$I$6,$M2536='112'!$I$6))),"x",""))</f>
        <v/>
      </c>
      <c r="T2536" s="39" t="str">
        <f>IF(ISERROR(FIND('112'!$M$9,G2536,1)),"",IF((AND(LEFT(G2536,2)=LEFT('112'!$M$9,2),B2536&lt;'112'!$N$8,$L2536='112'!$I$6)),"x",""))</f>
        <v/>
      </c>
      <c r="U2536" s="39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39" t="str">
        <f>IF(OR(TH!L2536=TH!$W$7,M2536=TH!$W$7),"x","")</f>
        <v/>
      </c>
      <c r="X2536" s="39" t="str">
        <f>IF(AND(B2536&gt;='IN-NX'!$P$3,B2536&lt;='IN-NX'!$Q$3,'IN-NX'!$D$7=D2536,OR(LEFT(L2536,2)="15",AND(LEFT(M2536,2)&lt;&gt;"15",LEFT(M2536,2)&lt;&gt;"33"))),"x","")</f>
        <v/>
      </c>
      <c r="Y2536" s="39" t="str">
        <f>IF(AND(OR(LEFT(TH!L2536,2)="15",LEFT(TH!M2536,2)="15"),'152-CT'!$J$8=TH!F2536),"x","")</f>
        <v/>
      </c>
      <c r="Z2536" s="39" t="str">
        <f>IF(AND(OR(LEFT(TH!L2536,2)="15",LEFT(TH!M2536,2)="15"),TK!$E$7=TH!F2536),"x","")</f>
        <v/>
      </c>
      <c r="AA2536" s="39" t="str">
        <f>IF(AND(B2536&lt;=NKC!$N$8,B2536&gt;=NKC!$M$8),"x","")</f>
        <v/>
      </c>
      <c r="AB2536" s="821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111"/>
        <v/>
      </c>
      <c r="C2537" s="191"/>
      <c r="D2537" s="37"/>
      <c r="E2537" s="191"/>
      <c r="F2537" s="40"/>
      <c r="G2537" s="40"/>
      <c r="H2537" s="7"/>
      <c r="I2537" s="256"/>
      <c r="J2537" s="256"/>
      <c r="K2537" s="56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902" t="str">
        <f>IF(AND('341-CT'!$E$9=H2537,OR(LEFT(L2537,3)=$O$7,LEFT(M2537,3)=$O$7)),"x","")</f>
        <v/>
      </c>
      <c r="P2537" s="39" t="str">
        <f>IF(AND($B2537&gt;='111'!$N$11,$B2537&lt;='111'!$O$11,OR($L2537=$P$7,$M2537=$P$7)),"x","")</f>
        <v/>
      </c>
      <c r="Q2537" s="39" t="str">
        <f>IF(AND($L2537=$P$7,$B2537&lt;'111'!$N$11),"x","")</f>
        <v/>
      </c>
      <c r="R2537" s="39" t="str">
        <f>IF(AND($M2537=$P$7,$B2537&lt;'111'!$N$11),"x","")</f>
        <v/>
      </c>
      <c r="S2537" s="39" t="str">
        <f>IF(ISERROR(FIND('112'!$M$9,G2537,1)),"",IF((AND(FIND('112'!$M$9,G2537,1)&gt;=1,$B2537&gt;='112'!$N$8,$B2537&lt;='112'!$O$8,OR($L2537='112'!$I$6,$M2537='112'!$I$6))),"x",""))</f>
        <v/>
      </c>
      <c r="T2537" s="39" t="str">
        <f>IF(ISERROR(FIND('112'!$M$9,G2537,1)),"",IF((AND(LEFT(G2537,2)=LEFT('112'!$M$9,2),B2537&lt;'112'!$N$8,$L2537='112'!$I$6)),"x",""))</f>
        <v/>
      </c>
      <c r="U2537" s="39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39" t="str">
        <f>IF(OR(TH!L2537=TH!$W$7,M2537=TH!$W$7),"x","")</f>
        <v/>
      </c>
      <c r="X2537" s="39" t="str">
        <f>IF(AND(B2537&gt;='IN-NX'!$P$3,B2537&lt;='IN-NX'!$Q$3,'IN-NX'!$D$7=D2537,OR(LEFT(L2537,2)="15",AND(LEFT(M2537,2)&lt;&gt;"15",LEFT(M2537,2)&lt;&gt;"33"))),"x","")</f>
        <v/>
      </c>
      <c r="Y2537" s="39" t="str">
        <f>IF(AND(OR(LEFT(TH!L2537,2)="15",LEFT(TH!M2537,2)="15"),'152-CT'!$J$8=TH!F2537),"x","")</f>
        <v/>
      </c>
      <c r="Z2537" s="39" t="str">
        <f>IF(AND(OR(LEFT(TH!L2537,2)="15",LEFT(TH!M2537,2)="15"),TK!$E$7=TH!F2537),"x","")</f>
        <v/>
      </c>
      <c r="AA2537" s="39" t="str">
        <f>IF(AND(B2537&lt;=NKC!$N$8,B2537&gt;=NKC!$M$8),"x","")</f>
        <v/>
      </c>
      <c r="AB2537" s="821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111"/>
        <v/>
      </c>
      <c r="C2538" s="191"/>
      <c r="D2538" s="37"/>
      <c r="E2538" s="191"/>
      <c r="F2538" s="40"/>
      <c r="G2538" s="40"/>
      <c r="H2538" s="7"/>
      <c r="I2538" s="256"/>
      <c r="J2538" s="256"/>
      <c r="K2538" s="56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902" t="str">
        <f>IF(AND('341-CT'!$E$9=H2538,OR(LEFT(L2538,3)=$O$7,LEFT(M2538,3)=$O$7)),"x","")</f>
        <v/>
      </c>
      <c r="P2538" s="39" t="str">
        <f>IF(AND($B2538&gt;='111'!$N$11,$B2538&lt;='111'!$O$11,OR($L2538=$P$7,$M2538=$P$7)),"x","")</f>
        <v/>
      </c>
      <c r="Q2538" s="39" t="str">
        <f>IF(AND($L2538=$P$7,$B2538&lt;'111'!$N$11),"x","")</f>
        <v/>
      </c>
      <c r="R2538" s="39" t="str">
        <f>IF(AND($M2538=$P$7,$B2538&lt;'111'!$N$11),"x","")</f>
        <v/>
      </c>
      <c r="S2538" s="39" t="str">
        <f>IF(ISERROR(FIND('112'!$M$9,G2538,1)),"",IF((AND(FIND('112'!$M$9,G2538,1)&gt;=1,$B2538&gt;='112'!$N$8,$B2538&lt;='112'!$O$8,OR($L2538='112'!$I$6,$M2538='112'!$I$6))),"x",""))</f>
        <v/>
      </c>
      <c r="T2538" s="39" t="str">
        <f>IF(ISERROR(FIND('112'!$M$9,G2538,1)),"",IF((AND(LEFT(G2538,2)=LEFT('112'!$M$9,2),B2538&lt;'112'!$N$8,$L2538='112'!$I$6)),"x",""))</f>
        <v/>
      </c>
      <c r="U2538" s="39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39" t="str">
        <f>IF(OR(TH!L2538=TH!$W$7,M2538=TH!$W$7),"x","")</f>
        <v/>
      </c>
      <c r="X2538" s="39" t="str">
        <f>IF(AND(B2538&gt;='IN-NX'!$P$3,B2538&lt;='IN-NX'!$Q$3,'IN-NX'!$D$7=D2538,OR(LEFT(L2538,2)="15",AND(LEFT(M2538,2)&lt;&gt;"15",LEFT(M2538,2)&lt;&gt;"33"))),"x","")</f>
        <v/>
      </c>
      <c r="Y2538" s="39" t="str">
        <f>IF(AND(OR(LEFT(TH!L2538,2)="15",LEFT(TH!M2538,2)="15"),'152-CT'!$J$8=TH!F2538),"x","")</f>
        <v/>
      </c>
      <c r="Z2538" s="39" t="str">
        <f>IF(AND(OR(LEFT(TH!L2538,2)="15",LEFT(TH!M2538,2)="15"),TK!$E$7=TH!F2538),"x","")</f>
        <v/>
      </c>
      <c r="AA2538" s="39" t="str">
        <f>IF(AND(B2538&lt;=NKC!$N$8,B2538&gt;=NKC!$M$8),"x","")</f>
        <v/>
      </c>
      <c r="AB2538" s="821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111"/>
        <v/>
      </c>
      <c r="C2539" s="191"/>
      <c r="D2539" s="37"/>
      <c r="E2539" s="191"/>
      <c r="F2539" s="40"/>
      <c r="G2539" s="40"/>
      <c r="H2539" s="7"/>
      <c r="I2539" s="256"/>
      <c r="J2539" s="256"/>
      <c r="K2539" s="56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902" t="str">
        <f>IF(AND('341-CT'!$E$9=H2539,OR(LEFT(L2539,3)=$O$7,LEFT(M2539,3)=$O$7)),"x","")</f>
        <v/>
      </c>
      <c r="P2539" s="39" t="str">
        <f>IF(AND($B2539&gt;='111'!$N$11,$B2539&lt;='111'!$O$11,OR($L2539=$P$7,$M2539=$P$7)),"x","")</f>
        <v/>
      </c>
      <c r="Q2539" s="39" t="str">
        <f>IF(AND($L2539=$P$7,$B2539&lt;'111'!$N$11),"x","")</f>
        <v/>
      </c>
      <c r="R2539" s="39" t="str">
        <f>IF(AND($M2539=$P$7,$B2539&lt;'111'!$N$11),"x","")</f>
        <v/>
      </c>
      <c r="S2539" s="39" t="str">
        <f>IF(ISERROR(FIND('112'!$M$9,G2539,1)),"",IF((AND(FIND('112'!$M$9,G2539,1)&gt;=1,$B2539&gt;='112'!$N$8,$B2539&lt;='112'!$O$8,OR($L2539='112'!$I$6,$M2539='112'!$I$6))),"x",""))</f>
        <v/>
      </c>
      <c r="T2539" s="39" t="str">
        <f>IF(ISERROR(FIND('112'!$M$9,G2539,1)),"",IF((AND(LEFT(G2539,2)=LEFT('112'!$M$9,2),B2539&lt;'112'!$N$8,$L2539='112'!$I$6)),"x",""))</f>
        <v/>
      </c>
      <c r="U2539" s="39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39" t="str">
        <f>IF(OR(TH!L2539=TH!$W$7,M2539=TH!$W$7),"x","")</f>
        <v/>
      </c>
      <c r="X2539" s="39" t="str">
        <f>IF(AND(B2539&gt;='IN-NX'!$P$3,B2539&lt;='IN-NX'!$Q$3,'IN-NX'!$D$7=D2539,OR(LEFT(L2539,2)="15",AND(LEFT(M2539,2)&lt;&gt;"15",LEFT(M2539,2)&lt;&gt;"33"))),"x","")</f>
        <v/>
      </c>
      <c r="Y2539" s="39" t="str">
        <f>IF(AND(OR(LEFT(TH!L2539,2)="15",LEFT(TH!M2539,2)="15"),'152-CT'!$J$8=TH!F2539),"x","")</f>
        <v/>
      </c>
      <c r="Z2539" s="39" t="str">
        <f>IF(AND(OR(LEFT(TH!L2539,2)="15",LEFT(TH!M2539,2)="15"),TK!$E$7=TH!F2539),"x","")</f>
        <v/>
      </c>
      <c r="AA2539" s="39" t="str">
        <f>IF(AND(B2539&lt;=NKC!$N$8,B2539&gt;=NKC!$M$8),"x","")</f>
        <v/>
      </c>
      <c r="AB2539" s="821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111"/>
        <v/>
      </c>
      <c r="C2540" s="191"/>
      <c r="D2540" s="37"/>
      <c r="E2540" s="191"/>
      <c r="F2540" s="40"/>
      <c r="G2540" s="40"/>
      <c r="H2540" s="7"/>
      <c r="I2540" s="256"/>
      <c r="J2540" s="256"/>
      <c r="K2540" s="56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902" t="str">
        <f>IF(AND('341-CT'!$E$9=H2540,OR(LEFT(L2540,3)=$O$7,LEFT(M2540,3)=$O$7)),"x","")</f>
        <v/>
      </c>
      <c r="P2540" s="39" t="str">
        <f>IF(AND($B2540&gt;='111'!$N$11,$B2540&lt;='111'!$O$11,OR($L2540=$P$7,$M2540=$P$7)),"x","")</f>
        <v/>
      </c>
      <c r="Q2540" s="39" t="str">
        <f>IF(AND($L2540=$P$7,$B2540&lt;'111'!$N$11),"x","")</f>
        <v/>
      </c>
      <c r="R2540" s="39" t="str">
        <f>IF(AND($M2540=$P$7,$B2540&lt;'111'!$N$11),"x","")</f>
        <v/>
      </c>
      <c r="S2540" s="39" t="str">
        <f>IF(ISERROR(FIND('112'!$M$9,G2540,1)),"",IF((AND(FIND('112'!$M$9,G2540,1)&gt;=1,$B2540&gt;='112'!$N$8,$B2540&lt;='112'!$O$8,OR($L2540='112'!$I$6,$M2540='112'!$I$6))),"x",""))</f>
        <v/>
      </c>
      <c r="T2540" s="39" t="str">
        <f>IF(ISERROR(FIND('112'!$M$9,G2540,1)),"",IF((AND(LEFT(G2540,2)=LEFT('112'!$M$9,2),B2540&lt;'112'!$N$8,$L2540='112'!$I$6)),"x",""))</f>
        <v/>
      </c>
      <c r="U2540" s="39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39" t="str">
        <f>IF(OR(TH!L2540=TH!$W$7,M2540=TH!$W$7),"x","")</f>
        <v/>
      </c>
      <c r="X2540" s="39" t="str">
        <f>IF(AND(B2540&gt;='IN-NX'!$P$3,B2540&lt;='IN-NX'!$Q$3,'IN-NX'!$D$7=D2540,OR(LEFT(L2540,2)="15",AND(LEFT(M2540,2)&lt;&gt;"15",LEFT(M2540,2)&lt;&gt;"33"))),"x","")</f>
        <v/>
      </c>
      <c r="Y2540" s="39" t="str">
        <f>IF(AND(OR(LEFT(TH!L2540,2)="15",LEFT(TH!M2540,2)="15"),'152-CT'!$J$8=TH!F2540),"x","")</f>
        <v/>
      </c>
      <c r="Z2540" s="39" t="str">
        <f>IF(AND(OR(LEFT(TH!L2540,2)="15",LEFT(TH!M2540,2)="15"),TK!$E$7=TH!F2540),"x","")</f>
        <v/>
      </c>
      <c r="AA2540" s="39" t="str">
        <f>IF(AND(B2540&lt;=NKC!$N$8,B2540&gt;=NKC!$M$8),"x","")</f>
        <v/>
      </c>
      <c r="AB2540" s="821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111"/>
        <v/>
      </c>
      <c r="C2541" s="191"/>
      <c r="D2541" s="37"/>
      <c r="E2541" s="191"/>
      <c r="F2541" s="40"/>
      <c r="G2541" s="40"/>
      <c r="H2541" s="7"/>
      <c r="I2541" s="256"/>
      <c r="J2541" s="256"/>
      <c r="K2541" s="56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902" t="str">
        <f>IF(AND('341-CT'!$E$9=H2541,OR(LEFT(L2541,3)=$O$7,LEFT(M2541,3)=$O$7)),"x","")</f>
        <v/>
      </c>
      <c r="P2541" s="39" t="str">
        <f>IF(AND($B2541&gt;='111'!$N$11,$B2541&lt;='111'!$O$11,OR($L2541=$P$7,$M2541=$P$7)),"x","")</f>
        <v/>
      </c>
      <c r="Q2541" s="39" t="str">
        <f>IF(AND($L2541=$P$7,$B2541&lt;'111'!$N$11),"x","")</f>
        <v/>
      </c>
      <c r="R2541" s="39" t="str">
        <f>IF(AND($M2541=$P$7,$B2541&lt;'111'!$N$11),"x","")</f>
        <v/>
      </c>
      <c r="S2541" s="39" t="str">
        <f>IF(ISERROR(FIND('112'!$M$9,G2541,1)),"",IF((AND(FIND('112'!$M$9,G2541,1)&gt;=1,$B2541&gt;='112'!$N$8,$B2541&lt;='112'!$O$8,OR($L2541='112'!$I$6,$M2541='112'!$I$6))),"x",""))</f>
        <v/>
      </c>
      <c r="T2541" s="39" t="str">
        <f>IF(ISERROR(FIND('112'!$M$9,G2541,1)),"",IF((AND(LEFT(G2541,2)=LEFT('112'!$M$9,2),B2541&lt;'112'!$N$8,$L2541='112'!$I$6)),"x",""))</f>
        <v/>
      </c>
      <c r="U2541" s="39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39" t="str">
        <f>IF(OR(TH!L2541=TH!$W$7,M2541=TH!$W$7),"x","")</f>
        <v/>
      </c>
      <c r="X2541" s="39" t="str">
        <f>IF(AND(B2541&gt;='IN-NX'!$P$3,B2541&lt;='IN-NX'!$Q$3,'IN-NX'!$D$7=D2541,OR(LEFT(L2541,2)="15",AND(LEFT(M2541,2)&lt;&gt;"15",LEFT(M2541,2)&lt;&gt;"33"))),"x","")</f>
        <v/>
      </c>
      <c r="Y2541" s="39" t="str">
        <f>IF(AND(OR(LEFT(TH!L2541,2)="15",LEFT(TH!M2541,2)="15"),'152-CT'!$J$8=TH!F2541),"x","")</f>
        <v/>
      </c>
      <c r="Z2541" s="39" t="str">
        <f>IF(AND(OR(LEFT(TH!L2541,2)="15",LEFT(TH!M2541,2)="15"),TK!$E$7=TH!F2541),"x","")</f>
        <v/>
      </c>
      <c r="AA2541" s="39" t="str">
        <f>IF(AND(B2541&lt;=NKC!$N$8,B2541&gt;=NKC!$M$8),"x","")</f>
        <v/>
      </c>
      <c r="AB2541" s="821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111"/>
        <v/>
      </c>
      <c r="C2542" s="191"/>
      <c r="D2542" s="37"/>
      <c r="E2542" s="191"/>
      <c r="F2542" s="40"/>
      <c r="G2542" s="40"/>
      <c r="H2542" s="7"/>
      <c r="I2542" s="256"/>
      <c r="J2542" s="256"/>
      <c r="K2542" s="56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902" t="str">
        <f>IF(AND('341-CT'!$E$9=H2542,OR(LEFT(L2542,3)=$O$7,LEFT(M2542,3)=$O$7)),"x","")</f>
        <v/>
      </c>
      <c r="P2542" s="39" t="str">
        <f>IF(AND($B2542&gt;='111'!$N$11,$B2542&lt;='111'!$O$11,OR($L2542=$P$7,$M2542=$P$7)),"x","")</f>
        <v/>
      </c>
      <c r="Q2542" s="39" t="str">
        <f>IF(AND($L2542=$P$7,$B2542&lt;'111'!$N$11),"x","")</f>
        <v/>
      </c>
      <c r="R2542" s="39" t="str">
        <f>IF(AND($M2542=$P$7,$B2542&lt;'111'!$N$11),"x","")</f>
        <v/>
      </c>
      <c r="S2542" s="39" t="str">
        <f>IF(ISERROR(FIND('112'!$M$9,G2542,1)),"",IF((AND(FIND('112'!$M$9,G2542,1)&gt;=1,$B2542&gt;='112'!$N$8,$B2542&lt;='112'!$O$8,OR($L2542='112'!$I$6,$M2542='112'!$I$6))),"x",""))</f>
        <v/>
      </c>
      <c r="T2542" s="39" t="str">
        <f>IF(ISERROR(FIND('112'!$M$9,G2542,1)),"",IF((AND(LEFT(G2542,2)=LEFT('112'!$M$9,2),B2542&lt;'112'!$N$8,$L2542='112'!$I$6)),"x",""))</f>
        <v/>
      </c>
      <c r="U2542" s="39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39" t="str">
        <f>IF(OR(TH!L2542=TH!$W$7,M2542=TH!$W$7),"x","")</f>
        <v/>
      </c>
      <c r="X2542" s="39" t="str">
        <f>IF(AND(B2542&gt;='IN-NX'!$P$3,B2542&lt;='IN-NX'!$Q$3,'IN-NX'!$D$7=D2542,OR(LEFT(L2542,2)="15",AND(LEFT(M2542,2)&lt;&gt;"15",LEFT(M2542,2)&lt;&gt;"33"))),"x","")</f>
        <v/>
      </c>
      <c r="Y2542" s="39" t="str">
        <f>IF(AND(OR(LEFT(TH!L2542,2)="15",LEFT(TH!M2542,2)="15"),'152-CT'!$J$8=TH!F2542),"x","")</f>
        <v/>
      </c>
      <c r="Z2542" s="39" t="str">
        <f>IF(AND(OR(LEFT(TH!L2542,2)="15",LEFT(TH!M2542,2)="15"),TK!$E$7=TH!F2542),"x","")</f>
        <v/>
      </c>
      <c r="AA2542" s="39" t="str">
        <f>IF(AND(B2542&lt;=NKC!$N$8,B2542&gt;=NKC!$M$8),"x","")</f>
        <v/>
      </c>
      <c r="AB2542" s="821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111"/>
        <v/>
      </c>
      <c r="C2543" s="191"/>
      <c r="D2543" s="37"/>
      <c r="E2543" s="191"/>
      <c r="F2543" s="40"/>
      <c r="G2543" s="40"/>
      <c r="H2543" s="7"/>
      <c r="I2543" s="256"/>
      <c r="J2543" s="256"/>
      <c r="K2543" s="56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902" t="str">
        <f>IF(AND('341-CT'!$E$9=H2543,OR(LEFT(L2543,3)=$O$7,LEFT(M2543,3)=$O$7)),"x","")</f>
        <v/>
      </c>
      <c r="P2543" s="39" t="str">
        <f>IF(AND($B2543&gt;='111'!$N$11,$B2543&lt;='111'!$O$11,OR($L2543=$P$7,$M2543=$P$7)),"x","")</f>
        <v/>
      </c>
      <c r="Q2543" s="39" t="str">
        <f>IF(AND($L2543=$P$7,$B2543&lt;'111'!$N$11),"x","")</f>
        <v/>
      </c>
      <c r="R2543" s="39" t="str">
        <f>IF(AND($M2543=$P$7,$B2543&lt;'111'!$N$11),"x","")</f>
        <v/>
      </c>
      <c r="S2543" s="39" t="str">
        <f>IF(ISERROR(FIND('112'!$M$9,G2543,1)),"",IF((AND(FIND('112'!$M$9,G2543,1)&gt;=1,$B2543&gt;='112'!$N$8,$B2543&lt;='112'!$O$8,OR($L2543='112'!$I$6,$M2543='112'!$I$6))),"x",""))</f>
        <v/>
      </c>
      <c r="T2543" s="39" t="str">
        <f>IF(ISERROR(FIND('112'!$M$9,G2543,1)),"",IF((AND(LEFT(G2543,2)=LEFT('112'!$M$9,2),B2543&lt;'112'!$N$8,$L2543='112'!$I$6)),"x",""))</f>
        <v/>
      </c>
      <c r="U2543" s="39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39" t="str">
        <f>IF(OR(TH!L2543=TH!$W$7,M2543=TH!$W$7),"x","")</f>
        <v/>
      </c>
      <c r="X2543" s="39" t="str">
        <f>IF(AND(B2543&gt;='IN-NX'!$P$3,B2543&lt;='IN-NX'!$Q$3,'IN-NX'!$D$7=D2543,OR(LEFT(L2543,2)="15",AND(LEFT(M2543,2)&lt;&gt;"15",LEFT(M2543,2)&lt;&gt;"33"))),"x","")</f>
        <v/>
      </c>
      <c r="Y2543" s="39" t="str">
        <f>IF(AND(OR(LEFT(TH!L2543,2)="15",LEFT(TH!M2543,2)="15"),'152-CT'!$J$8=TH!F2543),"x","")</f>
        <v/>
      </c>
      <c r="Z2543" s="39" t="str">
        <f>IF(AND(OR(LEFT(TH!L2543,2)="15",LEFT(TH!M2543,2)="15"),TK!$E$7=TH!F2543),"x","")</f>
        <v/>
      </c>
      <c r="AA2543" s="39" t="str">
        <f>IF(AND(B2543&lt;=NKC!$N$8,B2543&gt;=NKC!$M$8),"x","")</f>
        <v/>
      </c>
      <c r="AB2543" s="821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111"/>
        <v/>
      </c>
      <c r="C2544" s="191"/>
      <c r="D2544" s="37"/>
      <c r="E2544" s="191"/>
      <c r="F2544" s="40"/>
      <c r="G2544" s="40"/>
      <c r="H2544" s="7"/>
      <c r="I2544" s="256"/>
      <c r="J2544" s="256"/>
      <c r="K2544" s="56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902" t="str">
        <f>IF(AND('341-CT'!$E$9=H2544,OR(LEFT(L2544,3)=$O$7,LEFT(M2544,3)=$O$7)),"x","")</f>
        <v/>
      </c>
      <c r="P2544" s="39" t="str">
        <f>IF(AND($B2544&gt;='111'!$N$11,$B2544&lt;='111'!$O$11,OR($L2544=$P$7,$M2544=$P$7)),"x","")</f>
        <v/>
      </c>
      <c r="Q2544" s="39" t="str">
        <f>IF(AND($L2544=$P$7,$B2544&lt;'111'!$N$11),"x","")</f>
        <v/>
      </c>
      <c r="R2544" s="39" t="str">
        <f>IF(AND($M2544=$P$7,$B2544&lt;'111'!$N$11),"x","")</f>
        <v/>
      </c>
      <c r="S2544" s="39" t="str">
        <f>IF(ISERROR(FIND('112'!$M$9,G2544,1)),"",IF((AND(FIND('112'!$M$9,G2544,1)&gt;=1,$B2544&gt;='112'!$N$8,$B2544&lt;='112'!$O$8,OR($L2544='112'!$I$6,$M2544='112'!$I$6))),"x",""))</f>
        <v/>
      </c>
      <c r="T2544" s="39" t="str">
        <f>IF(ISERROR(FIND('112'!$M$9,G2544,1)),"",IF((AND(LEFT(G2544,2)=LEFT('112'!$M$9,2),B2544&lt;'112'!$N$8,$L2544='112'!$I$6)),"x",""))</f>
        <v/>
      </c>
      <c r="U2544" s="39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39" t="str">
        <f>IF(OR(TH!L2544=TH!$W$7,M2544=TH!$W$7),"x","")</f>
        <v/>
      </c>
      <c r="X2544" s="39" t="str">
        <f>IF(AND(B2544&gt;='IN-NX'!$P$3,B2544&lt;='IN-NX'!$Q$3,'IN-NX'!$D$7=D2544,OR(LEFT(L2544,2)="15",AND(LEFT(M2544,2)&lt;&gt;"15",LEFT(M2544,2)&lt;&gt;"33"))),"x","")</f>
        <v/>
      </c>
      <c r="Y2544" s="39" t="str">
        <f>IF(AND(OR(LEFT(TH!L2544,2)="15",LEFT(TH!M2544,2)="15"),'152-CT'!$J$8=TH!F2544),"x","")</f>
        <v/>
      </c>
      <c r="Z2544" s="39" t="str">
        <f>IF(AND(OR(LEFT(TH!L2544,2)="15",LEFT(TH!M2544,2)="15"),TK!$E$7=TH!F2544),"x","")</f>
        <v/>
      </c>
      <c r="AA2544" s="39" t="str">
        <f>IF(AND(B2544&lt;=NKC!$N$8,B2544&gt;=NKC!$M$8),"x","")</f>
        <v/>
      </c>
      <c r="AB2544" s="821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111"/>
        <v/>
      </c>
      <c r="C2545" s="191"/>
      <c r="D2545" s="37"/>
      <c r="E2545" s="191"/>
      <c r="F2545" s="192"/>
      <c r="G2545" s="468"/>
      <c r="H2545" s="193"/>
      <c r="I2545" s="256"/>
      <c r="J2545" s="256"/>
      <c r="K2545" s="56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902" t="str">
        <f>IF(AND('341-CT'!$E$9=H2545,OR(LEFT(L2545,3)=$O$7,LEFT(M2545,3)=$O$7)),"x","")</f>
        <v/>
      </c>
      <c r="P2545" s="39" t="str">
        <f>IF(AND($B2545&gt;='111'!$N$11,$B2545&lt;='111'!$O$11,OR($L2545=$P$7,$M2545=$P$7)),"x","")</f>
        <v/>
      </c>
      <c r="Q2545" s="39" t="str">
        <f>IF(AND($L2545=$P$7,$B2545&lt;'111'!$N$11),"x","")</f>
        <v/>
      </c>
      <c r="R2545" s="39" t="str">
        <f>IF(AND($M2545=$P$7,$B2545&lt;'111'!$N$11),"x","")</f>
        <v/>
      </c>
      <c r="S2545" s="39" t="str">
        <f>IF(ISERROR(FIND('112'!$M$9,G2545,1)),"",IF((AND(FIND('112'!$M$9,G2545,1)&gt;=1,$B2545&gt;='112'!$N$8,$B2545&lt;='112'!$O$8,OR($L2545='112'!$I$6,$M2545='112'!$I$6))),"x",""))</f>
        <v/>
      </c>
      <c r="T2545" s="39" t="str">
        <f>IF(ISERROR(FIND('112'!$M$9,G2545,1)),"",IF((AND(LEFT(G2545,2)=LEFT('112'!$M$9,2),B2545&lt;'112'!$N$8,$L2545='112'!$I$6)),"x",""))</f>
        <v/>
      </c>
      <c r="U2545" s="39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39" t="str">
        <f>IF(OR(TH!L2545=TH!$W$7,M2545=TH!$W$7),"x","")</f>
        <v/>
      </c>
      <c r="X2545" s="39" t="str">
        <f>IF(AND(B2545&gt;='IN-NX'!$P$3,B2545&lt;='IN-NX'!$Q$3,'IN-NX'!$D$7=D2545,OR(LEFT(L2545,2)="15",AND(LEFT(M2545,2)&lt;&gt;"15",LEFT(M2545,2)&lt;&gt;"33"))),"x","")</f>
        <v/>
      </c>
      <c r="Y2545" s="39" t="str">
        <f>IF(AND(OR(LEFT(TH!L2545,2)="15",LEFT(TH!M2545,2)="15"),'152-CT'!$J$8=TH!F2545),"x","")</f>
        <v/>
      </c>
      <c r="Z2545" s="39" t="str">
        <f>IF(AND(OR(LEFT(TH!L2545,2)="15",LEFT(TH!M2545,2)="15"),TK!$E$7=TH!F2545),"x","")</f>
        <v/>
      </c>
      <c r="AA2545" s="39" t="str">
        <f>IF(AND(B2545&lt;=NKC!$N$8,B2545&gt;=NKC!$M$8),"x","")</f>
        <v/>
      </c>
      <c r="AB2545" s="821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111"/>
        <v/>
      </c>
      <c r="C2546" s="191"/>
      <c r="D2546" s="37"/>
      <c r="E2546" s="191"/>
      <c r="F2546" s="192"/>
      <c r="G2546" s="468"/>
      <c r="H2546" s="193"/>
      <c r="I2546" s="256"/>
      <c r="J2546" s="256"/>
      <c r="K2546" s="56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902" t="str">
        <f>IF(AND('341-CT'!$E$9=H2546,OR(LEFT(L2546,3)=$O$7,LEFT(M2546,3)=$O$7)),"x","")</f>
        <v/>
      </c>
      <c r="P2546" s="39" t="str">
        <f>IF(AND($B2546&gt;='111'!$N$11,$B2546&lt;='111'!$O$11,OR($L2546=$P$7,$M2546=$P$7)),"x","")</f>
        <v/>
      </c>
      <c r="Q2546" s="39" t="str">
        <f>IF(AND($L2546=$P$7,$B2546&lt;'111'!$N$11),"x","")</f>
        <v/>
      </c>
      <c r="R2546" s="39" t="str">
        <f>IF(AND($M2546=$P$7,$B2546&lt;'111'!$N$11),"x","")</f>
        <v/>
      </c>
      <c r="S2546" s="39" t="str">
        <f>IF(ISERROR(FIND('112'!$M$9,G2546,1)),"",IF((AND(FIND('112'!$M$9,G2546,1)&gt;=1,$B2546&gt;='112'!$N$8,$B2546&lt;='112'!$O$8,OR($L2546='112'!$I$6,$M2546='112'!$I$6))),"x",""))</f>
        <v/>
      </c>
      <c r="T2546" s="39" t="str">
        <f>IF(ISERROR(FIND('112'!$M$9,G2546,1)),"",IF((AND(LEFT(G2546,2)=LEFT('112'!$M$9,2),B2546&lt;'112'!$N$8,$L2546='112'!$I$6)),"x",""))</f>
        <v/>
      </c>
      <c r="U2546" s="39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39" t="str">
        <f>IF(OR(TH!L2546=TH!$W$7,M2546=TH!$W$7),"x","")</f>
        <v/>
      </c>
      <c r="X2546" s="39" t="str">
        <f>IF(AND(B2546&gt;='IN-NX'!$P$3,B2546&lt;='IN-NX'!$Q$3,'IN-NX'!$D$7=D2546,OR(LEFT(L2546,2)="15",AND(LEFT(M2546,2)&lt;&gt;"15",LEFT(M2546,2)&lt;&gt;"33"))),"x","")</f>
        <v/>
      </c>
      <c r="Y2546" s="39" t="str">
        <f>IF(AND(OR(LEFT(TH!L2546,2)="15",LEFT(TH!M2546,2)="15"),'152-CT'!$J$8=TH!F2546),"x","")</f>
        <v/>
      </c>
      <c r="Z2546" s="39" t="str">
        <f>IF(AND(OR(LEFT(TH!L2546,2)="15",LEFT(TH!M2546,2)="15"),TK!$E$7=TH!F2546),"x","")</f>
        <v/>
      </c>
      <c r="AA2546" s="39" t="str">
        <f>IF(AND(B2546&lt;=NKC!$N$8,B2546&gt;=NKC!$M$8),"x","")</f>
        <v/>
      </c>
      <c r="AB2546" s="821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111"/>
        <v/>
      </c>
      <c r="C2547" s="191"/>
      <c r="D2547" s="37"/>
      <c r="E2547" s="191"/>
      <c r="F2547" s="192"/>
      <c r="G2547" s="468"/>
      <c r="H2547" s="193"/>
      <c r="I2547" s="256"/>
      <c r="J2547" s="256"/>
      <c r="K2547" s="56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902" t="str">
        <f>IF(AND('341-CT'!$E$9=H2547,OR(LEFT(L2547,3)=$O$7,LEFT(M2547,3)=$O$7)),"x","")</f>
        <v/>
      </c>
      <c r="P2547" s="39" t="str">
        <f>IF(AND($B2547&gt;='111'!$N$11,$B2547&lt;='111'!$O$11,OR($L2547=$P$7,$M2547=$P$7)),"x","")</f>
        <v/>
      </c>
      <c r="Q2547" s="39" t="str">
        <f>IF(AND($L2547=$P$7,$B2547&lt;'111'!$N$11),"x","")</f>
        <v/>
      </c>
      <c r="R2547" s="39" t="str">
        <f>IF(AND($M2547=$P$7,$B2547&lt;'111'!$N$11),"x","")</f>
        <v/>
      </c>
      <c r="S2547" s="39" t="str">
        <f>IF(ISERROR(FIND('112'!$M$9,G2547,1)),"",IF((AND(FIND('112'!$M$9,G2547,1)&gt;=1,$B2547&gt;='112'!$N$8,$B2547&lt;='112'!$O$8,OR($L2547='112'!$I$6,$M2547='112'!$I$6))),"x",""))</f>
        <v/>
      </c>
      <c r="T2547" s="39" t="str">
        <f>IF(ISERROR(FIND('112'!$M$9,G2547,1)),"",IF((AND(LEFT(G2547,2)=LEFT('112'!$M$9,2),B2547&lt;'112'!$N$8,$L2547='112'!$I$6)),"x",""))</f>
        <v/>
      </c>
      <c r="U2547" s="39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39" t="str">
        <f>IF(OR(TH!L2547=TH!$W$7,M2547=TH!$W$7),"x","")</f>
        <v/>
      </c>
      <c r="X2547" s="39" t="str">
        <f>IF(AND(B2547&gt;='IN-NX'!$P$3,B2547&lt;='IN-NX'!$Q$3,'IN-NX'!$D$7=D2547,OR(LEFT(L2547,2)="15",AND(LEFT(M2547,2)&lt;&gt;"15",LEFT(M2547,2)&lt;&gt;"33"))),"x","")</f>
        <v/>
      </c>
      <c r="Y2547" s="39" t="str">
        <f>IF(AND(OR(LEFT(TH!L2547,2)="15",LEFT(TH!M2547,2)="15"),'152-CT'!$J$8=TH!F2547),"x","")</f>
        <v/>
      </c>
      <c r="Z2547" s="39" t="str">
        <f>IF(AND(OR(LEFT(TH!L2547,2)="15",LEFT(TH!M2547,2)="15"),TK!$E$7=TH!F2547),"x","")</f>
        <v/>
      </c>
      <c r="AA2547" s="39" t="str">
        <f>IF(AND(B2547&lt;=NKC!$N$8,B2547&gt;=NKC!$M$8),"x","")</f>
        <v/>
      </c>
      <c r="AB2547" s="821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111"/>
        <v/>
      </c>
      <c r="C2548" s="191"/>
      <c r="D2548" s="37"/>
      <c r="E2548" s="191"/>
      <c r="F2548" s="192"/>
      <c r="G2548" s="468"/>
      <c r="H2548" s="193"/>
      <c r="I2548" s="256"/>
      <c r="J2548" s="256"/>
      <c r="K2548" s="56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902" t="str">
        <f>IF(AND('341-CT'!$E$9=H2548,OR(LEFT(L2548,3)=$O$7,LEFT(M2548,3)=$O$7)),"x","")</f>
        <v/>
      </c>
      <c r="P2548" s="39" t="str">
        <f>IF(AND($B2548&gt;='111'!$N$11,$B2548&lt;='111'!$O$11,OR($L2548=$P$7,$M2548=$P$7)),"x","")</f>
        <v/>
      </c>
      <c r="Q2548" s="39" t="str">
        <f>IF(AND($L2548=$P$7,$B2548&lt;'111'!$N$11),"x","")</f>
        <v/>
      </c>
      <c r="R2548" s="39" t="str">
        <f>IF(AND($M2548=$P$7,$B2548&lt;'111'!$N$11),"x","")</f>
        <v/>
      </c>
      <c r="S2548" s="39" t="str">
        <f>IF(ISERROR(FIND('112'!$M$9,G2548,1)),"",IF((AND(FIND('112'!$M$9,G2548,1)&gt;=1,$B2548&gt;='112'!$N$8,$B2548&lt;='112'!$O$8,OR($L2548='112'!$I$6,$M2548='112'!$I$6))),"x",""))</f>
        <v/>
      </c>
      <c r="T2548" s="39" t="str">
        <f>IF(ISERROR(FIND('112'!$M$9,G2548,1)),"",IF((AND(LEFT(G2548,2)=LEFT('112'!$M$9,2),B2548&lt;'112'!$N$8,$L2548='112'!$I$6)),"x",""))</f>
        <v/>
      </c>
      <c r="U2548" s="39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39" t="str">
        <f>IF(OR(TH!L2548=TH!$W$7,M2548=TH!$W$7),"x","")</f>
        <v/>
      </c>
      <c r="X2548" s="39" t="str">
        <f>IF(AND(B2548&gt;='IN-NX'!$P$3,B2548&lt;='IN-NX'!$Q$3,'IN-NX'!$D$7=D2548,OR(LEFT(L2548,2)="15",AND(LEFT(M2548,2)&lt;&gt;"15",LEFT(M2548,2)&lt;&gt;"33"))),"x","")</f>
        <v/>
      </c>
      <c r="Y2548" s="39" t="str">
        <f>IF(AND(OR(LEFT(TH!L2548,2)="15",LEFT(TH!M2548,2)="15"),'152-CT'!$J$8=TH!F2548),"x","")</f>
        <v/>
      </c>
      <c r="Z2548" s="39" t="str">
        <f>IF(AND(OR(LEFT(TH!L2548,2)="15",LEFT(TH!M2548,2)="15"),TK!$E$7=TH!F2548),"x","")</f>
        <v/>
      </c>
      <c r="AA2548" s="39" t="str">
        <f>IF(AND(B2548&lt;=NKC!$N$8,B2548&gt;=NKC!$M$8),"x","")</f>
        <v/>
      </c>
      <c r="AB2548" s="821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111"/>
        <v/>
      </c>
      <c r="C2549" s="191"/>
      <c r="D2549" s="37"/>
      <c r="E2549" s="191"/>
      <c r="F2549" s="192"/>
      <c r="G2549" s="468"/>
      <c r="H2549" s="193"/>
      <c r="I2549" s="256"/>
      <c r="J2549" s="256"/>
      <c r="K2549" s="56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902" t="str">
        <f>IF(AND('341-CT'!$E$9=H2549,OR(LEFT(L2549,3)=$O$7,LEFT(M2549,3)=$O$7)),"x","")</f>
        <v/>
      </c>
      <c r="P2549" s="39" t="str">
        <f>IF(AND($B2549&gt;='111'!$N$11,$B2549&lt;='111'!$O$11,OR($L2549=$P$7,$M2549=$P$7)),"x","")</f>
        <v/>
      </c>
      <c r="Q2549" s="39" t="str">
        <f>IF(AND($L2549=$P$7,$B2549&lt;'111'!$N$11),"x","")</f>
        <v/>
      </c>
      <c r="R2549" s="39" t="str">
        <f>IF(AND($M2549=$P$7,$B2549&lt;'111'!$N$11),"x","")</f>
        <v/>
      </c>
      <c r="S2549" s="39" t="str">
        <f>IF(ISERROR(FIND('112'!$M$9,G2549,1)),"",IF((AND(FIND('112'!$M$9,G2549,1)&gt;=1,$B2549&gt;='112'!$N$8,$B2549&lt;='112'!$O$8,OR($L2549='112'!$I$6,$M2549='112'!$I$6))),"x",""))</f>
        <v/>
      </c>
      <c r="T2549" s="39" t="str">
        <f>IF(ISERROR(FIND('112'!$M$9,G2549,1)),"",IF((AND(LEFT(G2549,2)=LEFT('112'!$M$9,2),B2549&lt;'112'!$N$8,$L2549='112'!$I$6)),"x",""))</f>
        <v/>
      </c>
      <c r="U2549" s="39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39" t="str">
        <f>IF(OR(TH!L2549=TH!$W$7,M2549=TH!$W$7),"x","")</f>
        <v/>
      </c>
      <c r="X2549" s="39" t="str">
        <f>IF(AND(B2549&gt;='IN-NX'!$P$3,B2549&lt;='IN-NX'!$Q$3,'IN-NX'!$D$7=D2549,OR(LEFT(L2549,2)="15",AND(LEFT(M2549,2)&lt;&gt;"15",LEFT(M2549,2)&lt;&gt;"33"))),"x","")</f>
        <v/>
      </c>
      <c r="Y2549" s="39" t="str">
        <f>IF(AND(OR(LEFT(TH!L2549,2)="15",LEFT(TH!M2549,2)="15"),'152-CT'!$J$8=TH!F2549),"x","")</f>
        <v/>
      </c>
      <c r="Z2549" s="39" t="str">
        <f>IF(AND(OR(LEFT(TH!L2549,2)="15",LEFT(TH!M2549,2)="15"),TK!$E$7=TH!F2549),"x","")</f>
        <v/>
      </c>
      <c r="AA2549" s="39" t="str">
        <f>IF(AND(B2549&lt;=NKC!$N$8,B2549&gt;=NKC!$M$8),"x","")</f>
        <v/>
      </c>
      <c r="AB2549" s="821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111"/>
        <v/>
      </c>
      <c r="C2550" s="191"/>
      <c r="D2550" s="37"/>
      <c r="E2550" s="191"/>
      <c r="F2550" s="192"/>
      <c r="G2550" s="468"/>
      <c r="H2550" s="193"/>
      <c r="I2550" s="256"/>
      <c r="J2550" s="256"/>
      <c r="K2550" s="56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902" t="str">
        <f>IF(AND('341-CT'!$E$9=H2550,OR(LEFT(L2550,3)=$O$7,LEFT(M2550,3)=$O$7)),"x","")</f>
        <v/>
      </c>
      <c r="P2550" s="39" t="str">
        <f>IF(AND($B2550&gt;='111'!$N$11,$B2550&lt;='111'!$O$11,OR($L2550=$P$7,$M2550=$P$7)),"x","")</f>
        <v/>
      </c>
      <c r="Q2550" s="39" t="str">
        <f>IF(AND($L2550=$P$7,$B2550&lt;'111'!$N$11),"x","")</f>
        <v/>
      </c>
      <c r="R2550" s="39" t="str">
        <f>IF(AND($M2550=$P$7,$B2550&lt;'111'!$N$11),"x","")</f>
        <v/>
      </c>
      <c r="S2550" s="39" t="str">
        <f>IF(ISERROR(FIND('112'!$M$9,G2550,1)),"",IF((AND(FIND('112'!$M$9,G2550,1)&gt;=1,$B2550&gt;='112'!$N$8,$B2550&lt;='112'!$O$8,OR($L2550='112'!$I$6,$M2550='112'!$I$6))),"x",""))</f>
        <v/>
      </c>
      <c r="T2550" s="39" t="str">
        <f>IF(ISERROR(FIND('112'!$M$9,G2550,1)),"",IF((AND(LEFT(G2550,2)=LEFT('112'!$M$9,2),B2550&lt;'112'!$N$8,$L2550='112'!$I$6)),"x",""))</f>
        <v/>
      </c>
      <c r="U2550" s="39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39" t="str">
        <f>IF(OR(TH!L2550=TH!$W$7,M2550=TH!$W$7),"x","")</f>
        <v/>
      </c>
      <c r="X2550" s="39" t="str">
        <f>IF(AND(B2550&gt;='IN-NX'!$P$3,B2550&lt;='IN-NX'!$Q$3,'IN-NX'!$D$7=D2550,OR(LEFT(L2550,2)="15",AND(LEFT(M2550,2)&lt;&gt;"15",LEFT(M2550,2)&lt;&gt;"33"))),"x","")</f>
        <v/>
      </c>
      <c r="Y2550" s="39" t="str">
        <f>IF(AND(OR(LEFT(TH!L2550,2)="15",LEFT(TH!M2550,2)="15"),'152-CT'!$J$8=TH!F2550),"x","")</f>
        <v/>
      </c>
      <c r="Z2550" s="39" t="str">
        <f>IF(AND(OR(LEFT(TH!L2550,2)="15",LEFT(TH!M2550,2)="15"),TK!$E$7=TH!F2550),"x","")</f>
        <v/>
      </c>
      <c r="AA2550" s="39" t="str">
        <f>IF(AND(B2550&lt;=NKC!$N$8,B2550&gt;=NKC!$M$8),"x","")</f>
        <v/>
      </c>
      <c r="AB2550" s="821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111"/>
        <v/>
      </c>
      <c r="C2551" s="191"/>
      <c r="D2551" s="37"/>
      <c r="E2551" s="191"/>
      <c r="F2551" s="192"/>
      <c r="G2551" s="468"/>
      <c r="H2551" s="193"/>
      <c r="I2551" s="256"/>
      <c r="J2551" s="256"/>
      <c r="K2551" s="56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902" t="str">
        <f>IF(AND('341-CT'!$E$9=H2551,OR(LEFT(L2551,3)=$O$7,LEFT(M2551,3)=$O$7)),"x","")</f>
        <v/>
      </c>
      <c r="P2551" s="39" t="str">
        <f>IF(AND($B2551&gt;='111'!$N$11,$B2551&lt;='111'!$O$11,OR($L2551=$P$7,$M2551=$P$7)),"x","")</f>
        <v/>
      </c>
      <c r="Q2551" s="39" t="str">
        <f>IF(AND($L2551=$P$7,$B2551&lt;'111'!$N$11),"x","")</f>
        <v/>
      </c>
      <c r="R2551" s="39" t="str">
        <f>IF(AND($M2551=$P$7,$B2551&lt;'111'!$N$11),"x","")</f>
        <v/>
      </c>
      <c r="S2551" s="39" t="str">
        <f>IF(ISERROR(FIND('112'!$M$9,G2551,1)),"",IF((AND(FIND('112'!$M$9,G2551,1)&gt;=1,$B2551&gt;='112'!$N$8,$B2551&lt;='112'!$O$8,OR($L2551='112'!$I$6,$M2551='112'!$I$6))),"x",""))</f>
        <v/>
      </c>
      <c r="T2551" s="39" t="str">
        <f>IF(ISERROR(FIND('112'!$M$9,G2551,1)),"",IF((AND(LEFT(G2551,2)=LEFT('112'!$M$9,2),B2551&lt;'112'!$N$8,$L2551='112'!$I$6)),"x",""))</f>
        <v/>
      </c>
      <c r="U2551" s="39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39" t="str">
        <f>IF(OR(TH!L2551=TH!$W$7,M2551=TH!$W$7),"x","")</f>
        <v/>
      </c>
      <c r="X2551" s="39" t="str">
        <f>IF(AND(B2551&gt;='IN-NX'!$P$3,B2551&lt;='IN-NX'!$Q$3,'IN-NX'!$D$7=D2551,OR(LEFT(L2551,2)="15",AND(LEFT(M2551,2)&lt;&gt;"15",LEFT(M2551,2)&lt;&gt;"33"))),"x","")</f>
        <v/>
      </c>
      <c r="Y2551" s="39" t="str">
        <f>IF(AND(OR(LEFT(TH!L2551,2)="15",LEFT(TH!M2551,2)="15"),'152-CT'!$J$8=TH!F2551),"x","")</f>
        <v/>
      </c>
      <c r="Z2551" s="39" t="str">
        <f>IF(AND(OR(LEFT(TH!L2551,2)="15",LEFT(TH!M2551,2)="15"),TK!$E$7=TH!F2551),"x","")</f>
        <v/>
      </c>
      <c r="AA2551" s="39" t="str">
        <f>IF(AND(B2551&lt;=NKC!$N$8,B2551&gt;=NKC!$M$8),"x","")</f>
        <v/>
      </c>
      <c r="AB2551" s="821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111"/>
        <v/>
      </c>
      <c r="C2552" s="191"/>
      <c r="D2552" s="37"/>
      <c r="E2552" s="191"/>
      <c r="F2552" s="192"/>
      <c r="G2552" s="468"/>
      <c r="H2552" s="193"/>
      <c r="I2552" s="256"/>
      <c r="J2552" s="256"/>
      <c r="K2552" s="56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902" t="str">
        <f>IF(AND('341-CT'!$E$9=H2552,OR(LEFT(L2552,3)=$O$7,LEFT(M2552,3)=$O$7)),"x","")</f>
        <v/>
      </c>
      <c r="P2552" s="39" t="str">
        <f>IF(AND($B2552&gt;='111'!$N$11,$B2552&lt;='111'!$O$11,OR($L2552=$P$7,$M2552=$P$7)),"x","")</f>
        <v/>
      </c>
      <c r="Q2552" s="39" t="str">
        <f>IF(AND($L2552=$P$7,$B2552&lt;'111'!$N$11),"x","")</f>
        <v/>
      </c>
      <c r="R2552" s="39" t="str">
        <f>IF(AND($M2552=$P$7,$B2552&lt;'111'!$N$11),"x","")</f>
        <v/>
      </c>
      <c r="S2552" s="39" t="str">
        <f>IF(ISERROR(FIND('112'!$M$9,G2552,1)),"",IF((AND(FIND('112'!$M$9,G2552,1)&gt;=1,$B2552&gt;='112'!$N$8,$B2552&lt;='112'!$O$8,OR($L2552='112'!$I$6,$M2552='112'!$I$6))),"x",""))</f>
        <v/>
      </c>
      <c r="T2552" s="39" t="str">
        <f>IF(ISERROR(FIND('112'!$M$9,G2552,1)),"",IF((AND(LEFT(G2552,2)=LEFT('112'!$M$9,2),B2552&lt;'112'!$N$8,$L2552='112'!$I$6)),"x",""))</f>
        <v/>
      </c>
      <c r="U2552" s="39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39" t="str">
        <f>IF(OR(TH!L2552=TH!$W$7,M2552=TH!$W$7),"x","")</f>
        <v/>
      </c>
      <c r="X2552" s="39" t="str">
        <f>IF(AND(B2552&gt;='IN-NX'!$P$3,B2552&lt;='IN-NX'!$Q$3,'IN-NX'!$D$7=D2552,OR(LEFT(L2552,2)="15",AND(LEFT(M2552,2)&lt;&gt;"15",LEFT(M2552,2)&lt;&gt;"33"))),"x","")</f>
        <v/>
      </c>
      <c r="Y2552" s="39" t="str">
        <f>IF(AND(OR(LEFT(TH!L2552,2)="15",LEFT(TH!M2552,2)="15"),'152-CT'!$J$8=TH!F2552),"x","")</f>
        <v/>
      </c>
      <c r="Z2552" s="39" t="str">
        <f>IF(AND(OR(LEFT(TH!L2552,2)="15",LEFT(TH!M2552,2)="15"),TK!$E$7=TH!F2552),"x","")</f>
        <v/>
      </c>
      <c r="AA2552" s="39" t="str">
        <f>IF(AND(B2552&lt;=NKC!$N$8,B2552&gt;=NKC!$M$8),"x","")</f>
        <v/>
      </c>
      <c r="AB2552" s="821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ref="B2553:B2616" si="112">IF(C2553&lt;&gt;"",MONTH(C2553),"")</f>
        <v/>
      </c>
      <c r="C2553" s="191"/>
      <c r="D2553" s="37"/>
      <c r="E2553" s="191"/>
      <c r="F2553" s="192"/>
      <c r="G2553" s="468"/>
      <c r="H2553" s="193"/>
      <c r="I2553" s="256"/>
      <c r="J2553" s="256"/>
      <c r="K2553" s="56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902" t="str">
        <f>IF(AND('341-CT'!$E$9=H2553,OR(LEFT(L2553,3)=$O$7,LEFT(M2553,3)=$O$7)),"x","")</f>
        <v/>
      </c>
      <c r="P2553" s="39" t="str">
        <f>IF(AND($B2553&gt;='111'!$N$11,$B2553&lt;='111'!$O$11,OR($L2553=$P$7,$M2553=$P$7)),"x","")</f>
        <v/>
      </c>
      <c r="Q2553" s="39" t="str">
        <f>IF(AND($L2553=$P$7,$B2553&lt;'111'!$N$11),"x","")</f>
        <v/>
      </c>
      <c r="R2553" s="39" t="str">
        <f>IF(AND($M2553=$P$7,$B2553&lt;'111'!$N$11),"x","")</f>
        <v/>
      </c>
      <c r="S2553" s="39" t="str">
        <f>IF(ISERROR(FIND('112'!$M$9,G2553,1)),"",IF((AND(FIND('112'!$M$9,G2553,1)&gt;=1,$B2553&gt;='112'!$N$8,$B2553&lt;='112'!$O$8,OR($L2553='112'!$I$6,$M2553='112'!$I$6))),"x",""))</f>
        <v/>
      </c>
      <c r="T2553" s="39" t="str">
        <f>IF(ISERROR(FIND('112'!$M$9,G2553,1)),"",IF((AND(LEFT(G2553,2)=LEFT('112'!$M$9,2),B2553&lt;'112'!$N$8,$L2553='112'!$I$6)),"x",""))</f>
        <v/>
      </c>
      <c r="U2553" s="39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39" t="str">
        <f>IF(OR(TH!L2553=TH!$W$7,M2553=TH!$W$7),"x","")</f>
        <v/>
      </c>
      <c r="X2553" s="39" t="str">
        <f>IF(AND(B2553&gt;='IN-NX'!$P$3,B2553&lt;='IN-NX'!$Q$3,'IN-NX'!$D$7=D2553,OR(LEFT(L2553,2)="15",AND(LEFT(M2553,2)&lt;&gt;"15",LEFT(M2553,2)&lt;&gt;"33"))),"x","")</f>
        <v/>
      </c>
      <c r="Y2553" s="39" t="str">
        <f>IF(AND(OR(LEFT(TH!L2553,2)="15",LEFT(TH!M2553,2)="15"),'152-CT'!$J$8=TH!F2553),"x","")</f>
        <v/>
      </c>
      <c r="Z2553" s="39" t="str">
        <f>IF(AND(OR(LEFT(TH!L2553,2)="15",LEFT(TH!M2553,2)="15"),TK!$E$7=TH!F2553),"x","")</f>
        <v/>
      </c>
      <c r="AA2553" s="39" t="str">
        <f>IF(AND(B2553&lt;=NKC!$N$8,B2553&gt;=NKC!$M$8),"x","")</f>
        <v/>
      </c>
      <c r="AB2553" s="821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112"/>
        <v/>
      </c>
      <c r="C2554" s="191"/>
      <c r="D2554" s="37"/>
      <c r="E2554" s="191"/>
      <c r="F2554" s="192"/>
      <c r="G2554" s="468"/>
      <c r="H2554" s="193"/>
      <c r="I2554" s="256"/>
      <c r="J2554" s="256"/>
      <c r="K2554" s="56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902" t="str">
        <f>IF(AND('341-CT'!$E$9=H2554,OR(LEFT(L2554,3)=$O$7,LEFT(M2554,3)=$O$7)),"x","")</f>
        <v/>
      </c>
      <c r="P2554" s="39" t="str">
        <f>IF(AND($B2554&gt;='111'!$N$11,$B2554&lt;='111'!$O$11,OR($L2554=$P$7,$M2554=$P$7)),"x","")</f>
        <v/>
      </c>
      <c r="Q2554" s="39" t="str">
        <f>IF(AND($L2554=$P$7,$B2554&lt;'111'!$N$11),"x","")</f>
        <v/>
      </c>
      <c r="R2554" s="39" t="str">
        <f>IF(AND($M2554=$P$7,$B2554&lt;'111'!$N$11),"x","")</f>
        <v/>
      </c>
      <c r="S2554" s="39" t="str">
        <f>IF(ISERROR(FIND('112'!$M$9,G2554,1)),"",IF((AND(FIND('112'!$M$9,G2554,1)&gt;=1,$B2554&gt;='112'!$N$8,$B2554&lt;='112'!$O$8,OR($L2554='112'!$I$6,$M2554='112'!$I$6))),"x",""))</f>
        <v/>
      </c>
      <c r="T2554" s="39" t="str">
        <f>IF(ISERROR(FIND('112'!$M$9,G2554,1)),"",IF((AND(LEFT(G2554,2)=LEFT('112'!$M$9,2),B2554&lt;'112'!$N$8,$L2554='112'!$I$6)),"x",""))</f>
        <v/>
      </c>
      <c r="U2554" s="39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39" t="str">
        <f>IF(OR(TH!L2554=TH!$W$7,M2554=TH!$W$7),"x","")</f>
        <v/>
      </c>
      <c r="X2554" s="39" t="str">
        <f>IF(AND(B2554&gt;='IN-NX'!$P$3,B2554&lt;='IN-NX'!$Q$3,'IN-NX'!$D$7=D2554,OR(LEFT(L2554,2)="15",AND(LEFT(M2554,2)&lt;&gt;"15",LEFT(M2554,2)&lt;&gt;"33"))),"x","")</f>
        <v/>
      </c>
      <c r="Y2554" s="39" t="str">
        <f>IF(AND(OR(LEFT(TH!L2554,2)="15",LEFT(TH!M2554,2)="15"),'152-CT'!$J$8=TH!F2554),"x","")</f>
        <v/>
      </c>
      <c r="Z2554" s="39" t="str">
        <f>IF(AND(OR(LEFT(TH!L2554,2)="15",LEFT(TH!M2554,2)="15"),TK!$E$7=TH!F2554),"x","")</f>
        <v/>
      </c>
      <c r="AA2554" s="39" t="str">
        <f>IF(AND(B2554&lt;=NKC!$N$8,B2554&gt;=NKC!$M$8),"x","")</f>
        <v/>
      </c>
      <c r="AB2554" s="821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112"/>
        <v/>
      </c>
      <c r="C2555" s="191"/>
      <c r="D2555" s="37"/>
      <c r="E2555" s="191"/>
      <c r="F2555" s="192"/>
      <c r="G2555" s="468"/>
      <c r="H2555" s="193"/>
      <c r="I2555" s="256"/>
      <c r="J2555" s="256"/>
      <c r="K2555" s="56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902" t="str">
        <f>IF(AND('341-CT'!$E$9=H2555,OR(LEFT(L2555,3)=$O$7,LEFT(M2555,3)=$O$7)),"x","")</f>
        <v/>
      </c>
      <c r="P2555" s="39" t="str">
        <f>IF(AND($B2555&gt;='111'!$N$11,$B2555&lt;='111'!$O$11,OR($L2555=$P$7,$M2555=$P$7)),"x","")</f>
        <v/>
      </c>
      <c r="Q2555" s="39" t="str">
        <f>IF(AND($L2555=$P$7,$B2555&lt;'111'!$N$11),"x","")</f>
        <v/>
      </c>
      <c r="R2555" s="39" t="str">
        <f>IF(AND($M2555=$P$7,$B2555&lt;'111'!$N$11),"x","")</f>
        <v/>
      </c>
      <c r="S2555" s="39" t="str">
        <f>IF(ISERROR(FIND('112'!$M$9,G2555,1)),"",IF((AND(FIND('112'!$M$9,G2555,1)&gt;=1,$B2555&gt;='112'!$N$8,$B2555&lt;='112'!$O$8,OR($L2555='112'!$I$6,$M2555='112'!$I$6))),"x",""))</f>
        <v/>
      </c>
      <c r="T2555" s="39" t="str">
        <f>IF(ISERROR(FIND('112'!$M$9,G2555,1)),"",IF((AND(LEFT(G2555,2)=LEFT('112'!$M$9,2),B2555&lt;'112'!$N$8,$L2555='112'!$I$6)),"x",""))</f>
        <v/>
      </c>
      <c r="U2555" s="39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39" t="str">
        <f>IF(OR(TH!L2555=TH!$W$7,M2555=TH!$W$7),"x","")</f>
        <v/>
      </c>
      <c r="X2555" s="39" t="str">
        <f>IF(AND(B2555&gt;='IN-NX'!$P$3,B2555&lt;='IN-NX'!$Q$3,'IN-NX'!$D$7=D2555,OR(LEFT(L2555,2)="15",AND(LEFT(M2555,2)&lt;&gt;"15",LEFT(M2555,2)&lt;&gt;"33"))),"x","")</f>
        <v/>
      </c>
      <c r="Y2555" s="39" t="str">
        <f>IF(AND(OR(LEFT(TH!L2555,2)="15",LEFT(TH!M2555,2)="15"),'152-CT'!$J$8=TH!F2555),"x","")</f>
        <v/>
      </c>
      <c r="Z2555" s="39" t="str">
        <f>IF(AND(OR(LEFT(TH!L2555,2)="15",LEFT(TH!M2555,2)="15"),TK!$E$7=TH!F2555),"x","")</f>
        <v/>
      </c>
      <c r="AA2555" s="39" t="str">
        <f>IF(AND(B2555&lt;=NKC!$N$8,B2555&gt;=NKC!$M$8),"x","")</f>
        <v/>
      </c>
      <c r="AB2555" s="821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112"/>
        <v/>
      </c>
      <c r="C2556" s="191"/>
      <c r="D2556" s="37"/>
      <c r="E2556" s="191"/>
      <c r="F2556" s="192"/>
      <c r="G2556" s="468"/>
      <c r="H2556" s="193"/>
      <c r="I2556" s="256"/>
      <c r="J2556" s="256"/>
      <c r="K2556" s="56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902" t="str">
        <f>IF(AND('341-CT'!$E$9=H2556,OR(LEFT(L2556,3)=$O$7,LEFT(M2556,3)=$O$7)),"x","")</f>
        <v/>
      </c>
      <c r="P2556" s="39" t="str">
        <f>IF(AND($B2556&gt;='111'!$N$11,$B2556&lt;='111'!$O$11,OR($L2556=$P$7,$M2556=$P$7)),"x","")</f>
        <v/>
      </c>
      <c r="Q2556" s="39" t="str">
        <f>IF(AND($L2556=$P$7,$B2556&lt;'111'!$N$11),"x","")</f>
        <v/>
      </c>
      <c r="R2556" s="39" t="str">
        <f>IF(AND($M2556=$P$7,$B2556&lt;'111'!$N$11),"x","")</f>
        <v/>
      </c>
      <c r="S2556" s="39" t="str">
        <f>IF(ISERROR(FIND('112'!$M$9,G2556,1)),"",IF((AND(FIND('112'!$M$9,G2556,1)&gt;=1,$B2556&gt;='112'!$N$8,$B2556&lt;='112'!$O$8,OR($L2556='112'!$I$6,$M2556='112'!$I$6))),"x",""))</f>
        <v/>
      </c>
      <c r="T2556" s="39" t="str">
        <f>IF(ISERROR(FIND('112'!$M$9,G2556,1)),"",IF((AND(LEFT(G2556,2)=LEFT('112'!$M$9,2),B2556&lt;'112'!$N$8,$L2556='112'!$I$6)),"x",""))</f>
        <v/>
      </c>
      <c r="U2556" s="39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39" t="str">
        <f>IF(OR(TH!L2556=TH!$W$7,M2556=TH!$W$7),"x","")</f>
        <v/>
      </c>
      <c r="X2556" s="39" t="str">
        <f>IF(AND(B2556&gt;='IN-NX'!$P$3,B2556&lt;='IN-NX'!$Q$3,'IN-NX'!$D$7=D2556,OR(LEFT(L2556,2)="15",AND(LEFT(M2556,2)&lt;&gt;"15",LEFT(M2556,2)&lt;&gt;"33"))),"x","")</f>
        <v/>
      </c>
      <c r="Y2556" s="39" t="str">
        <f>IF(AND(OR(LEFT(TH!L2556,2)="15",LEFT(TH!M2556,2)="15"),'152-CT'!$J$8=TH!F2556),"x","")</f>
        <v/>
      </c>
      <c r="Z2556" s="39" t="str">
        <f>IF(AND(OR(LEFT(TH!L2556,2)="15",LEFT(TH!M2556,2)="15"),TK!$E$7=TH!F2556),"x","")</f>
        <v/>
      </c>
      <c r="AA2556" s="39" t="str">
        <f>IF(AND(B2556&lt;=NKC!$N$8,B2556&gt;=NKC!$M$8),"x","")</f>
        <v/>
      </c>
      <c r="AB2556" s="821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112"/>
        <v/>
      </c>
      <c r="C2557" s="191"/>
      <c r="D2557" s="37"/>
      <c r="E2557" s="191"/>
      <c r="F2557" s="192"/>
      <c r="G2557" s="468"/>
      <c r="H2557" s="193"/>
      <c r="I2557" s="256"/>
      <c r="J2557" s="256"/>
      <c r="K2557" s="56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902" t="str">
        <f>IF(AND('341-CT'!$E$9=H2557,OR(LEFT(L2557,3)=$O$7,LEFT(M2557,3)=$O$7)),"x","")</f>
        <v/>
      </c>
      <c r="P2557" s="39" t="str">
        <f>IF(AND($B2557&gt;='111'!$N$11,$B2557&lt;='111'!$O$11,OR($L2557=$P$7,$M2557=$P$7)),"x","")</f>
        <v/>
      </c>
      <c r="Q2557" s="39" t="str">
        <f>IF(AND($L2557=$P$7,$B2557&lt;'111'!$N$11),"x","")</f>
        <v/>
      </c>
      <c r="R2557" s="39" t="str">
        <f>IF(AND($M2557=$P$7,$B2557&lt;'111'!$N$11),"x","")</f>
        <v/>
      </c>
      <c r="S2557" s="39" t="str">
        <f>IF(ISERROR(FIND('112'!$M$9,G2557,1)),"",IF((AND(FIND('112'!$M$9,G2557,1)&gt;=1,$B2557&gt;='112'!$N$8,$B2557&lt;='112'!$O$8,OR($L2557='112'!$I$6,$M2557='112'!$I$6))),"x",""))</f>
        <v/>
      </c>
      <c r="T2557" s="39" t="str">
        <f>IF(ISERROR(FIND('112'!$M$9,G2557,1)),"",IF((AND(LEFT(G2557,2)=LEFT('112'!$M$9,2),B2557&lt;'112'!$N$8,$L2557='112'!$I$6)),"x",""))</f>
        <v/>
      </c>
      <c r="U2557" s="39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39" t="str">
        <f>IF(OR(TH!L2557=TH!$W$7,M2557=TH!$W$7),"x","")</f>
        <v/>
      </c>
      <c r="X2557" s="39" t="str">
        <f>IF(AND(B2557&gt;='IN-NX'!$P$3,B2557&lt;='IN-NX'!$Q$3,'IN-NX'!$D$7=D2557,OR(LEFT(L2557,2)="15",AND(LEFT(M2557,2)&lt;&gt;"15",LEFT(M2557,2)&lt;&gt;"33"))),"x","")</f>
        <v/>
      </c>
      <c r="Y2557" s="39" t="str">
        <f>IF(AND(OR(LEFT(TH!L2557,2)="15",LEFT(TH!M2557,2)="15"),'152-CT'!$J$8=TH!F2557),"x","")</f>
        <v/>
      </c>
      <c r="Z2557" s="39" t="str">
        <f>IF(AND(OR(LEFT(TH!L2557,2)="15",LEFT(TH!M2557,2)="15"),TK!$E$7=TH!F2557),"x","")</f>
        <v/>
      </c>
      <c r="AA2557" s="39" t="str">
        <f>IF(AND(B2557&lt;=NKC!$N$8,B2557&gt;=NKC!$M$8),"x","")</f>
        <v/>
      </c>
      <c r="AB2557" s="821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112"/>
        <v/>
      </c>
      <c r="C2558" s="191"/>
      <c r="D2558" s="37"/>
      <c r="E2558" s="191"/>
      <c r="F2558" s="192"/>
      <c r="G2558" s="468"/>
      <c r="H2558" s="193"/>
      <c r="I2558" s="256"/>
      <c r="J2558" s="256"/>
      <c r="K2558" s="56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902" t="str">
        <f>IF(AND('341-CT'!$E$9=H2558,OR(LEFT(L2558,3)=$O$7,LEFT(M2558,3)=$O$7)),"x","")</f>
        <v/>
      </c>
      <c r="P2558" s="39" t="str">
        <f>IF(AND($B2558&gt;='111'!$N$11,$B2558&lt;='111'!$O$11,OR($L2558=$P$7,$M2558=$P$7)),"x","")</f>
        <v/>
      </c>
      <c r="Q2558" s="39" t="str">
        <f>IF(AND($L2558=$P$7,$B2558&lt;'111'!$N$11),"x","")</f>
        <v/>
      </c>
      <c r="R2558" s="39" t="str">
        <f>IF(AND($M2558=$P$7,$B2558&lt;'111'!$N$11),"x","")</f>
        <v/>
      </c>
      <c r="S2558" s="39" t="str">
        <f>IF(ISERROR(FIND('112'!$M$9,G2558,1)),"",IF((AND(FIND('112'!$M$9,G2558,1)&gt;=1,$B2558&gt;='112'!$N$8,$B2558&lt;='112'!$O$8,OR($L2558='112'!$I$6,$M2558='112'!$I$6))),"x",""))</f>
        <v/>
      </c>
      <c r="T2558" s="39" t="str">
        <f>IF(ISERROR(FIND('112'!$M$9,G2558,1)),"",IF((AND(LEFT(G2558,2)=LEFT('112'!$M$9,2),B2558&lt;'112'!$N$8,$L2558='112'!$I$6)),"x",""))</f>
        <v/>
      </c>
      <c r="U2558" s="39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39" t="str">
        <f>IF(OR(TH!L2558=TH!$W$7,M2558=TH!$W$7),"x","")</f>
        <v/>
      </c>
      <c r="X2558" s="39" t="str">
        <f>IF(AND(B2558&gt;='IN-NX'!$P$3,B2558&lt;='IN-NX'!$Q$3,'IN-NX'!$D$7=D2558,OR(LEFT(L2558,2)="15",AND(LEFT(M2558,2)&lt;&gt;"15",LEFT(M2558,2)&lt;&gt;"33"))),"x","")</f>
        <v/>
      </c>
      <c r="Y2558" s="39" t="str">
        <f>IF(AND(OR(LEFT(TH!L2558,2)="15",LEFT(TH!M2558,2)="15"),'152-CT'!$J$8=TH!F2558),"x","")</f>
        <v/>
      </c>
      <c r="Z2558" s="39" t="str">
        <f>IF(AND(OR(LEFT(TH!L2558,2)="15",LEFT(TH!M2558,2)="15"),TK!$E$7=TH!F2558),"x","")</f>
        <v/>
      </c>
      <c r="AA2558" s="39" t="str">
        <f>IF(AND(B2558&lt;=NKC!$N$8,B2558&gt;=NKC!$M$8),"x","")</f>
        <v/>
      </c>
      <c r="AB2558" s="821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112"/>
        <v/>
      </c>
      <c r="C2559" s="191"/>
      <c r="D2559" s="37"/>
      <c r="E2559" s="191"/>
      <c r="F2559" s="192"/>
      <c r="G2559" s="468"/>
      <c r="H2559" s="193"/>
      <c r="I2559" s="256"/>
      <c r="J2559" s="256"/>
      <c r="K2559" s="56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902" t="str">
        <f>IF(AND('341-CT'!$E$9=H2559,OR(LEFT(L2559,3)=$O$7,LEFT(M2559,3)=$O$7)),"x","")</f>
        <v/>
      </c>
      <c r="P2559" s="39" t="str">
        <f>IF(AND($B2559&gt;='111'!$N$11,$B2559&lt;='111'!$O$11,OR($L2559=$P$7,$M2559=$P$7)),"x","")</f>
        <v/>
      </c>
      <c r="Q2559" s="39" t="str">
        <f>IF(AND($L2559=$P$7,$B2559&lt;'111'!$N$11),"x","")</f>
        <v/>
      </c>
      <c r="R2559" s="39" t="str">
        <f>IF(AND($M2559=$P$7,$B2559&lt;'111'!$N$11),"x","")</f>
        <v/>
      </c>
      <c r="S2559" s="39" t="str">
        <f>IF(ISERROR(FIND('112'!$M$9,G2559,1)),"",IF((AND(FIND('112'!$M$9,G2559,1)&gt;=1,$B2559&gt;='112'!$N$8,$B2559&lt;='112'!$O$8,OR($L2559='112'!$I$6,$M2559='112'!$I$6))),"x",""))</f>
        <v/>
      </c>
      <c r="T2559" s="39" t="str">
        <f>IF(ISERROR(FIND('112'!$M$9,G2559,1)),"",IF((AND(LEFT(G2559,2)=LEFT('112'!$M$9,2),B2559&lt;'112'!$N$8,$L2559='112'!$I$6)),"x",""))</f>
        <v/>
      </c>
      <c r="U2559" s="39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39" t="str">
        <f>IF(OR(TH!L2559=TH!$W$7,M2559=TH!$W$7),"x","")</f>
        <v/>
      </c>
      <c r="X2559" s="39" t="str">
        <f>IF(AND(B2559&gt;='IN-NX'!$P$3,B2559&lt;='IN-NX'!$Q$3,'IN-NX'!$D$7=D2559,OR(LEFT(L2559,2)="15",AND(LEFT(M2559,2)&lt;&gt;"15",LEFT(M2559,2)&lt;&gt;"33"))),"x","")</f>
        <v/>
      </c>
      <c r="Y2559" s="39" t="str">
        <f>IF(AND(OR(LEFT(TH!L2559,2)="15",LEFT(TH!M2559,2)="15"),'152-CT'!$J$8=TH!F2559),"x","")</f>
        <v/>
      </c>
      <c r="Z2559" s="39" t="str">
        <f>IF(AND(OR(LEFT(TH!L2559,2)="15",LEFT(TH!M2559,2)="15"),TK!$E$7=TH!F2559),"x","")</f>
        <v/>
      </c>
      <c r="AA2559" s="39" t="str">
        <f>IF(AND(B2559&lt;=NKC!$N$8,B2559&gt;=NKC!$M$8),"x","")</f>
        <v/>
      </c>
      <c r="AB2559" s="821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112"/>
        <v/>
      </c>
      <c r="C2560" s="191"/>
      <c r="D2560" s="37"/>
      <c r="E2560" s="191"/>
      <c r="F2560" s="192"/>
      <c r="G2560" s="468"/>
      <c r="H2560" s="193"/>
      <c r="I2560" s="256"/>
      <c r="J2560" s="256"/>
      <c r="K2560" s="56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902" t="str">
        <f>IF(AND('341-CT'!$E$9=H2560,OR(LEFT(L2560,3)=$O$7,LEFT(M2560,3)=$O$7)),"x","")</f>
        <v/>
      </c>
      <c r="P2560" s="39" t="str">
        <f>IF(AND($B2560&gt;='111'!$N$11,$B2560&lt;='111'!$O$11,OR($L2560=$P$7,$M2560=$P$7)),"x","")</f>
        <v/>
      </c>
      <c r="Q2560" s="39" t="str">
        <f>IF(AND($L2560=$P$7,$B2560&lt;'111'!$N$11),"x","")</f>
        <v/>
      </c>
      <c r="R2560" s="39" t="str">
        <f>IF(AND($M2560=$P$7,$B2560&lt;'111'!$N$11),"x","")</f>
        <v/>
      </c>
      <c r="S2560" s="39" t="str">
        <f>IF(ISERROR(FIND('112'!$M$9,G2560,1)),"",IF((AND(FIND('112'!$M$9,G2560,1)&gt;=1,$B2560&gt;='112'!$N$8,$B2560&lt;='112'!$O$8,OR($L2560='112'!$I$6,$M2560='112'!$I$6))),"x",""))</f>
        <v/>
      </c>
      <c r="T2560" s="39" t="str">
        <f>IF(ISERROR(FIND('112'!$M$9,G2560,1)),"",IF((AND(LEFT(G2560,2)=LEFT('112'!$M$9,2),B2560&lt;'112'!$N$8,$L2560='112'!$I$6)),"x",""))</f>
        <v/>
      </c>
      <c r="U2560" s="39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39" t="str">
        <f>IF(OR(TH!L2560=TH!$W$7,M2560=TH!$W$7),"x","")</f>
        <v/>
      </c>
      <c r="X2560" s="39" t="str">
        <f>IF(AND(B2560&gt;='IN-NX'!$P$3,B2560&lt;='IN-NX'!$Q$3,'IN-NX'!$D$7=D2560,OR(LEFT(L2560,2)="15",AND(LEFT(M2560,2)&lt;&gt;"15",LEFT(M2560,2)&lt;&gt;"33"))),"x","")</f>
        <v/>
      </c>
      <c r="Y2560" s="39" t="str">
        <f>IF(AND(OR(LEFT(TH!L2560,2)="15",LEFT(TH!M2560,2)="15"),'152-CT'!$J$8=TH!F2560),"x","")</f>
        <v/>
      </c>
      <c r="Z2560" s="39" t="str">
        <f>IF(AND(OR(LEFT(TH!L2560,2)="15",LEFT(TH!M2560,2)="15"),TK!$E$7=TH!F2560),"x","")</f>
        <v/>
      </c>
      <c r="AA2560" s="39" t="str">
        <f>IF(AND(B2560&lt;=NKC!$N$8,B2560&gt;=NKC!$M$8),"x","")</f>
        <v/>
      </c>
      <c r="AB2560" s="821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112"/>
        <v/>
      </c>
      <c r="C2561" s="191"/>
      <c r="D2561" s="37"/>
      <c r="E2561" s="191"/>
      <c r="F2561" s="192"/>
      <c r="G2561" s="468"/>
      <c r="H2561" s="193"/>
      <c r="I2561" s="256"/>
      <c r="J2561" s="256"/>
      <c r="K2561" s="56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902" t="str">
        <f>IF(AND('341-CT'!$E$9=H2561,OR(LEFT(L2561,3)=$O$7,LEFT(M2561,3)=$O$7)),"x","")</f>
        <v/>
      </c>
      <c r="P2561" s="39" t="str">
        <f>IF(AND($B2561&gt;='111'!$N$11,$B2561&lt;='111'!$O$11,OR($L2561=$P$7,$M2561=$P$7)),"x","")</f>
        <v/>
      </c>
      <c r="Q2561" s="39" t="str">
        <f>IF(AND($L2561=$P$7,$B2561&lt;'111'!$N$11),"x","")</f>
        <v/>
      </c>
      <c r="R2561" s="39" t="str">
        <f>IF(AND($M2561=$P$7,$B2561&lt;'111'!$N$11),"x","")</f>
        <v/>
      </c>
      <c r="S2561" s="39" t="str">
        <f>IF(ISERROR(FIND('112'!$M$9,G2561,1)),"",IF((AND(FIND('112'!$M$9,G2561,1)&gt;=1,$B2561&gt;='112'!$N$8,$B2561&lt;='112'!$O$8,OR($L2561='112'!$I$6,$M2561='112'!$I$6))),"x",""))</f>
        <v/>
      </c>
      <c r="T2561" s="39" t="str">
        <f>IF(ISERROR(FIND('112'!$M$9,G2561,1)),"",IF((AND(LEFT(G2561,2)=LEFT('112'!$M$9,2),B2561&lt;'112'!$N$8,$L2561='112'!$I$6)),"x",""))</f>
        <v/>
      </c>
      <c r="U2561" s="39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39" t="str">
        <f>IF(OR(TH!L2561=TH!$W$7,M2561=TH!$W$7),"x","")</f>
        <v/>
      </c>
      <c r="X2561" s="39" t="str">
        <f>IF(AND(B2561&gt;='IN-NX'!$P$3,B2561&lt;='IN-NX'!$Q$3,'IN-NX'!$D$7=D2561,OR(LEFT(L2561,2)="15",AND(LEFT(M2561,2)&lt;&gt;"15",LEFT(M2561,2)&lt;&gt;"33"))),"x","")</f>
        <v/>
      </c>
      <c r="Y2561" s="39" t="str">
        <f>IF(AND(OR(LEFT(TH!L2561,2)="15",LEFT(TH!M2561,2)="15"),'152-CT'!$J$8=TH!F2561),"x","")</f>
        <v/>
      </c>
      <c r="Z2561" s="39" t="str">
        <f>IF(AND(OR(LEFT(TH!L2561,2)="15",LEFT(TH!M2561,2)="15"),TK!$E$7=TH!F2561),"x","")</f>
        <v/>
      </c>
      <c r="AA2561" s="39" t="str">
        <f>IF(AND(B2561&lt;=NKC!$N$8,B2561&gt;=NKC!$M$8),"x","")</f>
        <v/>
      </c>
      <c r="AB2561" s="821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112"/>
        <v/>
      </c>
      <c r="C2562" s="191"/>
      <c r="D2562" s="37"/>
      <c r="E2562" s="191"/>
      <c r="F2562" s="192"/>
      <c r="G2562" s="468"/>
      <c r="H2562" s="193"/>
      <c r="I2562" s="256"/>
      <c r="J2562" s="256"/>
      <c r="K2562" s="56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902" t="str">
        <f>IF(AND('341-CT'!$E$9=H2562,OR(LEFT(L2562,3)=$O$7,LEFT(M2562,3)=$O$7)),"x","")</f>
        <v/>
      </c>
      <c r="P2562" s="39" t="str">
        <f>IF(AND($B2562&gt;='111'!$N$11,$B2562&lt;='111'!$O$11,OR($L2562=$P$7,$M2562=$P$7)),"x","")</f>
        <v/>
      </c>
      <c r="Q2562" s="39" t="str">
        <f>IF(AND($L2562=$P$7,$B2562&lt;'111'!$N$11),"x","")</f>
        <v/>
      </c>
      <c r="R2562" s="39" t="str">
        <f>IF(AND($M2562=$P$7,$B2562&lt;'111'!$N$11),"x","")</f>
        <v/>
      </c>
      <c r="S2562" s="39" t="str">
        <f>IF(ISERROR(FIND('112'!$M$9,G2562,1)),"",IF((AND(FIND('112'!$M$9,G2562,1)&gt;=1,$B2562&gt;='112'!$N$8,$B2562&lt;='112'!$O$8,OR($L2562='112'!$I$6,$M2562='112'!$I$6))),"x",""))</f>
        <v/>
      </c>
      <c r="T2562" s="39" t="str">
        <f>IF(ISERROR(FIND('112'!$M$9,G2562,1)),"",IF((AND(LEFT(G2562,2)=LEFT('112'!$M$9,2),B2562&lt;'112'!$N$8,$L2562='112'!$I$6)),"x",""))</f>
        <v/>
      </c>
      <c r="U2562" s="39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39" t="str">
        <f>IF(OR(TH!L2562=TH!$W$7,M2562=TH!$W$7),"x","")</f>
        <v/>
      </c>
      <c r="X2562" s="39" t="str">
        <f>IF(AND(B2562&gt;='IN-NX'!$P$3,B2562&lt;='IN-NX'!$Q$3,'IN-NX'!$D$7=D2562,OR(LEFT(L2562,2)="15",AND(LEFT(M2562,2)&lt;&gt;"15",LEFT(M2562,2)&lt;&gt;"33"))),"x","")</f>
        <v/>
      </c>
      <c r="Y2562" s="39" t="str">
        <f>IF(AND(OR(LEFT(TH!L2562,2)="15",LEFT(TH!M2562,2)="15"),'152-CT'!$J$8=TH!F2562),"x","")</f>
        <v/>
      </c>
      <c r="Z2562" s="39" t="str">
        <f>IF(AND(OR(LEFT(TH!L2562,2)="15",LEFT(TH!M2562,2)="15"),TK!$E$7=TH!F2562),"x","")</f>
        <v/>
      </c>
      <c r="AA2562" s="39" t="str">
        <f>IF(AND(B2562&lt;=NKC!$N$8,B2562&gt;=NKC!$M$8),"x","")</f>
        <v/>
      </c>
      <c r="AB2562" s="821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112"/>
        <v/>
      </c>
      <c r="C2563" s="191"/>
      <c r="D2563" s="37"/>
      <c r="E2563" s="191"/>
      <c r="F2563" s="192"/>
      <c r="G2563" s="468"/>
      <c r="H2563" s="193"/>
      <c r="I2563" s="256"/>
      <c r="J2563" s="256"/>
      <c r="K2563" s="56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902" t="str">
        <f>IF(AND('341-CT'!$E$9=H2563,OR(LEFT(L2563,3)=$O$7,LEFT(M2563,3)=$O$7)),"x","")</f>
        <v/>
      </c>
      <c r="P2563" s="39" t="str">
        <f>IF(AND($B2563&gt;='111'!$N$11,$B2563&lt;='111'!$O$11,OR($L2563=$P$7,$M2563=$P$7)),"x","")</f>
        <v/>
      </c>
      <c r="Q2563" s="39" t="str">
        <f>IF(AND($L2563=$P$7,$B2563&lt;'111'!$N$11),"x","")</f>
        <v/>
      </c>
      <c r="R2563" s="39" t="str">
        <f>IF(AND($M2563=$P$7,$B2563&lt;'111'!$N$11),"x","")</f>
        <v/>
      </c>
      <c r="S2563" s="39" t="str">
        <f>IF(ISERROR(FIND('112'!$M$9,G2563,1)),"",IF((AND(FIND('112'!$M$9,G2563,1)&gt;=1,$B2563&gt;='112'!$N$8,$B2563&lt;='112'!$O$8,OR($L2563='112'!$I$6,$M2563='112'!$I$6))),"x",""))</f>
        <v/>
      </c>
      <c r="T2563" s="39" t="str">
        <f>IF(ISERROR(FIND('112'!$M$9,G2563,1)),"",IF((AND(LEFT(G2563,2)=LEFT('112'!$M$9,2),B2563&lt;'112'!$N$8,$L2563='112'!$I$6)),"x",""))</f>
        <v/>
      </c>
      <c r="U2563" s="39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39" t="str">
        <f>IF(OR(TH!L2563=TH!$W$7,M2563=TH!$W$7),"x","")</f>
        <v/>
      </c>
      <c r="X2563" s="39" t="str">
        <f>IF(AND(B2563&gt;='IN-NX'!$P$3,B2563&lt;='IN-NX'!$Q$3,'IN-NX'!$D$7=D2563,OR(LEFT(L2563,2)="15",AND(LEFT(M2563,2)&lt;&gt;"15",LEFT(M2563,2)&lt;&gt;"33"))),"x","")</f>
        <v/>
      </c>
      <c r="Y2563" s="39" t="str">
        <f>IF(AND(OR(LEFT(TH!L2563,2)="15",LEFT(TH!M2563,2)="15"),'152-CT'!$J$8=TH!F2563),"x","")</f>
        <v/>
      </c>
      <c r="Z2563" s="39" t="str">
        <f>IF(AND(OR(LEFT(TH!L2563,2)="15",LEFT(TH!M2563,2)="15"),TK!$E$7=TH!F2563),"x","")</f>
        <v/>
      </c>
      <c r="AA2563" s="39" t="str">
        <f>IF(AND(B2563&lt;=NKC!$N$8,B2563&gt;=NKC!$M$8),"x","")</f>
        <v/>
      </c>
      <c r="AB2563" s="821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112"/>
        <v/>
      </c>
      <c r="C2564" s="191"/>
      <c r="D2564" s="37"/>
      <c r="E2564" s="191"/>
      <c r="F2564" s="192"/>
      <c r="G2564" s="468"/>
      <c r="H2564" s="193"/>
      <c r="I2564" s="256"/>
      <c r="J2564" s="256"/>
      <c r="K2564" s="56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902" t="str">
        <f>IF(AND('341-CT'!$E$9=H2564,OR(LEFT(L2564,3)=$O$7,LEFT(M2564,3)=$O$7)),"x","")</f>
        <v/>
      </c>
      <c r="P2564" s="39" t="str">
        <f>IF(AND($B2564&gt;='111'!$N$11,$B2564&lt;='111'!$O$11,OR($L2564=$P$7,$M2564=$P$7)),"x","")</f>
        <v/>
      </c>
      <c r="Q2564" s="39" t="str">
        <f>IF(AND($L2564=$P$7,$B2564&lt;'111'!$N$11),"x","")</f>
        <v/>
      </c>
      <c r="R2564" s="39" t="str">
        <f>IF(AND($M2564=$P$7,$B2564&lt;'111'!$N$11),"x","")</f>
        <v/>
      </c>
      <c r="S2564" s="39" t="str">
        <f>IF(ISERROR(FIND('112'!$M$9,G2564,1)),"",IF((AND(FIND('112'!$M$9,G2564,1)&gt;=1,$B2564&gt;='112'!$N$8,$B2564&lt;='112'!$O$8,OR($L2564='112'!$I$6,$M2564='112'!$I$6))),"x",""))</f>
        <v/>
      </c>
      <c r="T2564" s="39" t="str">
        <f>IF(ISERROR(FIND('112'!$M$9,G2564,1)),"",IF((AND(LEFT(G2564,2)=LEFT('112'!$M$9,2),B2564&lt;'112'!$N$8,$L2564='112'!$I$6)),"x",""))</f>
        <v/>
      </c>
      <c r="U2564" s="39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39" t="str">
        <f>IF(OR(TH!L2564=TH!$W$7,M2564=TH!$W$7),"x","")</f>
        <v/>
      </c>
      <c r="X2564" s="39" t="str">
        <f>IF(AND(B2564&gt;='IN-NX'!$P$3,B2564&lt;='IN-NX'!$Q$3,'IN-NX'!$D$7=D2564,OR(LEFT(L2564,2)="15",AND(LEFT(M2564,2)&lt;&gt;"15",LEFT(M2564,2)&lt;&gt;"33"))),"x","")</f>
        <v/>
      </c>
      <c r="Y2564" s="39" t="str">
        <f>IF(AND(OR(LEFT(TH!L2564,2)="15",LEFT(TH!M2564,2)="15"),'152-CT'!$J$8=TH!F2564),"x","")</f>
        <v/>
      </c>
      <c r="Z2564" s="39" t="str">
        <f>IF(AND(OR(LEFT(TH!L2564,2)="15",LEFT(TH!M2564,2)="15"),TK!$E$7=TH!F2564),"x","")</f>
        <v/>
      </c>
      <c r="AA2564" s="39" t="str">
        <f>IF(AND(B2564&lt;=NKC!$N$8,B2564&gt;=NKC!$M$8),"x","")</f>
        <v/>
      </c>
      <c r="AB2564" s="821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112"/>
        <v/>
      </c>
      <c r="C2565" s="191"/>
      <c r="D2565" s="37"/>
      <c r="E2565" s="191"/>
      <c r="F2565" s="192"/>
      <c r="G2565" s="468"/>
      <c r="H2565" s="193"/>
      <c r="I2565" s="256"/>
      <c r="J2565" s="256"/>
      <c r="K2565" s="56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902" t="str">
        <f>IF(AND('341-CT'!$E$9=H2565,OR(LEFT(L2565,3)=$O$7,LEFT(M2565,3)=$O$7)),"x","")</f>
        <v/>
      </c>
      <c r="P2565" s="39" t="str">
        <f>IF(AND($B2565&gt;='111'!$N$11,$B2565&lt;='111'!$O$11,OR($L2565=$P$7,$M2565=$P$7)),"x","")</f>
        <v/>
      </c>
      <c r="Q2565" s="39" t="str">
        <f>IF(AND($L2565=$P$7,$B2565&lt;'111'!$N$11),"x","")</f>
        <v/>
      </c>
      <c r="R2565" s="39" t="str">
        <f>IF(AND($M2565=$P$7,$B2565&lt;'111'!$N$11),"x","")</f>
        <v/>
      </c>
      <c r="S2565" s="39" t="str">
        <f>IF(ISERROR(FIND('112'!$M$9,G2565,1)),"",IF((AND(FIND('112'!$M$9,G2565,1)&gt;=1,$B2565&gt;='112'!$N$8,$B2565&lt;='112'!$O$8,OR($L2565='112'!$I$6,$M2565='112'!$I$6))),"x",""))</f>
        <v/>
      </c>
      <c r="T2565" s="39" t="str">
        <f>IF(ISERROR(FIND('112'!$M$9,G2565,1)),"",IF((AND(LEFT(G2565,2)=LEFT('112'!$M$9,2),B2565&lt;'112'!$N$8,$L2565='112'!$I$6)),"x",""))</f>
        <v/>
      </c>
      <c r="U2565" s="39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39" t="str">
        <f>IF(OR(TH!L2565=TH!$W$7,M2565=TH!$W$7),"x","")</f>
        <v/>
      </c>
      <c r="X2565" s="39" t="str">
        <f>IF(AND(B2565&gt;='IN-NX'!$P$3,B2565&lt;='IN-NX'!$Q$3,'IN-NX'!$D$7=D2565,OR(LEFT(L2565,2)="15",AND(LEFT(M2565,2)&lt;&gt;"15",LEFT(M2565,2)&lt;&gt;"33"))),"x","")</f>
        <v/>
      </c>
      <c r="Y2565" s="39" t="str">
        <f>IF(AND(OR(LEFT(TH!L2565,2)="15",LEFT(TH!M2565,2)="15"),'152-CT'!$J$8=TH!F2565),"x","")</f>
        <v/>
      </c>
      <c r="Z2565" s="39" t="str">
        <f>IF(AND(OR(LEFT(TH!L2565,2)="15",LEFT(TH!M2565,2)="15"),TK!$E$7=TH!F2565),"x","")</f>
        <v/>
      </c>
      <c r="AA2565" s="39" t="str">
        <f>IF(AND(B2565&lt;=NKC!$N$8,B2565&gt;=NKC!$M$8),"x","")</f>
        <v/>
      </c>
      <c r="AB2565" s="821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112"/>
        <v/>
      </c>
      <c r="C2566" s="191"/>
      <c r="D2566" s="37"/>
      <c r="E2566" s="191"/>
      <c r="F2566" s="192"/>
      <c r="G2566" s="468"/>
      <c r="H2566" s="193"/>
      <c r="I2566" s="256"/>
      <c r="J2566" s="256"/>
      <c r="K2566" s="56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902" t="str">
        <f>IF(AND('341-CT'!$E$9=H2566,OR(LEFT(L2566,3)=$O$7,LEFT(M2566,3)=$O$7)),"x","")</f>
        <v/>
      </c>
      <c r="P2566" s="39" t="str">
        <f>IF(AND($B2566&gt;='111'!$N$11,$B2566&lt;='111'!$O$11,OR($L2566=$P$7,$M2566=$P$7)),"x","")</f>
        <v/>
      </c>
      <c r="Q2566" s="39" t="str">
        <f>IF(AND($L2566=$P$7,$B2566&lt;'111'!$N$11),"x","")</f>
        <v/>
      </c>
      <c r="R2566" s="39" t="str">
        <f>IF(AND($M2566=$P$7,$B2566&lt;'111'!$N$11),"x","")</f>
        <v/>
      </c>
      <c r="S2566" s="39" t="str">
        <f>IF(ISERROR(FIND('112'!$M$9,G2566,1)),"",IF((AND(FIND('112'!$M$9,G2566,1)&gt;=1,$B2566&gt;='112'!$N$8,$B2566&lt;='112'!$O$8,OR($L2566='112'!$I$6,$M2566='112'!$I$6))),"x",""))</f>
        <v/>
      </c>
      <c r="T2566" s="39" t="str">
        <f>IF(ISERROR(FIND('112'!$M$9,G2566,1)),"",IF((AND(LEFT(G2566,2)=LEFT('112'!$M$9,2),B2566&lt;'112'!$N$8,$L2566='112'!$I$6)),"x",""))</f>
        <v/>
      </c>
      <c r="U2566" s="39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39" t="str">
        <f>IF(OR(TH!L2566=TH!$W$7,M2566=TH!$W$7),"x","")</f>
        <v/>
      </c>
      <c r="X2566" s="39" t="str">
        <f>IF(AND(B2566&gt;='IN-NX'!$P$3,B2566&lt;='IN-NX'!$Q$3,'IN-NX'!$D$7=D2566,OR(LEFT(L2566,2)="15",AND(LEFT(M2566,2)&lt;&gt;"15",LEFT(M2566,2)&lt;&gt;"33"))),"x","")</f>
        <v/>
      </c>
      <c r="Y2566" s="39" t="str">
        <f>IF(AND(OR(LEFT(TH!L2566,2)="15",LEFT(TH!M2566,2)="15"),'152-CT'!$J$8=TH!F2566),"x","")</f>
        <v/>
      </c>
      <c r="Z2566" s="39" t="str">
        <f>IF(AND(OR(LEFT(TH!L2566,2)="15",LEFT(TH!M2566,2)="15"),TK!$E$7=TH!F2566),"x","")</f>
        <v/>
      </c>
      <c r="AA2566" s="39" t="str">
        <f>IF(AND(B2566&lt;=NKC!$N$8,B2566&gt;=NKC!$M$8),"x","")</f>
        <v/>
      </c>
      <c r="AB2566" s="821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112"/>
        <v/>
      </c>
      <c r="C2567" s="191"/>
      <c r="D2567" s="37"/>
      <c r="E2567" s="191"/>
      <c r="F2567" s="192"/>
      <c r="G2567" s="468"/>
      <c r="H2567" s="193"/>
      <c r="I2567" s="256"/>
      <c r="J2567" s="256"/>
      <c r="K2567" s="56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902" t="str">
        <f>IF(AND('341-CT'!$E$9=H2567,OR(LEFT(L2567,3)=$O$7,LEFT(M2567,3)=$O$7)),"x","")</f>
        <v/>
      </c>
      <c r="P2567" s="39" t="str">
        <f>IF(AND($B2567&gt;='111'!$N$11,$B2567&lt;='111'!$O$11,OR($L2567=$P$7,$M2567=$P$7)),"x","")</f>
        <v/>
      </c>
      <c r="Q2567" s="39" t="str">
        <f>IF(AND($L2567=$P$7,$B2567&lt;'111'!$N$11),"x","")</f>
        <v/>
      </c>
      <c r="R2567" s="39" t="str">
        <f>IF(AND($M2567=$P$7,$B2567&lt;'111'!$N$11),"x","")</f>
        <v/>
      </c>
      <c r="S2567" s="39" t="str">
        <f>IF(ISERROR(FIND('112'!$M$9,G2567,1)),"",IF((AND(FIND('112'!$M$9,G2567,1)&gt;=1,$B2567&gt;='112'!$N$8,$B2567&lt;='112'!$O$8,OR($L2567='112'!$I$6,$M2567='112'!$I$6))),"x",""))</f>
        <v/>
      </c>
      <c r="T2567" s="39" t="str">
        <f>IF(ISERROR(FIND('112'!$M$9,G2567,1)),"",IF((AND(LEFT(G2567,2)=LEFT('112'!$M$9,2),B2567&lt;'112'!$N$8,$L2567='112'!$I$6)),"x",""))</f>
        <v/>
      </c>
      <c r="U2567" s="39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39" t="str">
        <f>IF(OR(TH!L2567=TH!$W$7,M2567=TH!$W$7),"x","")</f>
        <v/>
      </c>
      <c r="X2567" s="39" t="str">
        <f>IF(AND(B2567&gt;='IN-NX'!$P$3,B2567&lt;='IN-NX'!$Q$3,'IN-NX'!$D$7=D2567,OR(LEFT(L2567,2)="15",AND(LEFT(M2567,2)&lt;&gt;"15",LEFT(M2567,2)&lt;&gt;"33"))),"x","")</f>
        <v/>
      </c>
      <c r="Y2567" s="39" t="str">
        <f>IF(AND(OR(LEFT(TH!L2567,2)="15",LEFT(TH!M2567,2)="15"),'152-CT'!$J$8=TH!F2567),"x","")</f>
        <v/>
      </c>
      <c r="Z2567" s="39" t="str">
        <f>IF(AND(OR(LEFT(TH!L2567,2)="15",LEFT(TH!M2567,2)="15"),TK!$E$7=TH!F2567),"x","")</f>
        <v/>
      </c>
      <c r="AA2567" s="39" t="str">
        <f>IF(AND(B2567&lt;=NKC!$N$8,B2567&gt;=NKC!$M$8),"x","")</f>
        <v/>
      </c>
      <c r="AB2567" s="821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112"/>
        <v/>
      </c>
      <c r="C2568" s="191"/>
      <c r="D2568" s="37"/>
      <c r="E2568" s="191"/>
      <c r="F2568" s="192"/>
      <c r="G2568" s="468"/>
      <c r="H2568" s="193"/>
      <c r="I2568" s="256"/>
      <c r="J2568" s="256"/>
      <c r="K2568" s="56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902" t="str">
        <f>IF(AND('341-CT'!$E$9=H2568,OR(LEFT(L2568,3)=$O$7,LEFT(M2568,3)=$O$7)),"x","")</f>
        <v/>
      </c>
      <c r="P2568" s="39" t="str">
        <f>IF(AND($B2568&gt;='111'!$N$11,$B2568&lt;='111'!$O$11,OR($L2568=$P$7,$M2568=$P$7)),"x","")</f>
        <v/>
      </c>
      <c r="Q2568" s="39" t="str">
        <f>IF(AND($L2568=$P$7,$B2568&lt;'111'!$N$11),"x","")</f>
        <v/>
      </c>
      <c r="R2568" s="39" t="str">
        <f>IF(AND($M2568=$P$7,$B2568&lt;'111'!$N$11),"x","")</f>
        <v/>
      </c>
      <c r="S2568" s="39" t="str">
        <f>IF(ISERROR(FIND('112'!$M$9,G2568,1)),"",IF((AND(FIND('112'!$M$9,G2568,1)&gt;=1,$B2568&gt;='112'!$N$8,$B2568&lt;='112'!$O$8,OR($L2568='112'!$I$6,$M2568='112'!$I$6))),"x",""))</f>
        <v/>
      </c>
      <c r="T2568" s="39" t="str">
        <f>IF(ISERROR(FIND('112'!$M$9,G2568,1)),"",IF((AND(LEFT(G2568,2)=LEFT('112'!$M$9,2),B2568&lt;'112'!$N$8,$L2568='112'!$I$6)),"x",""))</f>
        <v/>
      </c>
      <c r="U2568" s="39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39" t="str">
        <f>IF(OR(TH!L2568=TH!$W$7,M2568=TH!$W$7),"x","")</f>
        <v/>
      </c>
      <c r="X2568" s="39" t="str">
        <f>IF(AND(B2568&gt;='IN-NX'!$P$3,B2568&lt;='IN-NX'!$Q$3,'IN-NX'!$D$7=D2568,OR(LEFT(L2568,2)="15",AND(LEFT(M2568,2)&lt;&gt;"15",LEFT(M2568,2)&lt;&gt;"33"))),"x","")</f>
        <v/>
      </c>
      <c r="Y2568" s="39" t="str">
        <f>IF(AND(OR(LEFT(TH!L2568,2)="15",LEFT(TH!M2568,2)="15"),'152-CT'!$J$8=TH!F2568),"x","")</f>
        <v/>
      </c>
      <c r="Z2568" s="39" t="str">
        <f>IF(AND(OR(LEFT(TH!L2568,2)="15",LEFT(TH!M2568,2)="15"),TK!$E$7=TH!F2568),"x","")</f>
        <v/>
      </c>
      <c r="AA2568" s="39" t="str">
        <f>IF(AND(B2568&lt;=NKC!$N$8,B2568&gt;=NKC!$M$8),"x","")</f>
        <v/>
      </c>
      <c r="AB2568" s="821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112"/>
        <v/>
      </c>
      <c r="C2569" s="191"/>
      <c r="D2569" s="37"/>
      <c r="E2569" s="191"/>
      <c r="F2569" s="192"/>
      <c r="G2569" s="468"/>
      <c r="H2569" s="193"/>
      <c r="I2569" s="256"/>
      <c r="J2569" s="256"/>
      <c r="K2569" s="56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902" t="str">
        <f>IF(AND('341-CT'!$E$9=H2569,OR(LEFT(L2569,3)=$O$7,LEFT(M2569,3)=$O$7)),"x","")</f>
        <v/>
      </c>
      <c r="P2569" s="39" t="str">
        <f>IF(AND($B2569&gt;='111'!$N$11,$B2569&lt;='111'!$O$11,OR($L2569=$P$7,$M2569=$P$7)),"x","")</f>
        <v/>
      </c>
      <c r="Q2569" s="39" t="str">
        <f>IF(AND($L2569=$P$7,$B2569&lt;'111'!$N$11),"x","")</f>
        <v/>
      </c>
      <c r="R2569" s="39" t="str">
        <f>IF(AND($M2569=$P$7,$B2569&lt;'111'!$N$11),"x","")</f>
        <v/>
      </c>
      <c r="S2569" s="39" t="str">
        <f>IF(ISERROR(FIND('112'!$M$9,G2569,1)),"",IF((AND(FIND('112'!$M$9,G2569,1)&gt;=1,$B2569&gt;='112'!$N$8,$B2569&lt;='112'!$O$8,OR($L2569='112'!$I$6,$M2569='112'!$I$6))),"x",""))</f>
        <v/>
      </c>
      <c r="T2569" s="39" t="str">
        <f>IF(ISERROR(FIND('112'!$M$9,G2569,1)),"",IF((AND(LEFT(G2569,2)=LEFT('112'!$M$9,2),B2569&lt;'112'!$N$8,$L2569='112'!$I$6)),"x",""))</f>
        <v/>
      </c>
      <c r="U2569" s="39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39" t="str">
        <f>IF(OR(TH!L2569=TH!$W$7,M2569=TH!$W$7),"x","")</f>
        <v/>
      </c>
      <c r="X2569" s="39" t="str">
        <f>IF(AND(B2569&gt;='IN-NX'!$P$3,B2569&lt;='IN-NX'!$Q$3,'IN-NX'!$D$7=D2569,OR(LEFT(L2569,2)="15",AND(LEFT(M2569,2)&lt;&gt;"15",LEFT(M2569,2)&lt;&gt;"33"))),"x","")</f>
        <v/>
      </c>
      <c r="Y2569" s="39" t="str">
        <f>IF(AND(OR(LEFT(TH!L2569,2)="15",LEFT(TH!M2569,2)="15"),'152-CT'!$J$8=TH!F2569),"x","")</f>
        <v/>
      </c>
      <c r="Z2569" s="39" t="str">
        <f>IF(AND(OR(LEFT(TH!L2569,2)="15",LEFT(TH!M2569,2)="15"),TK!$E$7=TH!F2569),"x","")</f>
        <v/>
      </c>
      <c r="AA2569" s="39" t="str">
        <f>IF(AND(B2569&lt;=NKC!$N$8,B2569&gt;=NKC!$M$8),"x","")</f>
        <v/>
      </c>
      <c r="AB2569" s="821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112"/>
        <v/>
      </c>
      <c r="C2570" s="191"/>
      <c r="D2570" s="37"/>
      <c r="E2570" s="191"/>
      <c r="F2570" s="192"/>
      <c r="G2570" s="468"/>
      <c r="H2570" s="193"/>
      <c r="I2570" s="256"/>
      <c r="J2570" s="256"/>
      <c r="K2570" s="56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902" t="str">
        <f>IF(AND('341-CT'!$E$9=H2570,OR(LEFT(L2570,3)=$O$7,LEFT(M2570,3)=$O$7)),"x","")</f>
        <v/>
      </c>
      <c r="P2570" s="39" t="str">
        <f>IF(AND($B2570&gt;='111'!$N$11,$B2570&lt;='111'!$O$11,OR($L2570=$P$7,$M2570=$P$7)),"x","")</f>
        <v/>
      </c>
      <c r="Q2570" s="39" t="str">
        <f>IF(AND($L2570=$P$7,$B2570&lt;'111'!$N$11),"x","")</f>
        <v/>
      </c>
      <c r="R2570" s="39" t="str">
        <f>IF(AND($M2570=$P$7,$B2570&lt;'111'!$N$11),"x","")</f>
        <v/>
      </c>
      <c r="S2570" s="39" t="str">
        <f>IF(ISERROR(FIND('112'!$M$9,G2570,1)),"",IF((AND(FIND('112'!$M$9,G2570,1)&gt;=1,$B2570&gt;='112'!$N$8,$B2570&lt;='112'!$O$8,OR($L2570='112'!$I$6,$M2570='112'!$I$6))),"x",""))</f>
        <v/>
      </c>
      <c r="T2570" s="39" t="str">
        <f>IF(ISERROR(FIND('112'!$M$9,G2570,1)),"",IF((AND(LEFT(G2570,2)=LEFT('112'!$M$9,2),B2570&lt;'112'!$N$8,$L2570='112'!$I$6)),"x",""))</f>
        <v/>
      </c>
      <c r="U2570" s="39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39" t="str">
        <f>IF(OR(TH!L2570=TH!$W$7,M2570=TH!$W$7),"x","")</f>
        <v/>
      </c>
      <c r="X2570" s="39" t="str">
        <f>IF(AND(B2570&gt;='IN-NX'!$P$3,B2570&lt;='IN-NX'!$Q$3,'IN-NX'!$D$7=D2570,OR(LEFT(L2570,2)="15",AND(LEFT(M2570,2)&lt;&gt;"15",LEFT(M2570,2)&lt;&gt;"33"))),"x","")</f>
        <v/>
      </c>
      <c r="Y2570" s="39" t="str">
        <f>IF(AND(OR(LEFT(TH!L2570,2)="15",LEFT(TH!M2570,2)="15"),'152-CT'!$J$8=TH!F2570),"x","")</f>
        <v/>
      </c>
      <c r="Z2570" s="39" t="str">
        <f>IF(AND(OR(LEFT(TH!L2570,2)="15",LEFT(TH!M2570,2)="15"),TK!$E$7=TH!F2570),"x","")</f>
        <v/>
      </c>
      <c r="AA2570" s="39" t="str">
        <f>IF(AND(B2570&lt;=NKC!$N$8,B2570&gt;=NKC!$M$8),"x","")</f>
        <v/>
      </c>
      <c r="AB2570" s="821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112"/>
        <v/>
      </c>
      <c r="C2571" s="191"/>
      <c r="D2571" s="37"/>
      <c r="E2571" s="191"/>
      <c r="F2571" s="192"/>
      <c r="G2571" s="468"/>
      <c r="H2571" s="193"/>
      <c r="I2571" s="256"/>
      <c r="J2571" s="256"/>
      <c r="K2571" s="56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902" t="str">
        <f>IF(AND('341-CT'!$E$9=H2571,OR(LEFT(L2571,3)=$O$7,LEFT(M2571,3)=$O$7)),"x","")</f>
        <v/>
      </c>
      <c r="P2571" s="39" t="str">
        <f>IF(AND($B2571&gt;='111'!$N$11,$B2571&lt;='111'!$O$11,OR($L2571=$P$7,$M2571=$P$7)),"x","")</f>
        <v/>
      </c>
      <c r="Q2571" s="39" t="str">
        <f>IF(AND($L2571=$P$7,$B2571&lt;'111'!$N$11),"x","")</f>
        <v/>
      </c>
      <c r="R2571" s="39" t="str">
        <f>IF(AND($M2571=$P$7,$B2571&lt;'111'!$N$11),"x","")</f>
        <v/>
      </c>
      <c r="S2571" s="39" t="str">
        <f>IF(ISERROR(FIND('112'!$M$9,G2571,1)),"",IF((AND(FIND('112'!$M$9,G2571,1)&gt;=1,$B2571&gt;='112'!$N$8,$B2571&lt;='112'!$O$8,OR($L2571='112'!$I$6,$M2571='112'!$I$6))),"x",""))</f>
        <v/>
      </c>
      <c r="T2571" s="39" t="str">
        <f>IF(ISERROR(FIND('112'!$M$9,G2571,1)),"",IF((AND(LEFT(G2571,2)=LEFT('112'!$M$9,2),B2571&lt;'112'!$N$8,$L2571='112'!$I$6)),"x",""))</f>
        <v/>
      </c>
      <c r="U2571" s="39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39" t="str">
        <f>IF(OR(TH!L2571=TH!$W$7,M2571=TH!$W$7),"x","")</f>
        <v/>
      </c>
      <c r="X2571" s="39" t="str">
        <f>IF(AND(B2571&gt;='IN-NX'!$P$3,B2571&lt;='IN-NX'!$Q$3,'IN-NX'!$D$7=D2571,OR(LEFT(L2571,2)="15",AND(LEFT(M2571,2)&lt;&gt;"15",LEFT(M2571,2)&lt;&gt;"33"))),"x","")</f>
        <v/>
      </c>
      <c r="Y2571" s="39" t="str">
        <f>IF(AND(OR(LEFT(TH!L2571,2)="15",LEFT(TH!M2571,2)="15"),'152-CT'!$J$8=TH!F2571),"x","")</f>
        <v/>
      </c>
      <c r="Z2571" s="39" t="str">
        <f>IF(AND(OR(LEFT(TH!L2571,2)="15",LEFT(TH!M2571,2)="15"),TK!$E$7=TH!F2571),"x","")</f>
        <v/>
      </c>
      <c r="AA2571" s="39" t="str">
        <f>IF(AND(B2571&lt;=NKC!$N$8,B2571&gt;=NKC!$M$8),"x","")</f>
        <v/>
      </c>
      <c r="AB2571" s="821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112"/>
        <v/>
      </c>
      <c r="C2572" s="191"/>
      <c r="D2572" s="37"/>
      <c r="E2572" s="191"/>
      <c r="F2572" s="192"/>
      <c r="G2572" s="468"/>
      <c r="H2572" s="193"/>
      <c r="I2572" s="256"/>
      <c r="J2572" s="256"/>
      <c r="K2572" s="56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902" t="str">
        <f>IF(AND('341-CT'!$E$9=H2572,OR(LEFT(L2572,3)=$O$7,LEFT(M2572,3)=$O$7)),"x","")</f>
        <v/>
      </c>
      <c r="P2572" s="39" t="str">
        <f>IF(AND($B2572&gt;='111'!$N$11,$B2572&lt;='111'!$O$11,OR($L2572=$P$7,$M2572=$P$7)),"x","")</f>
        <v/>
      </c>
      <c r="Q2572" s="39" t="str">
        <f>IF(AND($L2572=$P$7,$B2572&lt;'111'!$N$11),"x","")</f>
        <v/>
      </c>
      <c r="R2572" s="39" t="str">
        <f>IF(AND($M2572=$P$7,$B2572&lt;'111'!$N$11),"x","")</f>
        <v/>
      </c>
      <c r="S2572" s="39" t="str">
        <f>IF(ISERROR(FIND('112'!$M$9,G2572,1)),"",IF((AND(FIND('112'!$M$9,G2572,1)&gt;=1,$B2572&gt;='112'!$N$8,$B2572&lt;='112'!$O$8,OR($L2572='112'!$I$6,$M2572='112'!$I$6))),"x",""))</f>
        <v/>
      </c>
      <c r="T2572" s="39" t="str">
        <f>IF(ISERROR(FIND('112'!$M$9,G2572,1)),"",IF((AND(LEFT(G2572,2)=LEFT('112'!$M$9,2),B2572&lt;'112'!$N$8,$L2572='112'!$I$6)),"x",""))</f>
        <v/>
      </c>
      <c r="U2572" s="39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39" t="str">
        <f>IF(OR(TH!L2572=TH!$W$7,M2572=TH!$W$7),"x","")</f>
        <v/>
      </c>
      <c r="X2572" s="39" t="str">
        <f>IF(AND(B2572&gt;='IN-NX'!$P$3,B2572&lt;='IN-NX'!$Q$3,'IN-NX'!$D$7=D2572,OR(LEFT(L2572,2)="15",AND(LEFT(M2572,2)&lt;&gt;"15",LEFT(M2572,2)&lt;&gt;"33"))),"x","")</f>
        <v/>
      </c>
      <c r="Y2572" s="39" t="str">
        <f>IF(AND(OR(LEFT(TH!L2572,2)="15",LEFT(TH!M2572,2)="15"),'152-CT'!$J$8=TH!F2572),"x","")</f>
        <v/>
      </c>
      <c r="Z2572" s="39" t="str">
        <f>IF(AND(OR(LEFT(TH!L2572,2)="15",LEFT(TH!M2572,2)="15"),TK!$E$7=TH!F2572),"x","")</f>
        <v/>
      </c>
      <c r="AA2572" s="39" t="str">
        <f>IF(AND(B2572&lt;=NKC!$N$8,B2572&gt;=NKC!$M$8),"x","")</f>
        <v/>
      </c>
      <c r="AB2572" s="821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112"/>
        <v/>
      </c>
      <c r="C2573" s="191"/>
      <c r="D2573" s="37"/>
      <c r="E2573" s="191"/>
      <c r="F2573" s="192"/>
      <c r="G2573" s="468"/>
      <c r="H2573" s="193"/>
      <c r="I2573" s="256"/>
      <c r="J2573" s="256"/>
      <c r="K2573" s="56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902" t="str">
        <f>IF(AND('341-CT'!$E$9=H2573,OR(LEFT(L2573,3)=$O$7,LEFT(M2573,3)=$O$7)),"x","")</f>
        <v/>
      </c>
      <c r="P2573" s="39" t="str">
        <f>IF(AND($B2573&gt;='111'!$N$11,$B2573&lt;='111'!$O$11,OR($L2573=$P$7,$M2573=$P$7)),"x","")</f>
        <v/>
      </c>
      <c r="Q2573" s="39" t="str">
        <f>IF(AND($L2573=$P$7,$B2573&lt;'111'!$N$11),"x","")</f>
        <v/>
      </c>
      <c r="R2573" s="39" t="str">
        <f>IF(AND($M2573=$P$7,$B2573&lt;'111'!$N$11),"x","")</f>
        <v/>
      </c>
      <c r="S2573" s="39" t="str">
        <f>IF(ISERROR(FIND('112'!$M$9,G2573,1)),"",IF((AND(FIND('112'!$M$9,G2573,1)&gt;=1,$B2573&gt;='112'!$N$8,$B2573&lt;='112'!$O$8,OR($L2573='112'!$I$6,$M2573='112'!$I$6))),"x",""))</f>
        <v/>
      </c>
      <c r="T2573" s="39" t="str">
        <f>IF(ISERROR(FIND('112'!$M$9,G2573,1)),"",IF((AND(LEFT(G2573,2)=LEFT('112'!$M$9,2),B2573&lt;'112'!$N$8,$L2573='112'!$I$6)),"x",""))</f>
        <v/>
      </c>
      <c r="U2573" s="39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39" t="str">
        <f>IF(OR(TH!L2573=TH!$W$7,M2573=TH!$W$7),"x","")</f>
        <v/>
      </c>
      <c r="X2573" s="39" t="str">
        <f>IF(AND(B2573&gt;='IN-NX'!$P$3,B2573&lt;='IN-NX'!$Q$3,'IN-NX'!$D$7=D2573,OR(LEFT(L2573,2)="15",AND(LEFT(M2573,2)&lt;&gt;"15",LEFT(M2573,2)&lt;&gt;"33"))),"x","")</f>
        <v/>
      </c>
      <c r="Y2573" s="39" t="str">
        <f>IF(AND(OR(LEFT(TH!L2573,2)="15",LEFT(TH!M2573,2)="15"),'152-CT'!$J$8=TH!F2573),"x","")</f>
        <v/>
      </c>
      <c r="Z2573" s="39" t="str">
        <f>IF(AND(OR(LEFT(TH!L2573,2)="15",LEFT(TH!M2573,2)="15"),TK!$E$7=TH!F2573),"x","")</f>
        <v/>
      </c>
      <c r="AA2573" s="39" t="str">
        <f>IF(AND(B2573&lt;=NKC!$N$8,B2573&gt;=NKC!$M$8),"x","")</f>
        <v/>
      </c>
      <c r="AB2573" s="821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112"/>
        <v/>
      </c>
      <c r="C2574" s="191"/>
      <c r="D2574" s="37"/>
      <c r="E2574" s="191"/>
      <c r="F2574" s="192"/>
      <c r="G2574" s="468"/>
      <c r="H2574" s="193"/>
      <c r="I2574" s="256"/>
      <c r="J2574" s="256"/>
      <c r="K2574" s="56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902" t="str">
        <f>IF(AND('341-CT'!$E$9=H2574,OR(LEFT(L2574,3)=$O$7,LEFT(M2574,3)=$O$7)),"x","")</f>
        <v/>
      </c>
      <c r="P2574" s="39" t="str">
        <f>IF(AND($B2574&gt;='111'!$N$11,$B2574&lt;='111'!$O$11,OR($L2574=$P$7,$M2574=$P$7)),"x","")</f>
        <v/>
      </c>
      <c r="Q2574" s="39" t="str">
        <f>IF(AND($L2574=$P$7,$B2574&lt;'111'!$N$11),"x","")</f>
        <v/>
      </c>
      <c r="R2574" s="39" t="str">
        <f>IF(AND($M2574=$P$7,$B2574&lt;'111'!$N$11),"x","")</f>
        <v/>
      </c>
      <c r="S2574" s="39" t="str">
        <f>IF(ISERROR(FIND('112'!$M$9,G2574,1)),"",IF((AND(FIND('112'!$M$9,G2574,1)&gt;=1,$B2574&gt;='112'!$N$8,$B2574&lt;='112'!$O$8,OR($L2574='112'!$I$6,$M2574='112'!$I$6))),"x",""))</f>
        <v/>
      </c>
      <c r="T2574" s="39" t="str">
        <f>IF(ISERROR(FIND('112'!$M$9,G2574,1)),"",IF((AND(LEFT(G2574,2)=LEFT('112'!$M$9,2),B2574&lt;'112'!$N$8,$L2574='112'!$I$6)),"x",""))</f>
        <v/>
      </c>
      <c r="U2574" s="39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39" t="str">
        <f>IF(OR(TH!L2574=TH!$W$7,M2574=TH!$W$7),"x","")</f>
        <v/>
      </c>
      <c r="X2574" s="39" t="str">
        <f>IF(AND(B2574&gt;='IN-NX'!$P$3,B2574&lt;='IN-NX'!$Q$3,'IN-NX'!$D$7=D2574,OR(LEFT(L2574,2)="15",AND(LEFT(M2574,2)&lt;&gt;"15",LEFT(M2574,2)&lt;&gt;"33"))),"x","")</f>
        <v/>
      </c>
      <c r="Y2574" s="39" t="str">
        <f>IF(AND(OR(LEFT(TH!L2574,2)="15",LEFT(TH!M2574,2)="15"),'152-CT'!$J$8=TH!F2574),"x","")</f>
        <v/>
      </c>
      <c r="Z2574" s="39" t="str">
        <f>IF(AND(OR(LEFT(TH!L2574,2)="15",LEFT(TH!M2574,2)="15"),TK!$E$7=TH!F2574),"x","")</f>
        <v/>
      </c>
      <c r="AA2574" s="39" t="str">
        <f>IF(AND(B2574&lt;=NKC!$N$8,B2574&gt;=NKC!$M$8),"x","")</f>
        <v/>
      </c>
      <c r="AB2574" s="821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112"/>
        <v/>
      </c>
      <c r="C2575" s="191"/>
      <c r="D2575" s="37"/>
      <c r="E2575" s="191"/>
      <c r="F2575" s="192"/>
      <c r="G2575" s="468"/>
      <c r="H2575" s="193"/>
      <c r="I2575" s="256"/>
      <c r="J2575" s="256"/>
      <c r="K2575" s="56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902" t="str">
        <f>IF(AND('341-CT'!$E$9=H2575,OR(LEFT(L2575,3)=$O$7,LEFT(M2575,3)=$O$7)),"x","")</f>
        <v/>
      </c>
      <c r="P2575" s="39" t="str">
        <f>IF(AND($B2575&gt;='111'!$N$11,$B2575&lt;='111'!$O$11,OR($L2575=$P$7,$M2575=$P$7)),"x","")</f>
        <v/>
      </c>
      <c r="Q2575" s="39" t="str">
        <f>IF(AND($L2575=$P$7,$B2575&lt;'111'!$N$11),"x","")</f>
        <v/>
      </c>
      <c r="R2575" s="39" t="str">
        <f>IF(AND($M2575=$P$7,$B2575&lt;'111'!$N$11),"x","")</f>
        <v/>
      </c>
      <c r="S2575" s="39" t="str">
        <f>IF(ISERROR(FIND('112'!$M$9,G2575,1)),"",IF((AND(FIND('112'!$M$9,G2575,1)&gt;=1,$B2575&gt;='112'!$N$8,$B2575&lt;='112'!$O$8,OR($L2575='112'!$I$6,$M2575='112'!$I$6))),"x",""))</f>
        <v/>
      </c>
      <c r="T2575" s="39" t="str">
        <f>IF(ISERROR(FIND('112'!$M$9,G2575,1)),"",IF((AND(LEFT(G2575,2)=LEFT('112'!$M$9,2),B2575&lt;'112'!$N$8,$L2575='112'!$I$6)),"x",""))</f>
        <v/>
      </c>
      <c r="U2575" s="39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39" t="str">
        <f>IF(OR(TH!L2575=TH!$W$7,M2575=TH!$W$7),"x","")</f>
        <v/>
      </c>
      <c r="X2575" s="39" t="str">
        <f>IF(AND(B2575&gt;='IN-NX'!$P$3,B2575&lt;='IN-NX'!$Q$3,'IN-NX'!$D$7=D2575,OR(LEFT(L2575,2)="15",AND(LEFT(M2575,2)&lt;&gt;"15",LEFT(M2575,2)&lt;&gt;"33"))),"x","")</f>
        <v/>
      </c>
      <c r="Y2575" s="39" t="str">
        <f>IF(AND(OR(LEFT(TH!L2575,2)="15",LEFT(TH!M2575,2)="15"),'152-CT'!$J$8=TH!F2575),"x","")</f>
        <v/>
      </c>
      <c r="Z2575" s="39" t="str">
        <f>IF(AND(OR(LEFT(TH!L2575,2)="15",LEFT(TH!M2575,2)="15"),TK!$E$7=TH!F2575),"x","")</f>
        <v/>
      </c>
      <c r="AA2575" s="39" t="str">
        <f>IF(AND(B2575&lt;=NKC!$N$8,B2575&gt;=NKC!$M$8),"x","")</f>
        <v/>
      </c>
      <c r="AB2575" s="821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112"/>
        <v/>
      </c>
      <c r="C2576" s="191"/>
      <c r="D2576" s="37"/>
      <c r="E2576" s="191"/>
      <c r="F2576" s="192"/>
      <c r="G2576" s="468"/>
      <c r="H2576" s="193"/>
      <c r="I2576" s="256"/>
      <c r="J2576" s="256"/>
      <c r="K2576" s="56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902" t="str">
        <f>IF(AND('341-CT'!$E$9=H2576,OR(LEFT(L2576,3)=$O$7,LEFT(M2576,3)=$O$7)),"x","")</f>
        <v/>
      </c>
      <c r="P2576" s="39" t="str">
        <f>IF(AND($B2576&gt;='111'!$N$11,$B2576&lt;='111'!$O$11,OR($L2576=$P$7,$M2576=$P$7)),"x","")</f>
        <v/>
      </c>
      <c r="Q2576" s="39" t="str">
        <f>IF(AND($L2576=$P$7,$B2576&lt;'111'!$N$11),"x","")</f>
        <v/>
      </c>
      <c r="R2576" s="39" t="str">
        <f>IF(AND($M2576=$P$7,$B2576&lt;'111'!$N$11),"x","")</f>
        <v/>
      </c>
      <c r="S2576" s="39" t="str">
        <f>IF(ISERROR(FIND('112'!$M$9,G2576,1)),"",IF((AND(FIND('112'!$M$9,G2576,1)&gt;=1,$B2576&gt;='112'!$N$8,$B2576&lt;='112'!$O$8,OR($L2576='112'!$I$6,$M2576='112'!$I$6))),"x",""))</f>
        <v/>
      </c>
      <c r="T2576" s="39" t="str">
        <f>IF(ISERROR(FIND('112'!$M$9,G2576,1)),"",IF((AND(LEFT(G2576,2)=LEFT('112'!$M$9,2),B2576&lt;'112'!$N$8,$L2576='112'!$I$6)),"x",""))</f>
        <v/>
      </c>
      <c r="U2576" s="39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39" t="str">
        <f>IF(OR(TH!L2576=TH!$W$7,M2576=TH!$W$7),"x","")</f>
        <v/>
      </c>
      <c r="X2576" s="39" t="str">
        <f>IF(AND(B2576&gt;='IN-NX'!$P$3,B2576&lt;='IN-NX'!$Q$3,'IN-NX'!$D$7=D2576,OR(LEFT(L2576,2)="15",AND(LEFT(M2576,2)&lt;&gt;"15",LEFT(M2576,2)&lt;&gt;"33"))),"x","")</f>
        <v/>
      </c>
      <c r="Y2576" s="39" t="str">
        <f>IF(AND(OR(LEFT(TH!L2576,2)="15",LEFT(TH!M2576,2)="15"),'152-CT'!$J$8=TH!F2576),"x","")</f>
        <v/>
      </c>
      <c r="Z2576" s="39" t="str">
        <f>IF(AND(OR(LEFT(TH!L2576,2)="15",LEFT(TH!M2576,2)="15"),TK!$E$7=TH!F2576),"x","")</f>
        <v/>
      </c>
      <c r="AA2576" s="39" t="str">
        <f>IF(AND(B2576&lt;=NKC!$N$8,B2576&gt;=NKC!$M$8),"x","")</f>
        <v/>
      </c>
      <c r="AB2576" s="821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112"/>
        <v/>
      </c>
      <c r="C2577" s="191"/>
      <c r="D2577" s="37"/>
      <c r="E2577" s="191"/>
      <c r="F2577" s="192"/>
      <c r="G2577" s="468"/>
      <c r="H2577" s="193"/>
      <c r="I2577" s="256"/>
      <c r="J2577" s="256"/>
      <c r="K2577" s="568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902" t="str">
        <f>IF(AND('341-CT'!$E$9=H2577,OR(LEFT(L2577,3)=$O$7,LEFT(M2577,3)=$O$7)),"x","")</f>
        <v/>
      </c>
      <c r="P2577" s="39" t="str">
        <f>IF(AND($B2577&gt;='111'!$N$11,$B2577&lt;='111'!$O$11,OR($L2577=$P$7,$M2577=$P$7)),"x","")</f>
        <v/>
      </c>
      <c r="Q2577" s="39" t="str">
        <f>IF(AND($L2577=$P$7,$B2577&lt;'111'!$N$11),"x","")</f>
        <v/>
      </c>
      <c r="R2577" s="39" t="str">
        <f>IF(AND($M2577=$P$7,$B2577&lt;'111'!$N$11),"x","")</f>
        <v/>
      </c>
      <c r="S2577" s="39" t="str">
        <f>IF(ISERROR(FIND('112'!$M$9,G2577,1)),"",IF((AND(FIND('112'!$M$9,G2577,1)&gt;=1,$B2577&gt;='112'!$N$8,$B2577&lt;='112'!$O$8,OR($L2577='112'!$I$6,$M2577='112'!$I$6))),"x",""))</f>
        <v/>
      </c>
      <c r="T2577" s="39" t="str">
        <f>IF(ISERROR(FIND('112'!$M$9,G2577,1)),"",IF((AND(LEFT(G2577,2)=LEFT('112'!$M$9,2),B2577&lt;'112'!$N$8,$L2577='112'!$I$6)),"x",""))</f>
        <v/>
      </c>
      <c r="U2577" s="39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39" t="str">
        <f>IF(OR(TH!L2577=TH!$W$7,M2577=TH!$W$7),"x","")</f>
        <v/>
      </c>
      <c r="X2577" s="39" t="str">
        <f>IF(AND(B2577&gt;='IN-NX'!$P$3,B2577&lt;='IN-NX'!$Q$3,'IN-NX'!$D$7=D2577,OR(LEFT(L2577,2)="15",AND(LEFT(M2577,2)&lt;&gt;"15",LEFT(M2577,2)&lt;&gt;"33"))),"x","")</f>
        <v/>
      </c>
      <c r="Y2577" s="39" t="str">
        <f>IF(AND(OR(LEFT(TH!L2577,2)="15",LEFT(TH!M2577,2)="15"),'152-CT'!$J$8=TH!F2577),"x","")</f>
        <v/>
      </c>
      <c r="Z2577" s="39" t="str">
        <f>IF(AND(OR(LEFT(TH!L2577,2)="15",LEFT(TH!M2577,2)="15"),TK!$E$7=TH!F2577),"x","")</f>
        <v/>
      </c>
      <c r="AA2577" s="39" t="str">
        <f>IF(AND(B2577&lt;=NKC!$N$8,B2577&gt;=NKC!$M$8),"x","")</f>
        <v/>
      </c>
      <c r="AB2577" s="821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112"/>
        <v/>
      </c>
      <c r="C2578" s="191"/>
      <c r="D2578" s="37"/>
      <c r="E2578" s="191"/>
      <c r="F2578" s="192"/>
      <c r="G2578" s="468"/>
      <c r="H2578" s="193"/>
      <c r="I2578" s="256"/>
      <c r="J2578" s="256"/>
      <c r="K2578" s="568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902" t="str">
        <f>IF(AND('341-CT'!$E$9=H2578,OR(LEFT(L2578,3)=$O$7,LEFT(M2578,3)=$O$7)),"x","")</f>
        <v/>
      </c>
      <c r="P2578" s="39" t="str">
        <f>IF(AND($B2578&gt;='111'!$N$11,$B2578&lt;='111'!$O$11,OR($L2578=$P$7,$M2578=$P$7)),"x","")</f>
        <v/>
      </c>
      <c r="Q2578" s="39" t="str">
        <f>IF(AND($L2578=$P$7,$B2578&lt;'111'!$N$11),"x","")</f>
        <v/>
      </c>
      <c r="R2578" s="39" t="str">
        <f>IF(AND($M2578=$P$7,$B2578&lt;'111'!$N$11),"x","")</f>
        <v/>
      </c>
      <c r="S2578" s="39" t="str">
        <f>IF(ISERROR(FIND('112'!$M$9,G2578,1)),"",IF((AND(FIND('112'!$M$9,G2578,1)&gt;=1,$B2578&gt;='112'!$N$8,$B2578&lt;='112'!$O$8,OR($L2578='112'!$I$6,$M2578='112'!$I$6))),"x",""))</f>
        <v/>
      </c>
      <c r="T2578" s="39" t="str">
        <f>IF(ISERROR(FIND('112'!$M$9,G2578,1)),"",IF((AND(LEFT(G2578,2)=LEFT('112'!$M$9,2),B2578&lt;'112'!$N$8,$L2578='112'!$I$6)),"x",""))</f>
        <v/>
      </c>
      <c r="U2578" s="39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39" t="str">
        <f>IF(OR(TH!L2578=TH!$W$7,M2578=TH!$W$7),"x","")</f>
        <v/>
      </c>
      <c r="X2578" s="39" t="str">
        <f>IF(AND(B2578&gt;='IN-NX'!$P$3,B2578&lt;='IN-NX'!$Q$3,'IN-NX'!$D$7=D2578,OR(LEFT(L2578,2)="15",AND(LEFT(M2578,2)&lt;&gt;"15",LEFT(M2578,2)&lt;&gt;"33"))),"x","")</f>
        <v/>
      </c>
      <c r="Y2578" s="39" t="str">
        <f>IF(AND(OR(LEFT(TH!L2578,2)="15",LEFT(TH!M2578,2)="15"),'152-CT'!$J$8=TH!F2578),"x","")</f>
        <v/>
      </c>
      <c r="Z2578" s="39" t="str">
        <f>IF(AND(OR(LEFT(TH!L2578,2)="15",LEFT(TH!M2578,2)="15"),TK!$E$7=TH!F2578),"x","")</f>
        <v/>
      </c>
      <c r="AA2578" s="39" t="str">
        <f>IF(AND(B2578&lt;=NKC!$N$8,B2578&gt;=NKC!$M$8),"x","")</f>
        <v/>
      </c>
      <c r="AB2578" s="821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112"/>
        <v/>
      </c>
      <c r="C2579" s="191"/>
      <c r="D2579" s="191"/>
      <c r="E2579" s="191"/>
      <c r="F2579" s="192"/>
      <c r="G2579" s="468"/>
      <c r="H2579" s="193"/>
      <c r="I2579" s="256"/>
      <c r="J2579" s="256"/>
      <c r="K2579" s="568"/>
      <c r="L2579" s="194"/>
      <c r="M2579" s="194"/>
      <c r="N2579" s="39" t="str">
        <f>IF(AND('331-CT'!$E$7=TH!H2579,OR(L2579="331",M2579="331")),"331",IF(AND(OR(L2579="131",M2579="131"),H2579='131-CT'!$E$7),"131",""))</f>
        <v/>
      </c>
      <c r="O2579" s="902" t="str">
        <f>IF(AND('341-CT'!$E$9=H2579,OR(LEFT(L2579,3)=$O$7,LEFT(M2579,3)=$O$7)),"x","")</f>
        <v/>
      </c>
      <c r="P2579" s="39" t="str">
        <f>IF(AND($B2579&gt;='111'!$N$11,$B2579&lt;='111'!$O$11,OR($L2579=$P$7,$M2579=$P$7)),"x","")</f>
        <v/>
      </c>
      <c r="Q2579" s="39" t="str">
        <f>IF(AND($L2579=$P$7,$B2579&lt;'111'!$N$11),"x","")</f>
        <v/>
      </c>
      <c r="R2579" s="39" t="str">
        <f>IF(AND($M2579=$P$7,$B2579&lt;'111'!$N$11),"x","")</f>
        <v/>
      </c>
      <c r="S2579" s="39" t="str">
        <f>IF(ISERROR(FIND('112'!$M$9,G2579,1)),"",IF((AND(FIND('112'!$M$9,G2579,1)&gt;=1,$B2579&gt;='112'!$N$8,$B2579&lt;='112'!$O$8,OR($L2579='112'!$I$6,$M2579='112'!$I$6))),"x",""))</f>
        <v/>
      </c>
      <c r="T2579" s="39" t="str">
        <f>IF(ISERROR(FIND('112'!$M$9,G2579,1)),"",IF((AND(LEFT(G2579,2)=LEFT('112'!$M$9,2),B2579&lt;'112'!$N$8,$L2579='112'!$I$6)),"x",""))</f>
        <v/>
      </c>
      <c r="U2579" s="39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39" t="str">
        <f>IF(OR(TH!L2579=TH!$W$7,M2579=TH!$W$7),"x","")</f>
        <v/>
      </c>
      <c r="X2579" s="39" t="str">
        <f>IF(AND(B2579&gt;='IN-NX'!$P$3,B2579&lt;='IN-NX'!$Q$3,'IN-NX'!$D$7=D2579,OR(LEFT(L2579,2)="15",AND(LEFT(M2579,2)&lt;&gt;"15",LEFT(M2579,2)&lt;&gt;"33"))),"x","")</f>
        <v/>
      </c>
      <c r="Y2579" s="39" t="str">
        <f>IF(AND(OR(LEFT(TH!L2579,2)="15",LEFT(TH!M2579,2)="15"),'152-CT'!$J$8=TH!F2579),"x","")</f>
        <v/>
      </c>
      <c r="Z2579" s="39" t="str">
        <f>IF(AND(OR(LEFT(TH!L2579,2)="15",LEFT(TH!M2579,2)="15"),TK!$E$7=TH!F2579),"x","")</f>
        <v/>
      </c>
      <c r="AA2579" s="39" t="str">
        <f>IF(AND(B2579&lt;=NKC!$N$8,B2579&gt;=NKC!$M$8),"x","")</f>
        <v/>
      </c>
      <c r="AB2579" s="821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112"/>
        <v/>
      </c>
      <c r="C2580" s="191"/>
      <c r="D2580" s="191"/>
      <c r="E2580" s="191"/>
      <c r="F2580" s="192"/>
      <c r="G2580" s="468"/>
      <c r="H2580" s="193"/>
      <c r="I2580" s="256"/>
      <c r="J2580" s="256"/>
      <c r="K2580" s="568"/>
      <c r="L2580" s="194"/>
      <c r="M2580" s="194"/>
      <c r="N2580" s="39" t="str">
        <f>IF(AND('331-CT'!$E$7=TH!H2580,OR(L2580="331",M2580="331")),"331",IF(AND(OR(L2580="131",M2580="131"),H2580='131-CT'!$E$7),"131",""))</f>
        <v/>
      </c>
      <c r="O2580" s="902" t="str">
        <f>IF(AND('341-CT'!$E$9=H2580,OR(LEFT(L2580,3)=$O$7,LEFT(M2580,3)=$O$7)),"x","")</f>
        <v/>
      </c>
      <c r="P2580" s="39" t="str">
        <f>IF(AND($B2580&gt;='111'!$N$11,$B2580&lt;='111'!$O$11,OR($L2580=$P$7,$M2580=$P$7)),"x","")</f>
        <v/>
      </c>
      <c r="Q2580" s="39" t="str">
        <f>IF(AND($L2580=$P$7,$B2580&lt;'111'!$N$11),"x","")</f>
        <v/>
      </c>
      <c r="R2580" s="39" t="str">
        <f>IF(AND($M2580=$P$7,$B2580&lt;'111'!$N$11),"x","")</f>
        <v/>
      </c>
      <c r="S2580" s="39" t="str">
        <f>IF(ISERROR(FIND('112'!$M$9,G2580,1)),"",IF((AND(FIND('112'!$M$9,G2580,1)&gt;=1,$B2580&gt;='112'!$N$8,$B2580&lt;='112'!$O$8,OR($L2580='112'!$I$6,$M2580='112'!$I$6))),"x",""))</f>
        <v/>
      </c>
      <c r="T2580" s="39" t="str">
        <f>IF(ISERROR(FIND('112'!$M$9,G2580,1)),"",IF((AND(LEFT(G2580,2)=LEFT('112'!$M$9,2),B2580&lt;'112'!$N$8,$L2580='112'!$I$6)),"x",""))</f>
        <v/>
      </c>
      <c r="U2580" s="39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39" t="str">
        <f>IF(OR(TH!L2580=TH!$W$7,M2580=TH!$W$7),"x","")</f>
        <v/>
      </c>
      <c r="X2580" s="39" t="str">
        <f>IF(AND(B2580&gt;='IN-NX'!$P$3,B2580&lt;='IN-NX'!$Q$3,'IN-NX'!$D$7=D2580,OR(LEFT(L2580,2)="15",AND(LEFT(M2580,2)&lt;&gt;"15",LEFT(M2580,2)&lt;&gt;"33"))),"x","")</f>
        <v/>
      </c>
      <c r="Y2580" s="39" t="str">
        <f>IF(AND(OR(LEFT(TH!L2580,2)="15",LEFT(TH!M2580,2)="15"),'152-CT'!$J$8=TH!F2580),"x","")</f>
        <v/>
      </c>
      <c r="Z2580" s="39" t="str">
        <f>IF(AND(OR(LEFT(TH!L2580,2)="15",LEFT(TH!M2580,2)="15"),TK!$E$7=TH!F2580),"x","")</f>
        <v/>
      </c>
      <c r="AA2580" s="39" t="str">
        <f>IF(AND(B2580&lt;=NKC!$N$8,B2580&gt;=NKC!$M$8),"x","")</f>
        <v/>
      </c>
      <c r="AB2580" s="821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112"/>
        <v/>
      </c>
      <c r="C2581" s="191"/>
      <c r="D2581" s="191"/>
      <c r="E2581" s="191"/>
      <c r="F2581" s="192"/>
      <c r="G2581" s="468"/>
      <c r="H2581" s="193"/>
      <c r="I2581" s="256"/>
      <c r="J2581" s="256"/>
      <c r="K2581" s="568"/>
      <c r="L2581" s="194"/>
      <c r="M2581" s="194"/>
      <c r="N2581" s="39" t="str">
        <f>IF(AND('331-CT'!$E$7=TH!H2581,OR(L2581="331",M2581="331")),"331",IF(AND(OR(L2581="131",M2581="131"),H2581='131-CT'!$E$7),"131",""))</f>
        <v/>
      </c>
      <c r="O2581" s="902" t="str">
        <f>IF(AND('341-CT'!$E$9=H2581,OR(LEFT(L2581,3)=$O$7,LEFT(M2581,3)=$O$7)),"x","")</f>
        <v/>
      </c>
      <c r="P2581" s="39" t="str">
        <f>IF(AND($B2581&gt;='111'!$N$11,$B2581&lt;='111'!$O$11,OR($L2581=$P$7,$M2581=$P$7)),"x","")</f>
        <v/>
      </c>
      <c r="Q2581" s="39" t="str">
        <f>IF(AND($L2581=$P$7,$B2581&lt;'111'!$N$11),"x","")</f>
        <v/>
      </c>
      <c r="R2581" s="39" t="str">
        <f>IF(AND($M2581=$P$7,$B2581&lt;'111'!$N$11),"x","")</f>
        <v/>
      </c>
      <c r="S2581" s="39" t="str">
        <f>IF(ISERROR(FIND('112'!$M$9,G2581,1)),"",IF((AND(FIND('112'!$M$9,G2581,1)&gt;=1,$B2581&gt;='112'!$N$8,$B2581&lt;='112'!$O$8,OR($L2581='112'!$I$6,$M2581='112'!$I$6))),"x",""))</f>
        <v/>
      </c>
      <c r="T2581" s="39" t="str">
        <f>IF(ISERROR(FIND('112'!$M$9,G2581,1)),"",IF((AND(LEFT(G2581,2)=LEFT('112'!$M$9,2),B2581&lt;'112'!$N$8,$L2581='112'!$I$6)),"x",""))</f>
        <v/>
      </c>
      <c r="U2581" s="39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39" t="str">
        <f>IF(OR(TH!L2581=TH!$W$7,M2581=TH!$W$7),"x","")</f>
        <v/>
      </c>
      <c r="X2581" s="39" t="str">
        <f>IF(AND(B2581&gt;='IN-NX'!$P$3,B2581&lt;='IN-NX'!$Q$3,'IN-NX'!$D$7=D2581,OR(LEFT(L2581,2)="15",AND(LEFT(M2581,2)&lt;&gt;"15",LEFT(M2581,2)&lt;&gt;"33"))),"x","")</f>
        <v/>
      </c>
      <c r="Y2581" s="39" t="str">
        <f>IF(AND(OR(LEFT(TH!L2581,2)="15",LEFT(TH!M2581,2)="15"),'152-CT'!$J$8=TH!F2581),"x","")</f>
        <v/>
      </c>
      <c r="Z2581" s="39" t="str">
        <f>IF(AND(OR(LEFT(TH!L2581,2)="15",LEFT(TH!M2581,2)="15"),TK!$E$7=TH!F2581),"x","")</f>
        <v/>
      </c>
      <c r="AA2581" s="39" t="str">
        <f>IF(AND(B2581&lt;=NKC!$N$8,B2581&gt;=NKC!$M$8),"x","")</f>
        <v/>
      </c>
      <c r="AB2581" s="821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112"/>
        <v/>
      </c>
      <c r="C2582" s="191"/>
      <c r="D2582" s="191"/>
      <c r="E2582" s="191"/>
      <c r="F2582" s="192"/>
      <c r="G2582" s="468"/>
      <c r="H2582" s="193"/>
      <c r="I2582" s="256"/>
      <c r="J2582" s="256"/>
      <c r="K2582" s="568"/>
      <c r="L2582" s="194"/>
      <c r="M2582" s="194"/>
      <c r="N2582" s="39" t="str">
        <f>IF(AND('331-CT'!$E$7=TH!H2582,OR(L2582="331",M2582="331")),"331",IF(AND(OR(L2582="131",M2582="131"),H2582='131-CT'!$E$7),"131",""))</f>
        <v/>
      </c>
      <c r="O2582" s="902" t="str">
        <f>IF(AND('341-CT'!$E$9=H2582,OR(LEFT(L2582,3)=$O$7,LEFT(M2582,3)=$O$7)),"x","")</f>
        <v/>
      </c>
      <c r="P2582" s="39" t="str">
        <f>IF(AND($B2582&gt;='111'!$N$11,$B2582&lt;='111'!$O$11,OR($L2582=$P$7,$M2582=$P$7)),"x","")</f>
        <v/>
      </c>
      <c r="Q2582" s="39" t="str">
        <f>IF(AND($L2582=$P$7,$B2582&lt;'111'!$N$11),"x","")</f>
        <v/>
      </c>
      <c r="R2582" s="39" t="str">
        <f>IF(AND($M2582=$P$7,$B2582&lt;'111'!$N$11),"x","")</f>
        <v/>
      </c>
      <c r="S2582" s="39" t="str">
        <f>IF(ISERROR(FIND('112'!$M$9,G2582,1)),"",IF((AND(FIND('112'!$M$9,G2582,1)&gt;=1,$B2582&gt;='112'!$N$8,$B2582&lt;='112'!$O$8,OR($L2582='112'!$I$6,$M2582='112'!$I$6))),"x",""))</f>
        <v/>
      </c>
      <c r="T2582" s="39" t="str">
        <f>IF(ISERROR(FIND('112'!$M$9,G2582,1)),"",IF((AND(LEFT(G2582,2)=LEFT('112'!$M$9,2),B2582&lt;'112'!$N$8,$L2582='112'!$I$6)),"x",""))</f>
        <v/>
      </c>
      <c r="U2582" s="39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39" t="str">
        <f>IF(OR(TH!L2582=TH!$W$7,M2582=TH!$W$7),"x","")</f>
        <v/>
      </c>
      <c r="X2582" s="39" t="str">
        <f>IF(AND(B2582&gt;='IN-NX'!$P$3,B2582&lt;='IN-NX'!$Q$3,'IN-NX'!$D$7=D2582,OR(LEFT(L2582,2)="15",AND(LEFT(M2582,2)&lt;&gt;"15",LEFT(M2582,2)&lt;&gt;"33"))),"x","")</f>
        <v/>
      </c>
      <c r="Y2582" s="39" t="str">
        <f>IF(AND(OR(LEFT(TH!L2582,2)="15",LEFT(TH!M2582,2)="15"),'152-CT'!$J$8=TH!F2582),"x","")</f>
        <v/>
      </c>
      <c r="Z2582" s="39" t="str">
        <f>IF(AND(OR(LEFT(TH!L2582,2)="15",LEFT(TH!M2582,2)="15"),TK!$E$7=TH!F2582),"x","")</f>
        <v/>
      </c>
      <c r="AA2582" s="39" t="str">
        <f>IF(AND(B2582&lt;=NKC!$N$8,B2582&gt;=NKC!$M$8),"x","")</f>
        <v/>
      </c>
      <c r="AB2582" s="821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112"/>
        <v/>
      </c>
      <c r="C2583" s="191"/>
      <c r="D2583" s="37"/>
      <c r="E2583" s="191"/>
      <c r="F2583" s="40"/>
      <c r="G2583" s="40"/>
      <c r="H2583" s="7"/>
      <c r="I2583" s="256"/>
      <c r="J2583" s="256"/>
      <c r="K2583" s="56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902" t="str">
        <f>IF(AND('341-CT'!$E$9=H2583,OR(LEFT(L2583,3)=$O$7,LEFT(M2583,3)=$O$7)),"x","")</f>
        <v/>
      </c>
      <c r="P2583" s="39" t="str">
        <f>IF(AND($B2583&gt;='111'!$N$11,$B2583&lt;='111'!$O$11,OR($L2583=$P$7,$M2583=$P$7)),"x","")</f>
        <v/>
      </c>
      <c r="Q2583" s="39" t="str">
        <f>IF(AND($L2583=$P$7,$B2583&lt;'111'!$N$11),"x","")</f>
        <v/>
      </c>
      <c r="R2583" s="39" t="str">
        <f>IF(AND($M2583=$P$7,$B2583&lt;'111'!$N$11),"x","")</f>
        <v/>
      </c>
      <c r="S2583" s="39" t="str">
        <f>IF(ISERROR(FIND('112'!$M$9,G2583,1)),"",IF((AND(FIND('112'!$M$9,G2583,1)&gt;=1,$B2583&gt;='112'!$N$8,$B2583&lt;='112'!$O$8,OR($L2583='112'!$I$6,$M2583='112'!$I$6))),"x",""))</f>
        <v/>
      </c>
      <c r="T2583" s="39" t="str">
        <f>IF(ISERROR(FIND('112'!$M$9,G2583,1)),"",IF((AND(LEFT(G2583,2)=LEFT('112'!$M$9,2),B2583&lt;'112'!$N$8,$L2583='112'!$I$6)),"x",""))</f>
        <v/>
      </c>
      <c r="U2583" s="39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39" t="str">
        <f>IF(OR(TH!L2583=TH!$W$7,M2583=TH!$W$7),"x","")</f>
        <v/>
      </c>
      <c r="X2583" s="39" t="str">
        <f>IF(AND(B2583&gt;='IN-NX'!$P$3,B2583&lt;='IN-NX'!$Q$3,'IN-NX'!$D$7=D2583,OR(LEFT(L2583,2)="15",AND(LEFT(M2583,2)&lt;&gt;"15",LEFT(M2583,2)&lt;&gt;"33"))),"x","")</f>
        <v/>
      </c>
      <c r="Y2583" s="39" t="str">
        <f>IF(AND(OR(LEFT(TH!L2583,2)="15",LEFT(TH!M2583,2)="15"),'152-CT'!$J$8=TH!F2583),"x","")</f>
        <v/>
      </c>
      <c r="Z2583" s="39" t="str">
        <f>IF(AND(OR(LEFT(TH!L2583,2)="15",LEFT(TH!M2583,2)="15"),TK!$E$7=TH!F2583),"x","")</f>
        <v/>
      </c>
      <c r="AA2583" s="39" t="str">
        <f>IF(AND(B2583&lt;=NKC!$N$8,B2583&gt;=NKC!$M$8),"x","")</f>
        <v/>
      </c>
      <c r="AB2583" s="821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112"/>
        <v/>
      </c>
      <c r="C2584" s="191"/>
      <c r="D2584" s="37"/>
      <c r="E2584" s="191"/>
      <c r="F2584" s="40"/>
      <c r="G2584" s="40"/>
      <c r="H2584" s="7"/>
      <c r="I2584" s="256"/>
      <c r="J2584" s="256"/>
      <c r="K2584" s="56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902" t="str">
        <f>IF(AND('341-CT'!$E$9=H2584,OR(LEFT(L2584,3)=$O$7,LEFT(M2584,3)=$O$7)),"x","")</f>
        <v/>
      </c>
      <c r="P2584" s="39" t="str">
        <f>IF(AND($B2584&gt;='111'!$N$11,$B2584&lt;='111'!$O$11,OR($L2584=$P$7,$M2584=$P$7)),"x","")</f>
        <v/>
      </c>
      <c r="Q2584" s="39" t="str">
        <f>IF(AND($L2584=$P$7,$B2584&lt;'111'!$N$11),"x","")</f>
        <v/>
      </c>
      <c r="R2584" s="39" t="str">
        <f>IF(AND($M2584=$P$7,$B2584&lt;'111'!$N$11),"x","")</f>
        <v/>
      </c>
      <c r="S2584" s="39" t="str">
        <f>IF(ISERROR(FIND('112'!$M$9,G2584,1)),"",IF((AND(FIND('112'!$M$9,G2584,1)&gt;=1,$B2584&gt;='112'!$N$8,$B2584&lt;='112'!$O$8,OR($L2584='112'!$I$6,$M2584='112'!$I$6))),"x",""))</f>
        <v/>
      </c>
      <c r="T2584" s="39" t="str">
        <f>IF(ISERROR(FIND('112'!$M$9,G2584,1)),"",IF((AND(LEFT(G2584,2)=LEFT('112'!$M$9,2),B2584&lt;'112'!$N$8,$L2584='112'!$I$6)),"x",""))</f>
        <v/>
      </c>
      <c r="U2584" s="39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39" t="str">
        <f>IF(OR(TH!L2584=TH!$W$7,M2584=TH!$W$7),"x","")</f>
        <v/>
      </c>
      <c r="X2584" s="39" t="str">
        <f>IF(AND(B2584&gt;='IN-NX'!$P$3,B2584&lt;='IN-NX'!$Q$3,'IN-NX'!$D$7=D2584,OR(LEFT(L2584,2)="15",AND(LEFT(M2584,2)&lt;&gt;"15",LEFT(M2584,2)&lt;&gt;"33"))),"x","")</f>
        <v/>
      </c>
      <c r="Y2584" s="39" t="str">
        <f>IF(AND(OR(LEFT(TH!L2584,2)="15",LEFT(TH!M2584,2)="15"),'152-CT'!$J$8=TH!F2584),"x","")</f>
        <v/>
      </c>
      <c r="Z2584" s="39" t="str">
        <f>IF(AND(OR(LEFT(TH!L2584,2)="15",LEFT(TH!M2584,2)="15"),TK!$E$7=TH!F2584),"x","")</f>
        <v/>
      </c>
      <c r="AA2584" s="39" t="str">
        <f>IF(AND(B2584&lt;=NKC!$N$8,B2584&gt;=NKC!$M$8),"x","")</f>
        <v/>
      </c>
      <c r="AB2584" s="821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112"/>
        <v/>
      </c>
      <c r="C2585" s="191"/>
      <c r="D2585" s="37"/>
      <c r="E2585" s="191"/>
      <c r="F2585" s="40"/>
      <c r="G2585" s="40"/>
      <c r="H2585" s="7"/>
      <c r="I2585" s="256"/>
      <c r="J2585" s="256"/>
      <c r="K2585" s="56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902" t="str">
        <f>IF(AND('341-CT'!$E$9=H2585,OR(LEFT(L2585,3)=$O$7,LEFT(M2585,3)=$O$7)),"x","")</f>
        <v/>
      </c>
      <c r="P2585" s="39" t="str">
        <f>IF(AND($B2585&gt;='111'!$N$11,$B2585&lt;='111'!$O$11,OR($L2585=$P$7,$M2585=$P$7)),"x","")</f>
        <v/>
      </c>
      <c r="Q2585" s="39" t="str">
        <f>IF(AND($L2585=$P$7,$B2585&lt;'111'!$N$11),"x","")</f>
        <v/>
      </c>
      <c r="R2585" s="39" t="str">
        <f>IF(AND($M2585=$P$7,$B2585&lt;'111'!$N$11),"x","")</f>
        <v/>
      </c>
      <c r="S2585" s="39" t="str">
        <f>IF(ISERROR(FIND('112'!$M$9,G2585,1)),"",IF((AND(FIND('112'!$M$9,G2585,1)&gt;=1,$B2585&gt;='112'!$N$8,$B2585&lt;='112'!$O$8,OR($L2585='112'!$I$6,$M2585='112'!$I$6))),"x",""))</f>
        <v/>
      </c>
      <c r="T2585" s="39" t="str">
        <f>IF(ISERROR(FIND('112'!$M$9,G2585,1)),"",IF((AND(LEFT(G2585,2)=LEFT('112'!$M$9,2),B2585&lt;'112'!$N$8,$L2585='112'!$I$6)),"x",""))</f>
        <v/>
      </c>
      <c r="U2585" s="39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39" t="str">
        <f>IF(OR(TH!L2585=TH!$W$7,M2585=TH!$W$7),"x","")</f>
        <v/>
      </c>
      <c r="X2585" s="39" t="str">
        <f>IF(AND(B2585&gt;='IN-NX'!$P$3,B2585&lt;='IN-NX'!$Q$3,'IN-NX'!$D$7=D2585,OR(LEFT(L2585,2)="15",AND(LEFT(M2585,2)&lt;&gt;"15",LEFT(M2585,2)&lt;&gt;"33"))),"x","")</f>
        <v/>
      </c>
      <c r="Y2585" s="39" t="str">
        <f>IF(AND(OR(LEFT(TH!L2585,2)="15",LEFT(TH!M2585,2)="15"),'152-CT'!$J$8=TH!F2585),"x","")</f>
        <v/>
      </c>
      <c r="Z2585" s="39" t="str">
        <f>IF(AND(OR(LEFT(TH!L2585,2)="15",LEFT(TH!M2585,2)="15"),TK!$E$7=TH!F2585),"x","")</f>
        <v/>
      </c>
      <c r="AA2585" s="39" t="str">
        <f>IF(AND(B2585&lt;=NKC!$N$8,B2585&gt;=NKC!$M$8),"x","")</f>
        <v/>
      </c>
      <c r="AB2585" s="821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12"/>
        <v/>
      </c>
      <c r="C2586" s="191"/>
      <c r="D2586" s="37"/>
      <c r="E2586" s="191"/>
      <c r="F2586" s="192"/>
      <c r="G2586" s="468"/>
      <c r="H2586" s="193"/>
      <c r="I2586" s="256"/>
      <c r="J2586" s="256"/>
      <c r="K2586" s="56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902" t="str">
        <f>IF(AND('341-CT'!$E$9=H2586,OR(LEFT(L2586,3)=$O$7,LEFT(M2586,3)=$O$7)),"x","")</f>
        <v/>
      </c>
      <c r="P2586" s="39" t="str">
        <f>IF(AND($B2586&gt;='111'!$N$11,$B2586&lt;='111'!$O$11,OR($L2586=$P$7,$M2586=$P$7)),"x","")</f>
        <v/>
      </c>
      <c r="Q2586" s="39" t="str">
        <f>IF(AND($L2586=$P$7,$B2586&lt;'111'!$N$11),"x","")</f>
        <v/>
      </c>
      <c r="R2586" s="39" t="str">
        <f>IF(AND($M2586=$P$7,$B2586&lt;'111'!$N$11),"x","")</f>
        <v/>
      </c>
      <c r="S2586" s="39" t="str">
        <f>IF(ISERROR(FIND('112'!$M$9,G2586,1)),"",IF((AND(FIND('112'!$M$9,G2586,1)&gt;=1,$B2586&gt;='112'!$N$8,$B2586&lt;='112'!$O$8,OR($L2586='112'!$I$6,$M2586='112'!$I$6))),"x",""))</f>
        <v/>
      </c>
      <c r="T2586" s="39" t="str">
        <f>IF(ISERROR(FIND('112'!$M$9,G2586,1)),"",IF((AND(LEFT(G2586,2)=LEFT('112'!$M$9,2),B2586&lt;'112'!$N$8,$L2586='112'!$I$6)),"x",""))</f>
        <v/>
      </c>
      <c r="U2586" s="39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39" t="str">
        <f>IF(OR(TH!L2586=TH!$W$7,M2586=TH!$W$7),"x","")</f>
        <v/>
      </c>
      <c r="X2586" s="39" t="str">
        <f>IF(AND(B2586&gt;='IN-NX'!$P$3,B2586&lt;='IN-NX'!$Q$3,'IN-NX'!$D$7=D2586,OR(LEFT(L2586,2)="15",AND(LEFT(M2586,2)&lt;&gt;"15",LEFT(M2586,2)&lt;&gt;"33"))),"x","")</f>
        <v/>
      </c>
      <c r="Y2586" s="39" t="str">
        <f>IF(AND(OR(LEFT(TH!L2586,2)="15",LEFT(TH!M2586,2)="15"),'152-CT'!$J$8=TH!F2586),"x","")</f>
        <v/>
      </c>
      <c r="Z2586" s="39" t="str">
        <f>IF(AND(OR(LEFT(TH!L2586,2)="15",LEFT(TH!M2586,2)="15"),TK!$E$7=TH!F2586),"x","")</f>
        <v/>
      </c>
      <c r="AA2586" s="39" t="str">
        <f>IF(AND(B2586&lt;=NKC!$N$8,B2586&gt;=NKC!$M$8),"x","")</f>
        <v/>
      </c>
      <c r="AB2586" s="821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12"/>
        <v/>
      </c>
      <c r="C2587" s="191"/>
      <c r="D2587" s="37"/>
      <c r="E2587" s="191"/>
      <c r="F2587" s="192"/>
      <c r="G2587" s="468"/>
      <c r="H2587" s="193"/>
      <c r="I2587" s="256"/>
      <c r="J2587" s="256"/>
      <c r="K2587" s="568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902" t="str">
        <f>IF(AND('341-CT'!$E$9=H2587,OR(LEFT(L2587,3)=$O$7,LEFT(M2587,3)=$O$7)),"x","")</f>
        <v/>
      </c>
      <c r="P2587" s="39" t="str">
        <f>IF(AND($B2587&gt;='111'!$N$11,$B2587&lt;='111'!$O$11,OR($L2587=$P$7,$M2587=$P$7)),"x","")</f>
        <v/>
      </c>
      <c r="Q2587" s="39" t="str">
        <f>IF(AND($L2587=$P$7,$B2587&lt;'111'!$N$11),"x","")</f>
        <v/>
      </c>
      <c r="R2587" s="39" t="str">
        <f>IF(AND($M2587=$P$7,$B2587&lt;'111'!$N$11),"x","")</f>
        <v/>
      </c>
      <c r="S2587" s="39" t="str">
        <f>IF(ISERROR(FIND('112'!$M$9,G2587,1)),"",IF((AND(FIND('112'!$M$9,G2587,1)&gt;=1,$B2587&gt;='112'!$N$8,$B2587&lt;='112'!$O$8,OR($L2587='112'!$I$6,$M2587='112'!$I$6))),"x",""))</f>
        <v/>
      </c>
      <c r="T2587" s="39" t="str">
        <f>IF(ISERROR(FIND('112'!$M$9,G2587,1)),"",IF((AND(LEFT(G2587,2)=LEFT('112'!$M$9,2),B2587&lt;'112'!$N$8,$L2587='112'!$I$6)),"x",""))</f>
        <v/>
      </c>
      <c r="U2587" s="39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39" t="str">
        <f>IF(OR(TH!L2587=TH!$W$7,M2587=TH!$W$7),"x","")</f>
        <v/>
      </c>
      <c r="X2587" s="39" t="str">
        <f>IF(AND(B2587&gt;='IN-NX'!$P$3,B2587&lt;='IN-NX'!$Q$3,'IN-NX'!$D$7=D2587,OR(LEFT(L2587,2)="15",AND(LEFT(M2587,2)&lt;&gt;"15",LEFT(M2587,2)&lt;&gt;"33"))),"x","")</f>
        <v/>
      </c>
      <c r="Y2587" s="39" t="str">
        <f>IF(AND(OR(LEFT(TH!L2587,2)="15",LEFT(TH!M2587,2)="15"),'152-CT'!$J$8=TH!F2587),"x","")</f>
        <v/>
      </c>
      <c r="Z2587" s="39" t="str">
        <f>IF(AND(OR(LEFT(TH!L2587,2)="15",LEFT(TH!M2587,2)="15"),TK!$E$7=TH!F2587),"x","")</f>
        <v/>
      </c>
      <c r="AA2587" s="39" t="str">
        <f>IF(AND(B2587&lt;=NKC!$N$8,B2587&gt;=NKC!$M$8),"x","")</f>
        <v/>
      </c>
      <c r="AB2587" s="821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12"/>
        <v/>
      </c>
      <c r="C2588" s="191"/>
      <c r="D2588" s="37"/>
      <c r="E2588" s="191"/>
      <c r="F2588" s="192"/>
      <c r="G2588" s="468"/>
      <c r="H2588" s="193"/>
      <c r="I2588" s="256"/>
      <c r="J2588" s="256"/>
      <c r="K2588" s="568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902" t="str">
        <f>IF(AND('341-CT'!$E$9=H2588,OR(LEFT(L2588,3)=$O$7,LEFT(M2588,3)=$O$7)),"x","")</f>
        <v/>
      </c>
      <c r="P2588" s="39" t="str">
        <f>IF(AND($B2588&gt;='111'!$N$11,$B2588&lt;='111'!$O$11,OR($L2588=$P$7,$M2588=$P$7)),"x","")</f>
        <v/>
      </c>
      <c r="Q2588" s="39" t="str">
        <f>IF(AND($L2588=$P$7,$B2588&lt;'111'!$N$11),"x","")</f>
        <v/>
      </c>
      <c r="R2588" s="39" t="str">
        <f>IF(AND($M2588=$P$7,$B2588&lt;'111'!$N$11),"x","")</f>
        <v/>
      </c>
      <c r="S2588" s="39" t="str">
        <f>IF(ISERROR(FIND('112'!$M$9,G2588,1)),"",IF((AND(FIND('112'!$M$9,G2588,1)&gt;=1,$B2588&gt;='112'!$N$8,$B2588&lt;='112'!$O$8,OR($L2588='112'!$I$6,$M2588='112'!$I$6))),"x",""))</f>
        <v/>
      </c>
      <c r="T2588" s="39" t="str">
        <f>IF(ISERROR(FIND('112'!$M$9,G2588,1)),"",IF((AND(LEFT(G2588,2)=LEFT('112'!$M$9,2),B2588&lt;'112'!$N$8,$L2588='112'!$I$6)),"x",""))</f>
        <v/>
      </c>
      <c r="U2588" s="39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39" t="str">
        <f>IF(OR(TH!L2588=TH!$W$7,M2588=TH!$W$7),"x","")</f>
        <v/>
      </c>
      <c r="X2588" s="39" t="str">
        <f>IF(AND(B2588&gt;='IN-NX'!$P$3,B2588&lt;='IN-NX'!$Q$3,'IN-NX'!$D$7=D2588,OR(LEFT(L2588,2)="15",AND(LEFT(M2588,2)&lt;&gt;"15",LEFT(M2588,2)&lt;&gt;"33"))),"x","")</f>
        <v/>
      </c>
      <c r="Y2588" s="39" t="str">
        <f>IF(AND(OR(LEFT(TH!L2588,2)="15",LEFT(TH!M2588,2)="15"),'152-CT'!$J$8=TH!F2588),"x","")</f>
        <v/>
      </c>
      <c r="Z2588" s="39" t="str">
        <f>IF(AND(OR(LEFT(TH!L2588,2)="15",LEFT(TH!M2588,2)="15"),TK!$E$7=TH!F2588),"x","")</f>
        <v/>
      </c>
      <c r="AA2588" s="39" t="str">
        <f>IF(AND(B2588&lt;=NKC!$N$8,B2588&gt;=NKC!$M$8),"x","")</f>
        <v/>
      </c>
      <c r="AB2588" s="821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112"/>
        <v/>
      </c>
      <c r="C2589" s="191"/>
      <c r="D2589" s="191"/>
      <c r="E2589" s="191"/>
      <c r="F2589" s="192"/>
      <c r="G2589" s="468"/>
      <c r="H2589" s="193"/>
      <c r="I2589" s="256"/>
      <c r="J2589" s="256"/>
      <c r="K2589" s="568"/>
      <c r="L2589" s="194"/>
      <c r="M2589" s="194"/>
      <c r="N2589" s="39" t="str">
        <f>IF(AND('331-CT'!$E$7=TH!H2589,OR(L2589="331",M2589="331")),"331",IF(AND(OR(L2589="131",M2589="131"),H2589='131-CT'!$E$7),"131",""))</f>
        <v/>
      </c>
      <c r="O2589" s="902" t="str">
        <f>IF(AND('341-CT'!$E$9=H2589,OR(LEFT(L2589,3)=$O$7,LEFT(M2589,3)=$O$7)),"x","")</f>
        <v/>
      </c>
      <c r="P2589" s="39" t="str">
        <f>IF(AND($B2589&gt;='111'!$N$11,$B2589&lt;='111'!$O$11,OR($L2589=$P$7,$M2589=$P$7)),"x","")</f>
        <v/>
      </c>
      <c r="Q2589" s="39" t="str">
        <f>IF(AND($L2589=$P$7,$B2589&lt;'111'!$N$11),"x","")</f>
        <v/>
      </c>
      <c r="R2589" s="39" t="str">
        <f>IF(AND($M2589=$P$7,$B2589&lt;'111'!$N$11),"x","")</f>
        <v/>
      </c>
      <c r="S2589" s="39" t="str">
        <f>IF(ISERROR(FIND('112'!$M$9,G2589,1)),"",IF((AND(FIND('112'!$M$9,G2589,1)&gt;=1,$B2589&gt;='112'!$N$8,$B2589&lt;='112'!$O$8,OR($L2589='112'!$I$6,$M2589='112'!$I$6))),"x",""))</f>
        <v/>
      </c>
      <c r="T2589" s="39" t="str">
        <f>IF(ISERROR(FIND('112'!$M$9,G2589,1)),"",IF((AND(LEFT(G2589,2)=LEFT('112'!$M$9,2),B2589&lt;'112'!$N$8,$L2589='112'!$I$6)),"x",""))</f>
        <v/>
      </c>
      <c r="U2589" s="39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39" t="str">
        <f>IF(OR(TH!L2589=TH!$W$7,M2589=TH!$W$7),"x","")</f>
        <v/>
      </c>
      <c r="X2589" s="39" t="str">
        <f>IF(AND(B2589&gt;='IN-NX'!$P$3,B2589&lt;='IN-NX'!$Q$3,'IN-NX'!$D$7=D2589,OR(LEFT(L2589,2)="15",AND(LEFT(M2589,2)&lt;&gt;"15",LEFT(M2589,2)&lt;&gt;"33"))),"x","")</f>
        <v/>
      </c>
      <c r="Y2589" s="39" t="str">
        <f>IF(AND(OR(LEFT(TH!L2589,2)="15",LEFT(TH!M2589,2)="15"),'152-CT'!$J$8=TH!F2589),"x","")</f>
        <v/>
      </c>
      <c r="Z2589" s="39" t="str">
        <f>IF(AND(OR(LEFT(TH!L2589,2)="15",LEFT(TH!M2589,2)="15"),TK!$E$7=TH!F2589),"x","")</f>
        <v/>
      </c>
      <c r="AA2589" s="39" t="str">
        <f>IF(AND(B2589&lt;=NKC!$N$8,B2589&gt;=NKC!$M$8),"x","")</f>
        <v/>
      </c>
      <c r="AB2589" s="821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112"/>
        <v/>
      </c>
      <c r="C2590" s="191"/>
      <c r="D2590" s="191"/>
      <c r="E2590" s="191"/>
      <c r="F2590" s="192"/>
      <c r="G2590" s="468"/>
      <c r="H2590" s="193"/>
      <c r="I2590" s="256"/>
      <c r="J2590" s="256"/>
      <c r="K2590" s="568"/>
      <c r="L2590" s="194"/>
      <c r="M2590" s="194"/>
      <c r="N2590" s="39" t="str">
        <f>IF(AND('331-CT'!$E$7=TH!H2590,OR(L2590="331",M2590="331")),"331",IF(AND(OR(L2590="131",M2590="131"),H2590='131-CT'!$E$7),"131",""))</f>
        <v/>
      </c>
      <c r="O2590" s="902" t="str">
        <f>IF(AND('341-CT'!$E$9=H2590,OR(LEFT(L2590,3)=$O$7,LEFT(M2590,3)=$O$7)),"x","")</f>
        <v/>
      </c>
      <c r="P2590" s="39" t="str">
        <f>IF(AND($B2590&gt;='111'!$N$11,$B2590&lt;='111'!$O$11,OR($L2590=$P$7,$M2590=$P$7)),"x","")</f>
        <v/>
      </c>
      <c r="Q2590" s="39" t="str">
        <f>IF(AND($L2590=$P$7,$B2590&lt;'111'!$N$11),"x","")</f>
        <v/>
      </c>
      <c r="R2590" s="39" t="str">
        <f>IF(AND($M2590=$P$7,$B2590&lt;'111'!$N$11),"x","")</f>
        <v/>
      </c>
      <c r="S2590" s="39" t="str">
        <f>IF(ISERROR(FIND('112'!$M$9,G2590,1)),"",IF((AND(FIND('112'!$M$9,G2590,1)&gt;=1,$B2590&gt;='112'!$N$8,$B2590&lt;='112'!$O$8,OR($L2590='112'!$I$6,$M2590='112'!$I$6))),"x",""))</f>
        <v/>
      </c>
      <c r="T2590" s="39" t="str">
        <f>IF(ISERROR(FIND('112'!$M$9,G2590,1)),"",IF((AND(LEFT(G2590,2)=LEFT('112'!$M$9,2),B2590&lt;'112'!$N$8,$L2590='112'!$I$6)),"x",""))</f>
        <v/>
      </c>
      <c r="U2590" s="39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39" t="str">
        <f>IF(OR(TH!L2590=TH!$W$7,M2590=TH!$W$7),"x","")</f>
        <v/>
      </c>
      <c r="X2590" s="39" t="str">
        <f>IF(AND(B2590&gt;='IN-NX'!$P$3,B2590&lt;='IN-NX'!$Q$3,'IN-NX'!$D$7=D2590,OR(LEFT(L2590,2)="15",AND(LEFT(M2590,2)&lt;&gt;"15",LEFT(M2590,2)&lt;&gt;"33"))),"x","")</f>
        <v/>
      </c>
      <c r="Y2590" s="39" t="str">
        <f>IF(AND(OR(LEFT(TH!L2590,2)="15",LEFT(TH!M2590,2)="15"),'152-CT'!$J$8=TH!F2590),"x","")</f>
        <v/>
      </c>
      <c r="Z2590" s="39" t="str">
        <f>IF(AND(OR(LEFT(TH!L2590,2)="15",LEFT(TH!M2590,2)="15"),TK!$E$7=TH!F2590),"x","")</f>
        <v/>
      </c>
      <c r="AA2590" s="39" t="str">
        <f>IF(AND(B2590&lt;=NKC!$N$8,B2590&gt;=NKC!$M$8),"x","")</f>
        <v/>
      </c>
      <c r="AB2590" s="821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12"/>
        <v/>
      </c>
      <c r="C2591" s="191"/>
      <c r="D2591" s="191"/>
      <c r="E2591" s="191"/>
      <c r="F2591" s="192"/>
      <c r="G2591" s="468"/>
      <c r="H2591" s="193"/>
      <c r="I2591" s="256"/>
      <c r="J2591" s="256"/>
      <c r="K2591" s="568"/>
      <c r="L2591" s="194"/>
      <c r="M2591" s="194"/>
      <c r="N2591" s="39" t="str">
        <f>IF(AND('331-CT'!$E$7=TH!H2591,OR(L2591="331",M2591="331")),"331",IF(AND(OR(L2591="131",M2591="131"),H2591='131-CT'!$E$7),"131",""))</f>
        <v/>
      </c>
      <c r="O2591" s="902" t="str">
        <f>IF(AND('341-CT'!$E$9=H2591,OR(LEFT(L2591,3)=$O$7,LEFT(M2591,3)=$O$7)),"x","")</f>
        <v/>
      </c>
      <c r="P2591" s="39" t="str">
        <f>IF(AND($B2591&gt;='111'!$N$11,$B2591&lt;='111'!$O$11,OR($L2591=$P$7,$M2591=$P$7)),"x","")</f>
        <v/>
      </c>
      <c r="Q2591" s="39" t="str">
        <f>IF(AND($L2591=$P$7,$B2591&lt;'111'!$N$11),"x","")</f>
        <v/>
      </c>
      <c r="R2591" s="39" t="str">
        <f>IF(AND($M2591=$P$7,$B2591&lt;'111'!$N$11),"x","")</f>
        <v/>
      </c>
      <c r="S2591" s="39" t="str">
        <f>IF(ISERROR(FIND('112'!$M$9,G2591,1)),"",IF((AND(FIND('112'!$M$9,G2591,1)&gt;=1,$B2591&gt;='112'!$N$8,$B2591&lt;='112'!$O$8,OR($L2591='112'!$I$6,$M2591='112'!$I$6))),"x",""))</f>
        <v/>
      </c>
      <c r="T2591" s="39" t="str">
        <f>IF(ISERROR(FIND('112'!$M$9,G2591,1)),"",IF((AND(LEFT(G2591,2)=LEFT('112'!$M$9,2),B2591&lt;'112'!$N$8,$L2591='112'!$I$6)),"x",""))</f>
        <v/>
      </c>
      <c r="U2591" s="39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39" t="str">
        <f>IF(OR(TH!L2591=TH!$W$7,M2591=TH!$W$7),"x","")</f>
        <v/>
      </c>
      <c r="X2591" s="39" t="str">
        <f>IF(AND(B2591&gt;='IN-NX'!$P$3,B2591&lt;='IN-NX'!$Q$3,'IN-NX'!$D$7=D2591,OR(LEFT(L2591,2)="15",AND(LEFT(M2591,2)&lt;&gt;"15",LEFT(M2591,2)&lt;&gt;"33"))),"x","")</f>
        <v/>
      </c>
      <c r="Y2591" s="39" t="str">
        <f>IF(AND(OR(LEFT(TH!L2591,2)="15",LEFT(TH!M2591,2)="15"),'152-CT'!$J$8=TH!F2591),"x","")</f>
        <v/>
      </c>
      <c r="Z2591" s="39" t="str">
        <f>IF(AND(OR(LEFT(TH!L2591,2)="15",LEFT(TH!M2591,2)="15"),TK!$E$7=TH!F2591),"x","")</f>
        <v/>
      </c>
      <c r="AA2591" s="39" t="str">
        <f>IF(AND(B2591&lt;=NKC!$N$8,B2591&gt;=NKC!$M$8),"x","")</f>
        <v/>
      </c>
      <c r="AB2591" s="821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12"/>
        <v/>
      </c>
      <c r="C2592" s="191"/>
      <c r="D2592" s="191"/>
      <c r="E2592" s="191"/>
      <c r="F2592" s="192"/>
      <c r="G2592" s="468"/>
      <c r="H2592" s="193"/>
      <c r="I2592" s="256"/>
      <c r="J2592" s="256"/>
      <c r="K2592" s="568"/>
      <c r="L2592" s="194"/>
      <c r="M2592" s="194"/>
      <c r="N2592" s="39" t="str">
        <f>IF(AND('331-CT'!$E$7=TH!H2592,OR(L2592="331",M2592="331")),"331",IF(AND(OR(L2592="131",M2592="131"),H2592='131-CT'!$E$7),"131",""))</f>
        <v/>
      </c>
      <c r="O2592" s="902" t="str">
        <f>IF(AND('341-CT'!$E$9=H2592,OR(LEFT(L2592,3)=$O$7,LEFT(M2592,3)=$O$7)),"x","")</f>
        <v/>
      </c>
      <c r="P2592" s="39" t="str">
        <f>IF(AND($B2592&gt;='111'!$N$11,$B2592&lt;='111'!$O$11,OR($L2592=$P$7,$M2592=$P$7)),"x","")</f>
        <v/>
      </c>
      <c r="Q2592" s="39" t="str">
        <f>IF(AND($L2592=$P$7,$B2592&lt;'111'!$N$11),"x","")</f>
        <v/>
      </c>
      <c r="R2592" s="39" t="str">
        <f>IF(AND($M2592=$P$7,$B2592&lt;'111'!$N$11),"x","")</f>
        <v/>
      </c>
      <c r="S2592" s="39" t="str">
        <f>IF(ISERROR(FIND('112'!$M$9,G2592,1)),"",IF((AND(FIND('112'!$M$9,G2592,1)&gt;=1,$B2592&gt;='112'!$N$8,$B2592&lt;='112'!$O$8,OR($L2592='112'!$I$6,$M2592='112'!$I$6))),"x",""))</f>
        <v/>
      </c>
      <c r="T2592" s="39" t="str">
        <f>IF(ISERROR(FIND('112'!$M$9,G2592,1)),"",IF((AND(LEFT(G2592,2)=LEFT('112'!$M$9,2),B2592&lt;'112'!$N$8,$L2592='112'!$I$6)),"x",""))</f>
        <v/>
      </c>
      <c r="U2592" s="39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39" t="str">
        <f>IF(OR(TH!L2592=TH!$W$7,M2592=TH!$W$7),"x","")</f>
        <v/>
      </c>
      <c r="X2592" s="39" t="str">
        <f>IF(AND(B2592&gt;='IN-NX'!$P$3,B2592&lt;='IN-NX'!$Q$3,'IN-NX'!$D$7=D2592,OR(LEFT(L2592,2)="15",AND(LEFT(M2592,2)&lt;&gt;"15",LEFT(M2592,2)&lt;&gt;"33"))),"x","")</f>
        <v/>
      </c>
      <c r="Y2592" s="39" t="str">
        <f>IF(AND(OR(LEFT(TH!L2592,2)="15",LEFT(TH!M2592,2)="15"),'152-CT'!$J$8=TH!F2592),"x","")</f>
        <v/>
      </c>
      <c r="Z2592" s="39" t="str">
        <f>IF(AND(OR(LEFT(TH!L2592,2)="15",LEFT(TH!M2592,2)="15"),TK!$E$7=TH!F2592),"x","")</f>
        <v/>
      </c>
      <c r="AA2592" s="39" t="str">
        <f>IF(AND(B2592&lt;=NKC!$N$8,B2592&gt;=NKC!$M$8),"x","")</f>
        <v/>
      </c>
      <c r="AB2592" s="821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12"/>
        <v/>
      </c>
      <c r="C2593" s="191"/>
      <c r="D2593" s="191"/>
      <c r="E2593" s="191"/>
      <c r="F2593" s="192"/>
      <c r="G2593" s="468"/>
      <c r="H2593" s="193"/>
      <c r="I2593" s="256"/>
      <c r="J2593" s="256"/>
      <c r="K2593" s="568"/>
      <c r="L2593" s="194"/>
      <c r="M2593" s="194"/>
      <c r="N2593" s="39" t="str">
        <f>IF(AND('331-CT'!$E$7=TH!H2593,OR(L2593="331",M2593="331")),"331",IF(AND(OR(L2593="131",M2593="131"),H2593='131-CT'!$E$7),"131",""))</f>
        <v/>
      </c>
      <c r="O2593" s="902" t="str">
        <f>IF(AND('341-CT'!$E$9=H2593,OR(LEFT(L2593,3)=$O$7,LEFT(M2593,3)=$O$7)),"x","")</f>
        <v/>
      </c>
      <c r="P2593" s="39" t="str">
        <f>IF(AND($B2593&gt;='111'!$N$11,$B2593&lt;='111'!$O$11,OR($L2593=$P$7,$M2593=$P$7)),"x","")</f>
        <v/>
      </c>
      <c r="Q2593" s="39" t="str">
        <f>IF(AND($L2593=$P$7,$B2593&lt;'111'!$N$11),"x","")</f>
        <v/>
      </c>
      <c r="R2593" s="39" t="str">
        <f>IF(AND($M2593=$P$7,$B2593&lt;'111'!$N$11),"x","")</f>
        <v/>
      </c>
      <c r="S2593" s="39" t="str">
        <f>IF(ISERROR(FIND('112'!$M$9,G2593,1)),"",IF((AND(FIND('112'!$M$9,G2593,1)&gt;=1,$B2593&gt;='112'!$N$8,$B2593&lt;='112'!$O$8,OR($L2593='112'!$I$6,$M2593='112'!$I$6))),"x",""))</f>
        <v/>
      </c>
      <c r="T2593" s="39" t="str">
        <f>IF(ISERROR(FIND('112'!$M$9,G2593,1)),"",IF((AND(LEFT(G2593,2)=LEFT('112'!$M$9,2),B2593&lt;'112'!$N$8,$L2593='112'!$I$6)),"x",""))</f>
        <v/>
      </c>
      <c r="U2593" s="39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39" t="str">
        <f>IF(OR(TH!L2593=TH!$W$7,M2593=TH!$W$7),"x","")</f>
        <v/>
      </c>
      <c r="X2593" s="39" t="str">
        <f>IF(AND(B2593&gt;='IN-NX'!$P$3,B2593&lt;='IN-NX'!$Q$3,'IN-NX'!$D$7=D2593,OR(LEFT(L2593,2)="15",AND(LEFT(M2593,2)&lt;&gt;"15",LEFT(M2593,2)&lt;&gt;"33"))),"x","")</f>
        <v/>
      </c>
      <c r="Y2593" s="39" t="str">
        <f>IF(AND(OR(LEFT(TH!L2593,2)="15",LEFT(TH!M2593,2)="15"),'152-CT'!$J$8=TH!F2593),"x","")</f>
        <v/>
      </c>
      <c r="Z2593" s="39" t="str">
        <f>IF(AND(OR(LEFT(TH!L2593,2)="15",LEFT(TH!M2593,2)="15"),TK!$E$7=TH!F2593),"x","")</f>
        <v/>
      </c>
      <c r="AA2593" s="39" t="str">
        <f>IF(AND(B2593&lt;=NKC!$N$8,B2593&gt;=NKC!$M$8),"x","")</f>
        <v/>
      </c>
      <c r="AB2593" s="821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12"/>
        <v/>
      </c>
      <c r="C2594" s="191"/>
      <c r="D2594" s="191"/>
      <c r="E2594" s="191"/>
      <c r="F2594" s="192"/>
      <c r="G2594" s="468"/>
      <c r="H2594" s="193"/>
      <c r="I2594" s="256"/>
      <c r="J2594" s="256"/>
      <c r="K2594" s="568"/>
      <c r="L2594" s="194"/>
      <c r="M2594" s="194"/>
      <c r="N2594" s="39" t="str">
        <f>IF(AND('331-CT'!$E$7=TH!H2594,OR(L2594="331",M2594="331")),"331",IF(AND(OR(L2594="131",M2594="131"),H2594='131-CT'!$E$7),"131",""))</f>
        <v/>
      </c>
      <c r="O2594" s="902" t="str">
        <f>IF(AND('341-CT'!$E$9=H2594,OR(LEFT(L2594,3)=$O$7,LEFT(M2594,3)=$O$7)),"x","")</f>
        <v/>
      </c>
      <c r="P2594" s="39" t="str">
        <f>IF(AND($B2594&gt;='111'!$N$11,$B2594&lt;='111'!$O$11,OR($L2594=$P$7,$M2594=$P$7)),"x","")</f>
        <v/>
      </c>
      <c r="Q2594" s="39" t="str">
        <f>IF(AND($L2594=$P$7,$B2594&lt;'111'!$N$11),"x","")</f>
        <v/>
      </c>
      <c r="R2594" s="39" t="str">
        <f>IF(AND($M2594=$P$7,$B2594&lt;'111'!$N$11),"x","")</f>
        <v/>
      </c>
      <c r="S2594" s="39" t="str">
        <f>IF(ISERROR(FIND('112'!$M$9,G2594,1)),"",IF((AND(FIND('112'!$M$9,G2594,1)&gt;=1,$B2594&gt;='112'!$N$8,$B2594&lt;='112'!$O$8,OR($L2594='112'!$I$6,$M2594='112'!$I$6))),"x",""))</f>
        <v/>
      </c>
      <c r="T2594" s="39" t="str">
        <f>IF(ISERROR(FIND('112'!$M$9,G2594,1)),"",IF((AND(LEFT(G2594,2)=LEFT('112'!$M$9,2),B2594&lt;'112'!$N$8,$L2594='112'!$I$6)),"x",""))</f>
        <v/>
      </c>
      <c r="U2594" s="39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39" t="str">
        <f>IF(OR(TH!L2594=TH!$W$7,M2594=TH!$W$7),"x","")</f>
        <v/>
      </c>
      <c r="X2594" s="39" t="str">
        <f>IF(AND(B2594&gt;='IN-NX'!$P$3,B2594&lt;='IN-NX'!$Q$3,'IN-NX'!$D$7=D2594,OR(LEFT(L2594,2)="15",AND(LEFT(M2594,2)&lt;&gt;"15",LEFT(M2594,2)&lt;&gt;"33"))),"x","")</f>
        <v/>
      </c>
      <c r="Y2594" s="39" t="str">
        <f>IF(AND(OR(LEFT(TH!L2594,2)="15",LEFT(TH!M2594,2)="15"),'152-CT'!$J$8=TH!F2594),"x","")</f>
        <v/>
      </c>
      <c r="Z2594" s="39" t="str">
        <f>IF(AND(OR(LEFT(TH!L2594,2)="15",LEFT(TH!M2594,2)="15"),TK!$E$7=TH!F2594),"x","")</f>
        <v/>
      </c>
      <c r="AA2594" s="39" t="str">
        <f>IF(AND(B2594&lt;=NKC!$N$8,B2594&gt;=NKC!$M$8),"x","")</f>
        <v/>
      </c>
      <c r="AB2594" s="821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12"/>
        <v/>
      </c>
      <c r="C2595" s="191"/>
      <c r="D2595" s="191"/>
      <c r="E2595" s="191"/>
      <c r="F2595" s="192"/>
      <c r="G2595" s="468"/>
      <c r="H2595" s="193"/>
      <c r="I2595" s="256"/>
      <c r="J2595" s="256"/>
      <c r="K2595" s="568"/>
      <c r="L2595" s="194"/>
      <c r="M2595" s="194"/>
      <c r="N2595" s="39" t="str">
        <f>IF(AND('331-CT'!$E$7=TH!H2595,OR(L2595="331",M2595="331")),"331",IF(AND(OR(L2595="131",M2595="131"),H2595='131-CT'!$E$7),"131",""))</f>
        <v/>
      </c>
      <c r="O2595" s="902" t="str">
        <f>IF(AND('341-CT'!$E$9=H2595,OR(LEFT(L2595,3)=$O$7,LEFT(M2595,3)=$O$7)),"x","")</f>
        <v/>
      </c>
      <c r="P2595" s="39" t="str">
        <f>IF(AND($B2595&gt;='111'!$N$11,$B2595&lt;='111'!$O$11,OR($L2595=$P$7,$M2595=$P$7)),"x","")</f>
        <v/>
      </c>
      <c r="Q2595" s="39" t="str">
        <f>IF(AND($L2595=$P$7,$B2595&lt;'111'!$N$11),"x","")</f>
        <v/>
      </c>
      <c r="R2595" s="39" t="str">
        <f>IF(AND($M2595=$P$7,$B2595&lt;'111'!$N$11),"x","")</f>
        <v/>
      </c>
      <c r="S2595" s="39" t="str">
        <f>IF(ISERROR(FIND('112'!$M$9,G2595,1)),"",IF((AND(FIND('112'!$M$9,G2595,1)&gt;=1,$B2595&gt;='112'!$N$8,$B2595&lt;='112'!$O$8,OR($L2595='112'!$I$6,$M2595='112'!$I$6))),"x",""))</f>
        <v/>
      </c>
      <c r="T2595" s="39" t="str">
        <f>IF(ISERROR(FIND('112'!$M$9,G2595,1)),"",IF((AND(LEFT(G2595,2)=LEFT('112'!$M$9,2),B2595&lt;'112'!$N$8,$L2595='112'!$I$6)),"x",""))</f>
        <v/>
      </c>
      <c r="U2595" s="39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39" t="str">
        <f>IF(OR(TH!L2595=TH!$W$7,M2595=TH!$W$7),"x","")</f>
        <v/>
      </c>
      <c r="X2595" s="39" t="str">
        <f>IF(AND(B2595&gt;='IN-NX'!$P$3,B2595&lt;='IN-NX'!$Q$3,'IN-NX'!$D$7=D2595,OR(LEFT(L2595,2)="15",AND(LEFT(M2595,2)&lt;&gt;"15",LEFT(M2595,2)&lt;&gt;"33"))),"x","")</f>
        <v/>
      </c>
      <c r="Y2595" s="39" t="str">
        <f>IF(AND(OR(LEFT(TH!L2595,2)="15",LEFT(TH!M2595,2)="15"),'152-CT'!$J$8=TH!F2595),"x","")</f>
        <v/>
      </c>
      <c r="Z2595" s="39" t="str">
        <f>IF(AND(OR(LEFT(TH!L2595,2)="15",LEFT(TH!M2595,2)="15"),TK!$E$7=TH!F2595),"x","")</f>
        <v/>
      </c>
      <c r="AA2595" s="39" t="str">
        <f>IF(AND(B2595&lt;=NKC!$N$8,B2595&gt;=NKC!$M$8),"x","")</f>
        <v/>
      </c>
      <c r="AB2595" s="821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12"/>
        <v/>
      </c>
      <c r="C2596" s="191"/>
      <c r="D2596" s="191"/>
      <c r="E2596" s="191"/>
      <c r="F2596" s="192"/>
      <c r="G2596" s="468"/>
      <c r="H2596" s="193"/>
      <c r="I2596" s="256"/>
      <c r="J2596" s="256"/>
      <c r="K2596" s="568"/>
      <c r="L2596" s="194"/>
      <c r="M2596" s="194"/>
      <c r="N2596" s="39" t="str">
        <f>IF(AND('331-CT'!$E$7=TH!H2596,OR(L2596="331",M2596="331")),"331",IF(AND(OR(L2596="131",M2596="131"),H2596='131-CT'!$E$7),"131",""))</f>
        <v/>
      </c>
      <c r="O2596" s="902" t="str">
        <f>IF(AND('341-CT'!$E$9=H2596,OR(LEFT(L2596,3)=$O$7,LEFT(M2596,3)=$O$7)),"x","")</f>
        <v/>
      </c>
      <c r="P2596" s="39" t="str">
        <f>IF(AND($B2596&gt;='111'!$N$11,$B2596&lt;='111'!$O$11,OR($L2596=$P$7,$M2596=$P$7)),"x","")</f>
        <v/>
      </c>
      <c r="Q2596" s="39" t="str">
        <f>IF(AND($L2596=$P$7,$B2596&lt;'111'!$N$11),"x","")</f>
        <v/>
      </c>
      <c r="R2596" s="39" t="str">
        <f>IF(AND($M2596=$P$7,$B2596&lt;'111'!$N$11),"x","")</f>
        <v/>
      </c>
      <c r="S2596" s="39" t="str">
        <f>IF(ISERROR(FIND('112'!$M$9,G2596,1)),"",IF((AND(FIND('112'!$M$9,G2596,1)&gt;=1,$B2596&gt;='112'!$N$8,$B2596&lt;='112'!$O$8,OR($L2596='112'!$I$6,$M2596='112'!$I$6))),"x",""))</f>
        <v/>
      </c>
      <c r="T2596" s="39" t="str">
        <f>IF(ISERROR(FIND('112'!$M$9,G2596,1)),"",IF((AND(LEFT(G2596,2)=LEFT('112'!$M$9,2),B2596&lt;'112'!$N$8,$L2596='112'!$I$6)),"x",""))</f>
        <v/>
      </c>
      <c r="U2596" s="39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39" t="str">
        <f>IF(OR(TH!L2596=TH!$W$7,M2596=TH!$W$7),"x","")</f>
        <v/>
      </c>
      <c r="X2596" s="39" t="str">
        <f>IF(AND(B2596&gt;='IN-NX'!$P$3,B2596&lt;='IN-NX'!$Q$3,'IN-NX'!$D$7=D2596,OR(LEFT(L2596,2)="15",AND(LEFT(M2596,2)&lt;&gt;"15",LEFT(M2596,2)&lt;&gt;"33"))),"x","")</f>
        <v/>
      </c>
      <c r="Y2596" s="39" t="str">
        <f>IF(AND(OR(LEFT(TH!L2596,2)="15",LEFT(TH!M2596,2)="15"),'152-CT'!$J$8=TH!F2596),"x","")</f>
        <v/>
      </c>
      <c r="Z2596" s="39" t="str">
        <f>IF(AND(OR(LEFT(TH!L2596,2)="15",LEFT(TH!M2596,2)="15"),TK!$E$7=TH!F2596),"x","")</f>
        <v/>
      </c>
      <c r="AA2596" s="39" t="str">
        <f>IF(AND(B2596&lt;=NKC!$N$8,B2596&gt;=NKC!$M$8),"x","")</f>
        <v/>
      </c>
      <c r="AB2596" s="821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12"/>
        <v/>
      </c>
      <c r="C2597" s="191"/>
      <c r="D2597" s="191"/>
      <c r="E2597" s="191"/>
      <c r="F2597" s="192"/>
      <c r="G2597" s="468"/>
      <c r="H2597" s="193"/>
      <c r="I2597" s="256"/>
      <c r="J2597" s="256"/>
      <c r="K2597" s="568"/>
      <c r="L2597" s="194"/>
      <c r="M2597" s="194"/>
      <c r="N2597" s="39" t="str">
        <f>IF(AND('331-CT'!$E$7=TH!H2597,OR(L2597="331",M2597="331")),"331",IF(AND(OR(L2597="131",M2597="131"),H2597='131-CT'!$E$7),"131",""))</f>
        <v/>
      </c>
      <c r="O2597" s="902" t="str">
        <f>IF(AND('341-CT'!$E$9=H2597,OR(LEFT(L2597,3)=$O$7,LEFT(M2597,3)=$O$7)),"x","")</f>
        <v/>
      </c>
      <c r="P2597" s="39" t="str">
        <f>IF(AND($B2597&gt;='111'!$N$11,$B2597&lt;='111'!$O$11,OR($L2597=$P$7,$M2597=$P$7)),"x","")</f>
        <v/>
      </c>
      <c r="Q2597" s="39" t="str">
        <f>IF(AND($L2597=$P$7,$B2597&lt;'111'!$N$11),"x","")</f>
        <v/>
      </c>
      <c r="R2597" s="39" t="str">
        <f>IF(AND($M2597=$P$7,$B2597&lt;'111'!$N$11),"x","")</f>
        <v/>
      </c>
      <c r="S2597" s="39" t="str">
        <f>IF(ISERROR(FIND('112'!$M$9,G2597,1)),"",IF((AND(FIND('112'!$M$9,G2597,1)&gt;=1,$B2597&gt;='112'!$N$8,$B2597&lt;='112'!$O$8,OR($L2597='112'!$I$6,$M2597='112'!$I$6))),"x",""))</f>
        <v/>
      </c>
      <c r="T2597" s="39" t="str">
        <f>IF(ISERROR(FIND('112'!$M$9,G2597,1)),"",IF((AND(LEFT(G2597,2)=LEFT('112'!$M$9,2),B2597&lt;'112'!$N$8,$L2597='112'!$I$6)),"x",""))</f>
        <v/>
      </c>
      <c r="U2597" s="39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39" t="str">
        <f>IF(OR(TH!L2597=TH!$W$7,M2597=TH!$W$7),"x","")</f>
        <v/>
      </c>
      <c r="X2597" s="39" t="str">
        <f>IF(AND(B2597&gt;='IN-NX'!$P$3,B2597&lt;='IN-NX'!$Q$3,'IN-NX'!$D$7=D2597,OR(LEFT(L2597,2)="15",AND(LEFT(M2597,2)&lt;&gt;"15",LEFT(M2597,2)&lt;&gt;"33"))),"x","")</f>
        <v/>
      </c>
      <c r="Y2597" s="39" t="str">
        <f>IF(AND(OR(LEFT(TH!L2597,2)="15",LEFT(TH!M2597,2)="15"),'152-CT'!$J$8=TH!F2597),"x","")</f>
        <v/>
      </c>
      <c r="Z2597" s="39" t="str">
        <f>IF(AND(OR(LEFT(TH!L2597,2)="15",LEFT(TH!M2597,2)="15"),TK!$E$7=TH!F2597),"x","")</f>
        <v/>
      </c>
      <c r="AA2597" s="39" t="str">
        <f>IF(AND(B2597&lt;=NKC!$N$8,B2597&gt;=NKC!$M$8),"x","")</f>
        <v/>
      </c>
      <c r="AB2597" s="821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12"/>
        <v/>
      </c>
      <c r="C2598" s="191"/>
      <c r="D2598" s="191"/>
      <c r="E2598" s="191"/>
      <c r="F2598" s="192"/>
      <c r="G2598" s="468"/>
      <c r="H2598" s="193"/>
      <c r="I2598" s="256"/>
      <c r="J2598" s="256"/>
      <c r="K2598" s="568"/>
      <c r="L2598" s="194"/>
      <c r="M2598" s="194"/>
      <c r="N2598" s="39" t="str">
        <f>IF(AND('331-CT'!$E$7=TH!H2598,OR(L2598="331",M2598="331")),"331",IF(AND(OR(L2598="131",M2598="131"),H2598='131-CT'!$E$7),"131",""))</f>
        <v/>
      </c>
      <c r="O2598" s="902" t="str">
        <f>IF(AND('341-CT'!$E$9=H2598,OR(LEFT(L2598,3)=$O$7,LEFT(M2598,3)=$O$7)),"x","")</f>
        <v/>
      </c>
      <c r="P2598" s="39" t="str">
        <f>IF(AND($B2598&gt;='111'!$N$11,$B2598&lt;='111'!$O$11,OR($L2598=$P$7,$M2598=$P$7)),"x","")</f>
        <v/>
      </c>
      <c r="Q2598" s="39" t="str">
        <f>IF(AND($L2598=$P$7,$B2598&lt;'111'!$N$11),"x","")</f>
        <v/>
      </c>
      <c r="R2598" s="39" t="str">
        <f>IF(AND($M2598=$P$7,$B2598&lt;'111'!$N$11),"x","")</f>
        <v/>
      </c>
      <c r="S2598" s="39" t="str">
        <f>IF(ISERROR(FIND('112'!$M$9,G2598,1)),"",IF((AND(FIND('112'!$M$9,G2598,1)&gt;=1,$B2598&gt;='112'!$N$8,$B2598&lt;='112'!$O$8,OR($L2598='112'!$I$6,$M2598='112'!$I$6))),"x",""))</f>
        <v/>
      </c>
      <c r="T2598" s="39" t="str">
        <f>IF(ISERROR(FIND('112'!$M$9,G2598,1)),"",IF((AND(LEFT(G2598,2)=LEFT('112'!$M$9,2),B2598&lt;'112'!$N$8,$L2598='112'!$I$6)),"x",""))</f>
        <v/>
      </c>
      <c r="U2598" s="39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39" t="str">
        <f>IF(OR(TH!L2598=TH!$W$7,M2598=TH!$W$7),"x","")</f>
        <v/>
      </c>
      <c r="X2598" s="39" t="str">
        <f>IF(AND(B2598&gt;='IN-NX'!$P$3,B2598&lt;='IN-NX'!$Q$3,'IN-NX'!$D$7=D2598,OR(LEFT(L2598,2)="15",AND(LEFT(M2598,2)&lt;&gt;"15",LEFT(M2598,2)&lt;&gt;"33"))),"x","")</f>
        <v/>
      </c>
      <c r="Y2598" s="39" t="str">
        <f>IF(AND(OR(LEFT(TH!L2598,2)="15",LEFT(TH!M2598,2)="15"),'152-CT'!$J$8=TH!F2598),"x","")</f>
        <v/>
      </c>
      <c r="Z2598" s="39" t="str">
        <f>IF(AND(OR(LEFT(TH!L2598,2)="15",LEFT(TH!M2598,2)="15"),TK!$E$7=TH!F2598),"x","")</f>
        <v/>
      </c>
      <c r="AA2598" s="39" t="str">
        <f>IF(AND(B2598&lt;=NKC!$N$8,B2598&gt;=NKC!$M$8),"x","")</f>
        <v/>
      </c>
      <c r="AB2598" s="821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12"/>
        <v/>
      </c>
      <c r="C2599" s="191"/>
      <c r="D2599" s="191"/>
      <c r="E2599" s="191"/>
      <c r="F2599" s="192"/>
      <c r="G2599" s="468"/>
      <c r="H2599" s="193"/>
      <c r="I2599" s="256"/>
      <c r="J2599" s="256"/>
      <c r="K2599" s="568"/>
      <c r="L2599" s="194"/>
      <c r="M2599" s="194"/>
      <c r="N2599" s="39" t="str">
        <f>IF(AND('331-CT'!$E$7=TH!H2599,OR(L2599="331",M2599="331")),"331",IF(AND(OR(L2599="131",M2599="131"),H2599='131-CT'!$E$7),"131",""))</f>
        <v/>
      </c>
      <c r="O2599" s="902" t="str">
        <f>IF(AND('341-CT'!$E$9=H2599,OR(LEFT(L2599,3)=$O$7,LEFT(M2599,3)=$O$7)),"x","")</f>
        <v/>
      </c>
      <c r="P2599" s="39" t="str">
        <f>IF(AND($B2599&gt;='111'!$N$11,$B2599&lt;='111'!$O$11,OR($L2599=$P$7,$M2599=$P$7)),"x","")</f>
        <v/>
      </c>
      <c r="Q2599" s="39" t="str">
        <f>IF(AND($L2599=$P$7,$B2599&lt;'111'!$N$11),"x","")</f>
        <v/>
      </c>
      <c r="R2599" s="39" t="str">
        <f>IF(AND($M2599=$P$7,$B2599&lt;'111'!$N$11),"x","")</f>
        <v/>
      </c>
      <c r="S2599" s="39" t="str">
        <f>IF(ISERROR(FIND('112'!$M$9,G2599,1)),"",IF((AND(FIND('112'!$M$9,G2599,1)&gt;=1,$B2599&gt;='112'!$N$8,$B2599&lt;='112'!$O$8,OR($L2599='112'!$I$6,$M2599='112'!$I$6))),"x",""))</f>
        <v/>
      </c>
      <c r="T2599" s="39" t="str">
        <f>IF(ISERROR(FIND('112'!$M$9,G2599,1)),"",IF((AND(LEFT(G2599,2)=LEFT('112'!$M$9,2),B2599&lt;'112'!$N$8,$L2599='112'!$I$6)),"x",""))</f>
        <v/>
      </c>
      <c r="U2599" s="39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39" t="str">
        <f>IF(OR(TH!L2599=TH!$W$7,M2599=TH!$W$7),"x","")</f>
        <v/>
      </c>
      <c r="X2599" s="39" t="str">
        <f>IF(AND(B2599&gt;='IN-NX'!$P$3,B2599&lt;='IN-NX'!$Q$3,'IN-NX'!$D$7=D2599,OR(LEFT(L2599,2)="15",AND(LEFT(M2599,2)&lt;&gt;"15",LEFT(M2599,2)&lt;&gt;"33"))),"x","")</f>
        <v/>
      </c>
      <c r="Y2599" s="39" t="str">
        <f>IF(AND(OR(LEFT(TH!L2599,2)="15",LEFT(TH!M2599,2)="15"),'152-CT'!$J$8=TH!F2599),"x","")</f>
        <v/>
      </c>
      <c r="Z2599" s="39" t="str">
        <f>IF(AND(OR(LEFT(TH!L2599,2)="15",LEFT(TH!M2599,2)="15"),TK!$E$7=TH!F2599),"x","")</f>
        <v/>
      </c>
      <c r="AA2599" s="39" t="str">
        <f>IF(AND(B2599&lt;=NKC!$N$8,B2599&gt;=NKC!$M$8),"x","")</f>
        <v/>
      </c>
      <c r="AB2599" s="821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12"/>
        <v/>
      </c>
      <c r="C2600" s="191"/>
      <c r="D2600" s="191"/>
      <c r="E2600" s="191"/>
      <c r="F2600" s="192"/>
      <c r="G2600" s="468"/>
      <c r="H2600" s="193"/>
      <c r="I2600" s="256"/>
      <c r="J2600" s="256"/>
      <c r="K2600" s="568"/>
      <c r="L2600" s="194"/>
      <c r="M2600" s="194"/>
      <c r="N2600" s="39" t="str">
        <f>IF(AND('331-CT'!$E$7=TH!H2600,OR(L2600="331",M2600="331")),"331",IF(AND(OR(L2600="131",M2600="131"),H2600='131-CT'!$E$7),"131",""))</f>
        <v/>
      </c>
      <c r="O2600" s="902" t="str">
        <f>IF(AND('341-CT'!$E$9=H2600,OR(LEFT(L2600,3)=$O$7,LEFT(M2600,3)=$O$7)),"x","")</f>
        <v/>
      </c>
      <c r="P2600" s="39" t="str">
        <f>IF(AND($B2600&gt;='111'!$N$11,$B2600&lt;='111'!$O$11,OR($L2600=$P$7,$M2600=$P$7)),"x","")</f>
        <v/>
      </c>
      <c r="Q2600" s="39" t="str">
        <f>IF(AND($L2600=$P$7,$B2600&lt;'111'!$N$11),"x","")</f>
        <v/>
      </c>
      <c r="R2600" s="39" t="str">
        <f>IF(AND($M2600=$P$7,$B2600&lt;'111'!$N$11),"x","")</f>
        <v/>
      </c>
      <c r="S2600" s="39" t="str">
        <f>IF(ISERROR(FIND('112'!$M$9,G2600,1)),"",IF((AND(FIND('112'!$M$9,G2600,1)&gt;=1,$B2600&gt;='112'!$N$8,$B2600&lt;='112'!$O$8,OR($L2600='112'!$I$6,$M2600='112'!$I$6))),"x",""))</f>
        <v/>
      </c>
      <c r="T2600" s="39" t="str">
        <f>IF(ISERROR(FIND('112'!$M$9,G2600,1)),"",IF((AND(LEFT(G2600,2)=LEFT('112'!$M$9,2),B2600&lt;'112'!$N$8,$L2600='112'!$I$6)),"x",""))</f>
        <v/>
      </c>
      <c r="U2600" s="39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39" t="str">
        <f>IF(OR(TH!L2600=TH!$W$7,M2600=TH!$W$7),"x","")</f>
        <v/>
      </c>
      <c r="X2600" s="39" t="str">
        <f>IF(AND(B2600&gt;='IN-NX'!$P$3,B2600&lt;='IN-NX'!$Q$3,'IN-NX'!$D$7=D2600,OR(LEFT(L2600,2)="15",AND(LEFT(M2600,2)&lt;&gt;"15",LEFT(M2600,2)&lt;&gt;"33"))),"x","")</f>
        <v/>
      </c>
      <c r="Y2600" s="39" t="str">
        <f>IF(AND(OR(LEFT(TH!L2600,2)="15",LEFT(TH!M2600,2)="15"),'152-CT'!$J$8=TH!F2600),"x","")</f>
        <v/>
      </c>
      <c r="Z2600" s="39" t="str">
        <f>IF(AND(OR(LEFT(TH!L2600,2)="15",LEFT(TH!M2600,2)="15"),TK!$E$7=TH!F2600),"x","")</f>
        <v/>
      </c>
      <c r="AA2600" s="39" t="str">
        <f>IF(AND(B2600&lt;=NKC!$N$8,B2600&gt;=NKC!$M$8),"x","")</f>
        <v/>
      </c>
      <c r="AB2600" s="821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12"/>
        <v/>
      </c>
      <c r="C2601" s="191"/>
      <c r="D2601" s="191"/>
      <c r="E2601" s="191"/>
      <c r="F2601" s="192"/>
      <c r="G2601" s="468"/>
      <c r="H2601" s="193"/>
      <c r="I2601" s="256"/>
      <c r="J2601" s="256"/>
      <c r="K2601" s="568"/>
      <c r="L2601" s="194"/>
      <c r="M2601" s="194"/>
      <c r="N2601" s="39" t="str">
        <f>IF(AND('331-CT'!$E$7=TH!H2601,OR(L2601="331",M2601="331")),"331",IF(AND(OR(L2601="131",M2601="131"),H2601='131-CT'!$E$7),"131",""))</f>
        <v/>
      </c>
      <c r="O2601" s="902" t="str">
        <f>IF(AND('341-CT'!$E$9=H2601,OR(LEFT(L2601,3)=$O$7,LEFT(M2601,3)=$O$7)),"x","")</f>
        <v/>
      </c>
      <c r="P2601" s="39" t="str">
        <f>IF(AND($B2601&gt;='111'!$N$11,$B2601&lt;='111'!$O$11,OR($L2601=$P$7,$M2601=$P$7)),"x","")</f>
        <v/>
      </c>
      <c r="Q2601" s="39" t="str">
        <f>IF(AND($L2601=$P$7,$B2601&lt;'111'!$N$11),"x","")</f>
        <v/>
      </c>
      <c r="R2601" s="39" t="str">
        <f>IF(AND($M2601=$P$7,$B2601&lt;'111'!$N$11),"x","")</f>
        <v/>
      </c>
      <c r="S2601" s="39" t="str">
        <f>IF(ISERROR(FIND('112'!$M$9,G2601,1)),"",IF((AND(FIND('112'!$M$9,G2601,1)&gt;=1,$B2601&gt;='112'!$N$8,$B2601&lt;='112'!$O$8,OR($L2601='112'!$I$6,$M2601='112'!$I$6))),"x",""))</f>
        <v/>
      </c>
      <c r="T2601" s="39" t="str">
        <f>IF(ISERROR(FIND('112'!$M$9,G2601,1)),"",IF((AND(LEFT(G2601,2)=LEFT('112'!$M$9,2),B2601&lt;'112'!$N$8,$L2601='112'!$I$6)),"x",""))</f>
        <v/>
      </c>
      <c r="U2601" s="39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39" t="str">
        <f>IF(OR(TH!L2601=TH!$W$7,M2601=TH!$W$7),"x","")</f>
        <v/>
      </c>
      <c r="X2601" s="39" t="str">
        <f>IF(AND(B2601&gt;='IN-NX'!$P$3,B2601&lt;='IN-NX'!$Q$3,'IN-NX'!$D$7=D2601,OR(LEFT(L2601,2)="15",AND(LEFT(M2601,2)&lt;&gt;"15",LEFT(M2601,2)&lt;&gt;"33"))),"x","")</f>
        <v/>
      </c>
      <c r="Y2601" s="39" t="str">
        <f>IF(AND(OR(LEFT(TH!L2601,2)="15",LEFT(TH!M2601,2)="15"),'152-CT'!$J$8=TH!F2601),"x","")</f>
        <v/>
      </c>
      <c r="Z2601" s="39" t="str">
        <f>IF(AND(OR(LEFT(TH!L2601,2)="15",LEFT(TH!M2601,2)="15"),TK!$E$7=TH!F2601),"x","")</f>
        <v/>
      </c>
      <c r="AA2601" s="39" t="str">
        <f>IF(AND(B2601&lt;=NKC!$N$8,B2601&gt;=NKC!$M$8),"x","")</f>
        <v/>
      </c>
      <c r="AB2601" s="821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12"/>
        <v/>
      </c>
      <c r="C2602" s="191"/>
      <c r="D2602" s="191"/>
      <c r="E2602" s="191"/>
      <c r="F2602" s="40"/>
      <c r="G2602" s="40"/>
      <c r="H2602" s="7"/>
      <c r="I2602" s="256"/>
      <c r="J2602" s="256"/>
      <c r="K2602" s="56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902" t="str">
        <f>IF(AND('341-CT'!$E$9=H2602,OR(LEFT(L2602,3)=$O$7,LEFT(M2602,3)=$O$7)),"x","")</f>
        <v/>
      </c>
      <c r="P2602" s="39" t="str">
        <f>IF(AND($B2602&gt;='111'!$N$11,$B2602&lt;='111'!$O$11,OR($L2602=$P$7,$M2602=$P$7)),"x","")</f>
        <v/>
      </c>
      <c r="Q2602" s="39" t="str">
        <f>IF(AND($L2602=$P$7,$B2602&lt;'111'!$N$11),"x","")</f>
        <v/>
      </c>
      <c r="R2602" s="39" t="str">
        <f>IF(AND($M2602=$P$7,$B2602&lt;'111'!$N$11),"x","")</f>
        <v/>
      </c>
      <c r="S2602" s="39" t="str">
        <f>IF(ISERROR(FIND('112'!$M$9,G2602,1)),"",IF((AND(FIND('112'!$M$9,G2602,1)&gt;=1,$B2602&gt;='112'!$N$8,$B2602&lt;='112'!$O$8,OR($L2602='112'!$I$6,$M2602='112'!$I$6))),"x",""))</f>
        <v/>
      </c>
      <c r="T2602" s="39" t="str">
        <f>IF(ISERROR(FIND('112'!$M$9,G2602,1)),"",IF((AND(LEFT(G2602,2)=LEFT('112'!$M$9,2),B2602&lt;'112'!$N$8,$L2602='112'!$I$6)),"x",""))</f>
        <v/>
      </c>
      <c r="U2602" s="39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39" t="str">
        <f>IF(OR(TH!L2602=TH!$W$7,M2602=TH!$W$7),"x","")</f>
        <v/>
      </c>
      <c r="X2602" s="39" t="str">
        <f>IF(AND(B2602&gt;='IN-NX'!$P$3,B2602&lt;='IN-NX'!$Q$3,'IN-NX'!$D$7=D2602,OR(LEFT(L2602,2)="15",AND(LEFT(M2602,2)&lt;&gt;"15",LEFT(M2602,2)&lt;&gt;"33"))),"x","")</f>
        <v/>
      </c>
      <c r="Y2602" s="39" t="str">
        <f>IF(AND(OR(LEFT(TH!L2602,2)="15",LEFT(TH!M2602,2)="15"),'152-CT'!$J$8=TH!F2602),"x","")</f>
        <v/>
      </c>
      <c r="Z2602" s="39" t="str">
        <f>IF(AND(OR(LEFT(TH!L2602,2)="15",LEFT(TH!M2602,2)="15"),TK!$E$7=TH!F2602),"x","")</f>
        <v/>
      </c>
      <c r="AA2602" s="39" t="str">
        <f>IF(AND(B2602&lt;=NKC!$N$8,B2602&gt;=NKC!$M$8),"x","")</f>
        <v/>
      </c>
      <c r="AB2602" s="821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12"/>
        <v/>
      </c>
      <c r="C2603" s="191"/>
      <c r="D2603" s="191"/>
      <c r="E2603" s="191"/>
      <c r="F2603" s="40"/>
      <c r="G2603" s="40"/>
      <c r="H2603" s="7"/>
      <c r="I2603" s="256"/>
      <c r="J2603" s="256"/>
      <c r="K2603" s="56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902" t="str">
        <f>IF(AND('341-CT'!$E$9=H2603,OR(LEFT(L2603,3)=$O$7,LEFT(M2603,3)=$O$7)),"x","")</f>
        <v/>
      </c>
      <c r="P2603" s="39" t="str">
        <f>IF(AND($B2603&gt;='111'!$N$11,$B2603&lt;='111'!$O$11,OR($L2603=$P$7,$M2603=$P$7)),"x","")</f>
        <v/>
      </c>
      <c r="Q2603" s="39" t="str">
        <f>IF(AND($L2603=$P$7,$B2603&lt;'111'!$N$11),"x","")</f>
        <v/>
      </c>
      <c r="R2603" s="39" t="str">
        <f>IF(AND($M2603=$P$7,$B2603&lt;'111'!$N$11),"x","")</f>
        <v/>
      </c>
      <c r="S2603" s="39" t="str">
        <f>IF(ISERROR(FIND('112'!$M$9,G2603,1)),"",IF((AND(FIND('112'!$M$9,G2603,1)&gt;=1,$B2603&gt;='112'!$N$8,$B2603&lt;='112'!$O$8,OR($L2603='112'!$I$6,$M2603='112'!$I$6))),"x",""))</f>
        <v/>
      </c>
      <c r="T2603" s="39" t="str">
        <f>IF(ISERROR(FIND('112'!$M$9,G2603,1)),"",IF((AND(LEFT(G2603,2)=LEFT('112'!$M$9,2),B2603&lt;'112'!$N$8,$L2603='112'!$I$6)),"x",""))</f>
        <v/>
      </c>
      <c r="U2603" s="39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39" t="str">
        <f>IF(OR(TH!L2603=TH!$W$7,M2603=TH!$W$7),"x","")</f>
        <v/>
      </c>
      <c r="X2603" s="39" t="str">
        <f>IF(AND(B2603&gt;='IN-NX'!$P$3,B2603&lt;='IN-NX'!$Q$3,'IN-NX'!$D$7=D2603,OR(LEFT(L2603,2)="15",AND(LEFT(M2603,2)&lt;&gt;"15",LEFT(M2603,2)&lt;&gt;"33"))),"x","")</f>
        <v/>
      </c>
      <c r="Y2603" s="39" t="str">
        <f>IF(AND(OR(LEFT(TH!L2603,2)="15",LEFT(TH!M2603,2)="15"),'152-CT'!$J$8=TH!F2603),"x","")</f>
        <v/>
      </c>
      <c r="Z2603" s="39" t="str">
        <f>IF(AND(OR(LEFT(TH!L2603,2)="15",LEFT(TH!M2603,2)="15"),TK!$E$7=TH!F2603),"x","")</f>
        <v/>
      </c>
      <c r="AA2603" s="39" t="str">
        <f>IF(AND(B2603&lt;=NKC!$N$8,B2603&gt;=NKC!$M$8),"x","")</f>
        <v/>
      </c>
      <c r="AB2603" s="821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12"/>
        <v/>
      </c>
      <c r="C2604" s="191"/>
      <c r="D2604" s="191"/>
      <c r="E2604" s="191"/>
      <c r="F2604" s="189"/>
      <c r="G2604" s="40"/>
      <c r="H2604" s="7"/>
      <c r="I2604" s="256"/>
      <c r="J2604" s="256"/>
      <c r="K2604" s="56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902" t="str">
        <f>IF(AND('341-CT'!$E$9=H2604,OR(LEFT(L2604,3)=$O$7,LEFT(M2604,3)=$O$7)),"x","")</f>
        <v/>
      </c>
      <c r="P2604" s="39" t="str">
        <f>IF(AND($B2604&gt;='111'!$N$11,$B2604&lt;='111'!$O$11,OR($L2604=$P$7,$M2604=$P$7)),"x","")</f>
        <v/>
      </c>
      <c r="Q2604" s="39" t="str">
        <f>IF(AND($L2604=$P$7,$B2604&lt;'111'!$N$11),"x","")</f>
        <v/>
      </c>
      <c r="R2604" s="39" t="str">
        <f>IF(AND($M2604=$P$7,$B2604&lt;'111'!$N$11),"x","")</f>
        <v/>
      </c>
      <c r="S2604" s="39" t="str">
        <f>IF(ISERROR(FIND('112'!$M$9,G2604,1)),"",IF((AND(FIND('112'!$M$9,G2604,1)&gt;=1,$B2604&gt;='112'!$N$8,$B2604&lt;='112'!$O$8,OR($L2604='112'!$I$6,$M2604='112'!$I$6))),"x",""))</f>
        <v/>
      </c>
      <c r="T2604" s="39" t="str">
        <f>IF(ISERROR(FIND('112'!$M$9,G2604,1)),"",IF((AND(LEFT(G2604,2)=LEFT('112'!$M$9,2),B2604&lt;'112'!$N$8,$L2604='112'!$I$6)),"x",""))</f>
        <v/>
      </c>
      <c r="U2604" s="39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39" t="str">
        <f>IF(OR(TH!L2604=TH!$W$7,M2604=TH!$W$7),"x","")</f>
        <v/>
      </c>
      <c r="X2604" s="39" t="str">
        <f>IF(AND(B2604&gt;='IN-NX'!$P$3,B2604&lt;='IN-NX'!$Q$3,'IN-NX'!$D$7=D2604,OR(LEFT(L2604,2)="15",AND(LEFT(M2604,2)&lt;&gt;"15",LEFT(M2604,2)&lt;&gt;"33"))),"x","")</f>
        <v/>
      </c>
      <c r="Y2604" s="39" t="str">
        <f>IF(AND(OR(LEFT(TH!L2604,2)="15",LEFT(TH!M2604,2)="15"),'152-CT'!$J$8=TH!F2604),"x","")</f>
        <v/>
      </c>
      <c r="Z2604" s="39" t="str">
        <f>IF(AND(OR(LEFT(TH!L2604,2)="15",LEFT(TH!M2604,2)="15"),TK!$E$7=TH!F2604),"x","")</f>
        <v/>
      </c>
      <c r="AA2604" s="39" t="str">
        <f>IF(AND(B2604&lt;=NKC!$N$8,B2604&gt;=NKC!$M$8),"x","")</f>
        <v/>
      </c>
      <c r="AB2604" s="821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12"/>
        <v/>
      </c>
      <c r="C2605" s="191"/>
      <c r="D2605" s="191"/>
      <c r="E2605" s="191"/>
      <c r="F2605" s="40"/>
      <c r="G2605" s="40"/>
      <c r="H2605" s="7"/>
      <c r="I2605" s="256"/>
      <c r="J2605" s="256"/>
      <c r="K2605" s="56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902" t="str">
        <f>IF(AND('341-CT'!$E$9=H2605,OR(LEFT(L2605,3)=$O$7,LEFT(M2605,3)=$O$7)),"x","")</f>
        <v/>
      </c>
      <c r="P2605" s="39" t="str">
        <f>IF(AND($B2605&gt;='111'!$N$11,$B2605&lt;='111'!$O$11,OR($L2605=$P$7,$M2605=$P$7)),"x","")</f>
        <v/>
      </c>
      <c r="Q2605" s="39" t="str">
        <f>IF(AND($L2605=$P$7,$B2605&lt;'111'!$N$11),"x","")</f>
        <v/>
      </c>
      <c r="R2605" s="39" t="str">
        <f>IF(AND($M2605=$P$7,$B2605&lt;'111'!$N$11),"x","")</f>
        <v/>
      </c>
      <c r="S2605" s="39" t="str">
        <f>IF(ISERROR(FIND('112'!$M$9,G2605,1)),"",IF((AND(FIND('112'!$M$9,G2605,1)&gt;=1,$B2605&gt;='112'!$N$8,$B2605&lt;='112'!$O$8,OR($L2605='112'!$I$6,$M2605='112'!$I$6))),"x",""))</f>
        <v/>
      </c>
      <c r="T2605" s="39" t="str">
        <f>IF(ISERROR(FIND('112'!$M$9,G2605,1)),"",IF((AND(LEFT(G2605,2)=LEFT('112'!$M$9,2),B2605&lt;'112'!$N$8,$L2605='112'!$I$6)),"x",""))</f>
        <v/>
      </c>
      <c r="U2605" s="39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39" t="str">
        <f>IF(OR(TH!L2605=TH!$W$7,M2605=TH!$W$7),"x","")</f>
        <v/>
      </c>
      <c r="X2605" s="39" t="str">
        <f>IF(AND(B2605&gt;='IN-NX'!$P$3,B2605&lt;='IN-NX'!$Q$3,'IN-NX'!$D$7=D2605,OR(LEFT(L2605,2)="15",AND(LEFT(M2605,2)&lt;&gt;"15",LEFT(M2605,2)&lt;&gt;"33"))),"x","")</f>
        <v/>
      </c>
      <c r="Y2605" s="39" t="str">
        <f>IF(AND(OR(LEFT(TH!L2605,2)="15",LEFT(TH!M2605,2)="15"),'152-CT'!$J$8=TH!F2605),"x","")</f>
        <v/>
      </c>
      <c r="Z2605" s="39" t="str">
        <f>IF(AND(OR(LEFT(TH!L2605,2)="15",LEFT(TH!M2605,2)="15"),TK!$E$7=TH!F2605),"x","")</f>
        <v/>
      </c>
      <c r="AA2605" s="39" t="str">
        <f>IF(AND(B2605&lt;=NKC!$N$8,B2605&gt;=NKC!$M$8),"x","")</f>
        <v/>
      </c>
      <c r="AB2605" s="821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12"/>
        <v/>
      </c>
      <c r="C2606" s="191"/>
      <c r="D2606" s="191"/>
      <c r="E2606" s="191"/>
      <c r="F2606" s="40"/>
      <c r="G2606" s="40"/>
      <c r="H2606" s="7"/>
      <c r="I2606" s="256"/>
      <c r="J2606" s="256"/>
      <c r="K2606" s="56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902" t="str">
        <f>IF(AND('341-CT'!$E$9=H2606,OR(LEFT(L2606,3)=$O$7,LEFT(M2606,3)=$O$7)),"x","")</f>
        <v/>
      </c>
      <c r="P2606" s="39" t="str">
        <f>IF(AND($B2606&gt;='111'!$N$11,$B2606&lt;='111'!$O$11,OR($L2606=$P$7,$M2606=$P$7)),"x","")</f>
        <v/>
      </c>
      <c r="Q2606" s="39" t="str">
        <f>IF(AND($L2606=$P$7,$B2606&lt;'111'!$N$11),"x","")</f>
        <v/>
      </c>
      <c r="R2606" s="39" t="str">
        <f>IF(AND($M2606=$P$7,$B2606&lt;'111'!$N$11),"x","")</f>
        <v/>
      </c>
      <c r="S2606" s="39" t="str">
        <f>IF(ISERROR(FIND('112'!$M$9,G2606,1)),"",IF((AND(FIND('112'!$M$9,G2606,1)&gt;=1,$B2606&gt;='112'!$N$8,$B2606&lt;='112'!$O$8,OR($L2606='112'!$I$6,$M2606='112'!$I$6))),"x",""))</f>
        <v/>
      </c>
      <c r="T2606" s="39" t="str">
        <f>IF(ISERROR(FIND('112'!$M$9,G2606,1)),"",IF((AND(LEFT(G2606,2)=LEFT('112'!$M$9,2),B2606&lt;'112'!$N$8,$L2606='112'!$I$6)),"x",""))</f>
        <v/>
      </c>
      <c r="U2606" s="39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39" t="str">
        <f>IF(OR(TH!L2606=TH!$W$7,M2606=TH!$W$7),"x","")</f>
        <v/>
      </c>
      <c r="X2606" s="39" t="str">
        <f>IF(AND(B2606&gt;='IN-NX'!$P$3,B2606&lt;='IN-NX'!$Q$3,'IN-NX'!$D$7=D2606,OR(LEFT(L2606,2)="15",AND(LEFT(M2606,2)&lt;&gt;"15",LEFT(M2606,2)&lt;&gt;"33"))),"x","")</f>
        <v/>
      </c>
      <c r="Y2606" s="39" t="str">
        <f>IF(AND(OR(LEFT(TH!L2606,2)="15",LEFT(TH!M2606,2)="15"),'152-CT'!$J$8=TH!F2606),"x","")</f>
        <v/>
      </c>
      <c r="Z2606" s="39" t="str">
        <f>IF(AND(OR(LEFT(TH!L2606,2)="15",LEFT(TH!M2606,2)="15"),TK!$E$7=TH!F2606),"x","")</f>
        <v/>
      </c>
      <c r="AA2606" s="39" t="str">
        <f>IF(AND(B2606&lt;=NKC!$N$8,B2606&gt;=NKC!$M$8),"x","")</f>
        <v/>
      </c>
      <c r="AB2606" s="821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12"/>
        <v/>
      </c>
      <c r="C2607" s="191"/>
      <c r="D2607" s="191"/>
      <c r="E2607" s="191"/>
      <c r="F2607" s="40"/>
      <c r="G2607" s="40"/>
      <c r="H2607" s="7"/>
      <c r="I2607" s="256"/>
      <c r="J2607" s="256"/>
      <c r="K2607" s="56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902" t="str">
        <f>IF(AND('341-CT'!$E$9=H2607,OR(LEFT(L2607,3)=$O$7,LEFT(M2607,3)=$O$7)),"x","")</f>
        <v/>
      </c>
      <c r="P2607" s="39" t="str">
        <f>IF(AND($B2607&gt;='111'!$N$11,$B2607&lt;='111'!$O$11,OR($L2607=$P$7,$M2607=$P$7)),"x","")</f>
        <v/>
      </c>
      <c r="Q2607" s="39" t="str">
        <f>IF(AND($L2607=$P$7,$B2607&lt;'111'!$N$11),"x","")</f>
        <v/>
      </c>
      <c r="R2607" s="39" t="str">
        <f>IF(AND($M2607=$P$7,$B2607&lt;'111'!$N$11),"x","")</f>
        <v/>
      </c>
      <c r="S2607" s="39" t="str">
        <f>IF(ISERROR(FIND('112'!$M$9,G2607,1)),"",IF((AND(FIND('112'!$M$9,G2607,1)&gt;=1,$B2607&gt;='112'!$N$8,$B2607&lt;='112'!$O$8,OR($L2607='112'!$I$6,$M2607='112'!$I$6))),"x",""))</f>
        <v/>
      </c>
      <c r="T2607" s="39" t="str">
        <f>IF(ISERROR(FIND('112'!$M$9,G2607,1)),"",IF((AND(LEFT(G2607,2)=LEFT('112'!$M$9,2),B2607&lt;'112'!$N$8,$L2607='112'!$I$6)),"x",""))</f>
        <v/>
      </c>
      <c r="U2607" s="39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39" t="str">
        <f>IF(OR(TH!L2607=TH!$W$7,M2607=TH!$W$7),"x","")</f>
        <v/>
      </c>
      <c r="X2607" s="39" t="str">
        <f>IF(AND(B2607&gt;='IN-NX'!$P$3,B2607&lt;='IN-NX'!$Q$3,'IN-NX'!$D$7=D2607,OR(LEFT(L2607,2)="15",AND(LEFT(M2607,2)&lt;&gt;"15",LEFT(M2607,2)&lt;&gt;"33"))),"x","")</f>
        <v/>
      </c>
      <c r="Y2607" s="39" t="str">
        <f>IF(AND(OR(LEFT(TH!L2607,2)="15",LEFT(TH!M2607,2)="15"),'152-CT'!$J$8=TH!F2607),"x","")</f>
        <v/>
      </c>
      <c r="Z2607" s="39" t="str">
        <f>IF(AND(OR(LEFT(TH!L2607,2)="15",LEFT(TH!M2607,2)="15"),TK!$E$7=TH!F2607),"x","")</f>
        <v/>
      </c>
      <c r="AA2607" s="39" t="str">
        <f>IF(AND(B2607&lt;=NKC!$N$8,B2607&gt;=NKC!$M$8),"x","")</f>
        <v/>
      </c>
      <c r="AB2607" s="821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12"/>
        <v/>
      </c>
      <c r="C2608" s="191"/>
      <c r="D2608" s="191"/>
      <c r="E2608" s="191"/>
      <c r="F2608" s="189"/>
      <c r="G2608" s="40"/>
      <c r="H2608" s="7"/>
      <c r="I2608" s="256"/>
      <c r="J2608" s="256"/>
      <c r="K2608" s="56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902" t="str">
        <f>IF(AND('341-CT'!$E$9=H2608,OR(LEFT(L2608,3)=$O$7,LEFT(M2608,3)=$O$7)),"x","")</f>
        <v/>
      </c>
      <c r="P2608" s="39" t="str">
        <f>IF(AND($B2608&gt;='111'!$N$11,$B2608&lt;='111'!$O$11,OR($L2608=$P$7,$M2608=$P$7)),"x","")</f>
        <v/>
      </c>
      <c r="Q2608" s="39" t="str">
        <f>IF(AND($L2608=$P$7,$B2608&lt;'111'!$N$11),"x","")</f>
        <v/>
      </c>
      <c r="R2608" s="39" t="str">
        <f>IF(AND($M2608=$P$7,$B2608&lt;'111'!$N$11),"x","")</f>
        <v/>
      </c>
      <c r="S2608" s="39" t="str">
        <f>IF(ISERROR(FIND('112'!$M$9,G2608,1)),"",IF((AND(FIND('112'!$M$9,G2608,1)&gt;=1,$B2608&gt;='112'!$N$8,$B2608&lt;='112'!$O$8,OR($L2608='112'!$I$6,$M2608='112'!$I$6))),"x",""))</f>
        <v/>
      </c>
      <c r="T2608" s="39" t="str">
        <f>IF(ISERROR(FIND('112'!$M$9,G2608,1)),"",IF((AND(LEFT(G2608,2)=LEFT('112'!$M$9,2),B2608&lt;'112'!$N$8,$L2608='112'!$I$6)),"x",""))</f>
        <v/>
      </c>
      <c r="U2608" s="39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39" t="str">
        <f>IF(OR(TH!L2608=TH!$W$7,M2608=TH!$W$7),"x","")</f>
        <v/>
      </c>
      <c r="X2608" s="39" t="str">
        <f>IF(AND(B2608&gt;='IN-NX'!$P$3,B2608&lt;='IN-NX'!$Q$3,'IN-NX'!$D$7=D2608,OR(LEFT(L2608,2)="15",AND(LEFT(M2608,2)&lt;&gt;"15",LEFT(M2608,2)&lt;&gt;"33"))),"x","")</f>
        <v/>
      </c>
      <c r="Y2608" s="39" t="str">
        <f>IF(AND(OR(LEFT(TH!L2608,2)="15",LEFT(TH!M2608,2)="15"),'152-CT'!$J$8=TH!F2608),"x","")</f>
        <v/>
      </c>
      <c r="Z2608" s="39" t="str">
        <f>IF(AND(OR(LEFT(TH!L2608,2)="15",LEFT(TH!M2608,2)="15"),TK!$E$7=TH!F2608),"x","")</f>
        <v/>
      </c>
      <c r="AA2608" s="39" t="str">
        <f>IF(AND(B2608&lt;=NKC!$N$8,B2608&gt;=NKC!$M$8),"x","")</f>
        <v/>
      </c>
      <c r="AB2608" s="821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12"/>
        <v/>
      </c>
      <c r="C2609" s="191"/>
      <c r="D2609" s="191"/>
      <c r="E2609" s="191"/>
      <c r="F2609" s="40"/>
      <c r="G2609" s="40"/>
      <c r="H2609" s="7"/>
      <c r="I2609" s="256"/>
      <c r="J2609" s="256"/>
      <c r="K2609" s="56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902" t="str">
        <f>IF(AND('341-CT'!$E$9=H2609,OR(LEFT(L2609,3)=$O$7,LEFT(M2609,3)=$O$7)),"x","")</f>
        <v/>
      </c>
      <c r="P2609" s="39" t="str">
        <f>IF(AND($B2609&gt;='111'!$N$11,$B2609&lt;='111'!$O$11,OR($L2609=$P$7,$M2609=$P$7)),"x","")</f>
        <v/>
      </c>
      <c r="Q2609" s="39" t="str">
        <f>IF(AND($L2609=$P$7,$B2609&lt;'111'!$N$11),"x","")</f>
        <v/>
      </c>
      <c r="R2609" s="39" t="str">
        <f>IF(AND($M2609=$P$7,$B2609&lt;'111'!$N$11),"x","")</f>
        <v/>
      </c>
      <c r="S2609" s="39" t="str">
        <f>IF(ISERROR(FIND('112'!$M$9,G2609,1)),"",IF((AND(FIND('112'!$M$9,G2609,1)&gt;=1,$B2609&gt;='112'!$N$8,$B2609&lt;='112'!$O$8,OR($L2609='112'!$I$6,$M2609='112'!$I$6))),"x",""))</f>
        <v/>
      </c>
      <c r="T2609" s="39" t="str">
        <f>IF(ISERROR(FIND('112'!$M$9,G2609,1)),"",IF((AND(LEFT(G2609,2)=LEFT('112'!$M$9,2),B2609&lt;'112'!$N$8,$L2609='112'!$I$6)),"x",""))</f>
        <v/>
      </c>
      <c r="U2609" s="39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39" t="str">
        <f>IF(OR(TH!L2609=TH!$W$7,M2609=TH!$W$7),"x","")</f>
        <v/>
      </c>
      <c r="X2609" s="39" t="str">
        <f>IF(AND(B2609&gt;='IN-NX'!$P$3,B2609&lt;='IN-NX'!$Q$3,'IN-NX'!$D$7=D2609,OR(LEFT(L2609,2)="15",AND(LEFT(M2609,2)&lt;&gt;"15",LEFT(M2609,2)&lt;&gt;"33"))),"x","")</f>
        <v/>
      </c>
      <c r="Y2609" s="39" t="str">
        <f>IF(AND(OR(LEFT(TH!L2609,2)="15",LEFT(TH!M2609,2)="15"),'152-CT'!$J$8=TH!F2609),"x","")</f>
        <v/>
      </c>
      <c r="Z2609" s="39" t="str">
        <f>IF(AND(OR(LEFT(TH!L2609,2)="15",LEFT(TH!M2609,2)="15"),TK!$E$7=TH!F2609),"x","")</f>
        <v/>
      </c>
      <c r="AA2609" s="39" t="str">
        <f>IF(AND(B2609&lt;=NKC!$N$8,B2609&gt;=NKC!$M$8),"x","")</f>
        <v/>
      </c>
      <c r="AB2609" s="821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12"/>
        <v/>
      </c>
      <c r="C2610" s="191"/>
      <c r="D2610" s="191"/>
      <c r="E2610" s="191"/>
      <c r="F2610" s="189"/>
      <c r="G2610" s="40"/>
      <c r="H2610" s="7"/>
      <c r="I2610" s="256"/>
      <c r="J2610" s="256"/>
      <c r="K2610" s="56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902" t="str">
        <f>IF(AND('341-CT'!$E$9=H2610,OR(LEFT(L2610,3)=$O$7,LEFT(M2610,3)=$O$7)),"x","")</f>
        <v/>
      </c>
      <c r="P2610" s="39" t="str">
        <f>IF(AND($B2610&gt;='111'!$N$11,$B2610&lt;='111'!$O$11,OR($L2610=$P$7,$M2610=$P$7)),"x","")</f>
        <v/>
      </c>
      <c r="Q2610" s="39" t="str">
        <f>IF(AND($L2610=$P$7,$B2610&lt;'111'!$N$11),"x","")</f>
        <v/>
      </c>
      <c r="R2610" s="39" t="str">
        <f>IF(AND($M2610=$P$7,$B2610&lt;'111'!$N$11),"x","")</f>
        <v/>
      </c>
      <c r="S2610" s="39" t="str">
        <f>IF(ISERROR(FIND('112'!$M$9,G2610,1)),"",IF((AND(FIND('112'!$M$9,G2610,1)&gt;=1,$B2610&gt;='112'!$N$8,$B2610&lt;='112'!$O$8,OR($L2610='112'!$I$6,$M2610='112'!$I$6))),"x",""))</f>
        <v/>
      </c>
      <c r="T2610" s="39" t="str">
        <f>IF(ISERROR(FIND('112'!$M$9,G2610,1)),"",IF((AND(LEFT(G2610,2)=LEFT('112'!$M$9,2),B2610&lt;'112'!$N$8,$L2610='112'!$I$6)),"x",""))</f>
        <v/>
      </c>
      <c r="U2610" s="39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39" t="str">
        <f>IF(OR(TH!L2610=TH!$W$7,M2610=TH!$W$7),"x","")</f>
        <v/>
      </c>
      <c r="X2610" s="39" t="str">
        <f>IF(AND(B2610&gt;='IN-NX'!$P$3,B2610&lt;='IN-NX'!$Q$3,'IN-NX'!$D$7=D2610,OR(LEFT(L2610,2)="15",AND(LEFT(M2610,2)&lt;&gt;"15",LEFT(M2610,2)&lt;&gt;"33"))),"x","")</f>
        <v/>
      </c>
      <c r="Y2610" s="39" t="str">
        <f>IF(AND(OR(LEFT(TH!L2610,2)="15",LEFT(TH!M2610,2)="15"),'152-CT'!$J$8=TH!F2610),"x","")</f>
        <v/>
      </c>
      <c r="Z2610" s="39" t="str">
        <f>IF(AND(OR(LEFT(TH!L2610,2)="15",LEFT(TH!M2610,2)="15"),TK!$E$7=TH!F2610),"x","")</f>
        <v/>
      </c>
      <c r="AA2610" s="39" t="str">
        <f>IF(AND(B2610&lt;=NKC!$N$8,B2610&gt;=NKC!$M$8),"x","")</f>
        <v/>
      </c>
      <c r="AB2610" s="821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12"/>
        <v/>
      </c>
      <c r="C2611" s="191"/>
      <c r="D2611" s="37"/>
      <c r="E2611" s="191"/>
      <c r="F2611" s="40"/>
      <c r="G2611" s="40"/>
      <c r="H2611" s="7"/>
      <c r="I2611" s="256"/>
      <c r="J2611" s="256"/>
      <c r="K2611" s="56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902" t="str">
        <f>IF(AND('341-CT'!$E$9=H2611,OR(LEFT(L2611,3)=$O$7,LEFT(M2611,3)=$O$7)),"x","")</f>
        <v/>
      </c>
      <c r="P2611" s="39" t="str">
        <f>IF(AND($B2611&gt;='111'!$N$11,$B2611&lt;='111'!$O$11,OR($L2611=$P$7,$M2611=$P$7)),"x","")</f>
        <v/>
      </c>
      <c r="Q2611" s="39" t="str">
        <f>IF(AND($L2611=$P$7,$B2611&lt;'111'!$N$11),"x","")</f>
        <v/>
      </c>
      <c r="R2611" s="39" t="str">
        <f>IF(AND($M2611=$P$7,$B2611&lt;'111'!$N$11),"x","")</f>
        <v/>
      </c>
      <c r="S2611" s="39" t="str">
        <f>IF(ISERROR(FIND('112'!$M$9,G2611,1)),"",IF((AND(FIND('112'!$M$9,G2611,1)&gt;=1,$B2611&gt;='112'!$N$8,$B2611&lt;='112'!$O$8,OR($L2611='112'!$I$6,$M2611='112'!$I$6))),"x",""))</f>
        <v/>
      </c>
      <c r="T2611" s="39" t="str">
        <f>IF(ISERROR(FIND('112'!$M$9,G2611,1)),"",IF((AND(LEFT(G2611,2)=LEFT('112'!$M$9,2),B2611&lt;'112'!$N$8,$L2611='112'!$I$6)),"x",""))</f>
        <v/>
      </c>
      <c r="U2611" s="39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39" t="str">
        <f>IF(OR(TH!L2611=TH!$W$7,M2611=TH!$W$7),"x","")</f>
        <v/>
      </c>
      <c r="X2611" s="39" t="str">
        <f>IF(AND(B2611&gt;='IN-NX'!$P$3,B2611&lt;='IN-NX'!$Q$3,'IN-NX'!$D$7=D2611,OR(LEFT(L2611,2)="15",AND(LEFT(M2611,2)&lt;&gt;"15",LEFT(M2611,2)&lt;&gt;"33"))),"x","")</f>
        <v/>
      </c>
      <c r="Y2611" s="39" t="str">
        <f>IF(AND(OR(LEFT(TH!L2611,2)="15",LEFT(TH!M2611,2)="15"),'152-CT'!$J$8=TH!F2611),"x","")</f>
        <v/>
      </c>
      <c r="Z2611" s="39" t="str">
        <f>IF(AND(OR(LEFT(TH!L2611,2)="15",LEFT(TH!M2611,2)="15"),TK!$E$7=TH!F2611),"x","")</f>
        <v/>
      </c>
      <c r="AA2611" s="39" t="str">
        <f>IF(AND(B2611&lt;=NKC!$N$8,B2611&gt;=NKC!$M$8),"x","")</f>
        <v/>
      </c>
      <c r="AB2611" s="821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12"/>
        <v/>
      </c>
      <c r="C2612" s="191"/>
      <c r="D2612" s="37"/>
      <c r="E2612" s="191"/>
      <c r="F2612" s="40"/>
      <c r="G2612" s="40"/>
      <c r="H2612" s="7"/>
      <c r="I2612" s="256"/>
      <c r="J2612" s="256"/>
      <c r="K2612" s="56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902" t="str">
        <f>IF(AND('341-CT'!$E$9=H2612,OR(LEFT(L2612,3)=$O$7,LEFT(M2612,3)=$O$7)),"x","")</f>
        <v/>
      </c>
      <c r="P2612" s="39" t="str">
        <f>IF(AND($B2612&gt;='111'!$N$11,$B2612&lt;='111'!$O$11,OR($L2612=$P$7,$M2612=$P$7)),"x","")</f>
        <v/>
      </c>
      <c r="Q2612" s="39" t="str">
        <f>IF(AND($L2612=$P$7,$B2612&lt;'111'!$N$11),"x","")</f>
        <v/>
      </c>
      <c r="R2612" s="39" t="str">
        <f>IF(AND($M2612=$P$7,$B2612&lt;'111'!$N$11),"x","")</f>
        <v/>
      </c>
      <c r="S2612" s="39" t="str">
        <f>IF(ISERROR(FIND('112'!$M$9,G2612,1)),"",IF((AND(FIND('112'!$M$9,G2612,1)&gt;=1,$B2612&gt;='112'!$N$8,$B2612&lt;='112'!$O$8,OR($L2612='112'!$I$6,$M2612='112'!$I$6))),"x",""))</f>
        <v/>
      </c>
      <c r="T2612" s="39" t="str">
        <f>IF(ISERROR(FIND('112'!$M$9,G2612,1)),"",IF((AND(LEFT(G2612,2)=LEFT('112'!$M$9,2),B2612&lt;'112'!$N$8,$L2612='112'!$I$6)),"x",""))</f>
        <v/>
      </c>
      <c r="U2612" s="39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39" t="str">
        <f>IF(OR(TH!L2612=TH!$W$7,M2612=TH!$W$7),"x","")</f>
        <v/>
      </c>
      <c r="X2612" s="39" t="str">
        <f>IF(AND(B2612&gt;='IN-NX'!$P$3,B2612&lt;='IN-NX'!$Q$3,'IN-NX'!$D$7=D2612,OR(LEFT(L2612,2)="15",AND(LEFT(M2612,2)&lt;&gt;"15",LEFT(M2612,2)&lt;&gt;"33"))),"x","")</f>
        <v/>
      </c>
      <c r="Y2612" s="39" t="str">
        <f>IF(AND(OR(LEFT(TH!L2612,2)="15",LEFT(TH!M2612,2)="15"),'152-CT'!$J$8=TH!F2612),"x","")</f>
        <v/>
      </c>
      <c r="Z2612" s="39" t="str">
        <f>IF(AND(OR(LEFT(TH!L2612,2)="15",LEFT(TH!M2612,2)="15"),TK!$E$7=TH!F2612),"x","")</f>
        <v/>
      </c>
      <c r="AA2612" s="39" t="str">
        <f>IF(AND(B2612&lt;=NKC!$N$8,B2612&gt;=NKC!$M$8),"x","")</f>
        <v/>
      </c>
      <c r="AB2612" s="821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12"/>
        <v/>
      </c>
      <c r="C2613" s="191"/>
      <c r="D2613" s="37"/>
      <c r="E2613" s="191"/>
      <c r="F2613" s="40"/>
      <c r="G2613" s="40"/>
      <c r="H2613" s="7"/>
      <c r="I2613" s="256"/>
      <c r="J2613" s="256"/>
      <c r="K2613" s="56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902" t="str">
        <f>IF(AND('341-CT'!$E$9=H2613,OR(LEFT(L2613,3)=$O$7,LEFT(M2613,3)=$O$7)),"x","")</f>
        <v/>
      </c>
      <c r="P2613" s="39" t="str">
        <f>IF(AND($B2613&gt;='111'!$N$11,$B2613&lt;='111'!$O$11,OR($L2613=$P$7,$M2613=$P$7)),"x","")</f>
        <v/>
      </c>
      <c r="Q2613" s="39" t="str">
        <f>IF(AND($L2613=$P$7,$B2613&lt;'111'!$N$11),"x","")</f>
        <v/>
      </c>
      <c r="R2613" s="39" t="str">
        <f>IF(AND($M2613=$P$7,$B2613&lt;'111'!$N$11),"x","")</f>
        <v/>
      </c>
      <c r="S2613" s="39" t="str">
        <f>IF(ISERROR(FIND('112'!$M$9,G2613,1)),"",IF((AND(FIND('112'!$M$9,G2613,1)&gt;=1,$B2613&gt;='112'!$N$8,$B2613&lt;='112'!$O$8,OR($L2613='112'!$I$6,$M2613='112'!$I$6))),"x",""))</f>
        <v/>
      </c>
      <c r="T2613" s="39" t="str">
        <f>IF(ISERROR(FIND('112'!$M$9,G2613,1)),"",IF((AND(LEFT(G2613,2)=LEFT('112'!$M$9,2),B2613&lt;'112'!$N$8,$L2613='112'!$I$6)),"x",""))</f>
        <v/>
      </c>
      <c r="U2613" s="39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39" t="str">
        <f>IF(OR(TH!L2613=TH!$W$7,M2613=TH!$W$7),"x","")</f>
        <v/>
      </c>
      <c r="X2613" s="39" t="str">
        <f>IF(AND(B2613&gt;='IN-NX'!$P$3,B2613&lt;='IN-NX'!$Q$3,'IN-NX'!$D$7=D2613,OR(LEFT(L2613,2)="15",AND(LEFT(M2613,2)&lt;&gt;"15",LEFT(M2613,2)&lt;&gt;"33"))),"x","")</f>
        <v/>
      </c>
      <c r="Y2613" s="39" t="str">
        <f>IF(AND(OR(LEFT(TH!L2613,2)="15",LEFT(TH!M2613,2)="15"),'152-CT'!$J$8=TH!F2613),"x","")</f>
        <v/>
      </c>
      <c r="Z2613" s="39" t="str">
        <f>IF(AND(OR(LEFT(TH!L2613,2)="15",LEFT(TH!M2613,2)="15"),TK!$E$7=TH!F2613),"x","")</f>
        <v/>
      </c>
      <c r="AA2613" s="39" t="str">
        <f>IF(AND(B2613&lt;=NKC!$N$8,B2613&gt;=NKC!$M$8),"x","")</f>
        <v/>
      </c>
      <c r="AB2613" s="821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12"/>
        <v/>
      </c>
      <c r="C2614" s="191"/>
      <c r="D2614" s="37"/>
      <c r="E2614" s="191"/>
      <c r="F2614" s="40"/>
      <c r="G2614" s="40"/>
      <c r="H2614" s="7"/>
      <c r="I2614" s="256"/>
      <c r="J2614" s="256"/>
      <c r="K2614" s="56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902" t="str">
        <f>IF(AND('341-CT'!$E$9=H2614,OR(LEFT(L2614,3)=$O$7,LEFT(M2614,3)=$O$7)),"x","")</f>
        <v/>
      </c>
      <c r="P2614" s="39" t="str">
        <f>IF(AND($B2614&gt;='111'!$N$11,$B2614&lt;='111'!$O$11,OR($L2614=$P$7,$M2614=$P$7)),"x","")</f>
        <v/>
      </c>
      <c r="Q2614" s="39" t="str">
        <f>IF(AND($L2614=$P$7,$B2614&lt;'111'!$N$11),"x","")</f>
        <v/>
      </c>
      <c r="R2614" s="39" t="str">
        <f>IF(AND($M2614=$P$7,$B2614&lt;'111'!$N$11),"x","")</f>
        <v/>
      </c>
      <c r="S2614" s="39" t="str">
        <f>IF(ISERROR(FIND('112'!$M$9,G2614,1)),"",IF((AND(FIND('112'!$M$9,G2614,1)&gt;=1,$B2614&gt;='112'!$N$8,$B2614&lt;='112'!$O$8,OR($L2614='112'!$I$6,$M2614='112'!$I$6))),"x",""))</f>
        <v/>
      </c>
      <c r="T2614" s="39" t="str">
        <f>IF(ISERROR(FIND('112'!$M$9,G2614,1)),"",IF((AND(LEFT(G2614,2)=LEFT('112'!$M$9,2),B2614&lt;'112'!$N$8,$L2614='112'!$I$6)),"x",""))</f>
        <v/>
      </c>
      <c r="U2614" s="39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39" t="str">
        <f>IF(OR(TH!L2614=TH!$W$7,M2614=TH!$W$7),"x","")</f>
        <v/>
      </c>
      <c r="X2614" s="39" t="str">
        <f>IF(AND(B2614&gt;='IN-NX'!$P$3,B2614&lt;='IN-NX'!$Q$3,'IN-NX'!$D$7=D2614,OR(LEFT(L2614,2)="15",AND(LEFT(M2614,2)&lt;&gt;"15",LEFT(M2614,2)&lt;&gt;"33"))),"x","")</f>
        <v/>
      </c>
      <c r="Y2614" s="39" t="str">
        <f>IF(AND(OR(LEFT(TH!L2614,2)="15",LEFT(TH!M2614,2)="15"),'152-CT'!$J$8=TH!F2614),"x","")</f>
        <v/>
      </c>
      <c r="Z2614" s="39" t="str">
        <f>IF(AND(OR(LEFT(TH!L2614,2)="15",LEFT(TH!M2614,2)="15"),TK!$E$7=TH!F2614),"x","")</f>
        <v/>
      </c>
      <c r="AA2614" s="39" t="str">
        <f>IF(AND(B2614&lt;=NKC!$N$8,B2614&gt;=NKC!$M$8),"x","")</f>
        <v/>
      </c>
      <c r="AB2614" s="821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12"/>
        <v/>
      </c>
      <c r="C2615" s="191"/>
      <c r="D2615" s="37"/>
      <c r="E2615" s="191"/>
      <c r="F2615" s="40"/>
      <c r="G2615" s="40"/>
      <c r="H2615" s="7"/>
      <c r="I2615" s="256"/>
      <c r="J2615" s="256"/>
      <c r="K2615" s="56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902" t="str">
        <f>IF(AND('341-CT'!$E$9=H2615,OR(LEFT(L2615,3)=$O$7,LEFT(M2615,3)=$O$7)),"x","")</f>
        <v/>
      </c>
      <c r="P2615" s="39" t="str">
        <f>IF(AND($B2615&gt;='111'!$N$11,$B2615&lt;='111'!$O$11,OR($L2615=$P$7,$M2615=$P$7)),"x","")</f>
        <v/>
      </c>
      <c r="Q2615" s="39" t="str">
        <f>IF(AND($L2615=$P$7,$B2615&lt;'111'!$N$11),"x","")</f>
        <v/>
      </c>
      <c r="R2615" s="39" t="str">
        <f>IF(AND($M2615=$P$7,$B2615&lt;'111'!$N$11),"x","")</f>
        <v/>
      </c>
      <c r="S2615" s="39" t="str">
        <f>IF(ISERROR(FIND('112'!$M$9,G2615,1)),"",IF((AND(FIND('112'!$M$9,G2615,1)&gt;=1,$B2615&gt;='112'!$N$8,$B2615&lt;='112'!$O$8,OR($L2615='112'!$I$6,$M2615='112'!$I$6))),"x",""))</f>
        <v/>
      </c>
      <c r="T2615" s="39" t="str">
        <f>IF(ISERROR(FIND('112'!$M$9,G2615,1)),"",IF((AND(LEFT(G2615,2)=LEFT('112'!$M$9,2),B2615&lt;'112'!$N$8,$L2615='112'!$I$6)),"x",""))</f>
        <v/>
      </c>
      <c r="U2615" s="39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39" t="str">
        <f>IF(OR(TH!L2615=TH!$W$7,M2615=TH!$W$7),"x","")</f>
        <v/>
      </c>
      <c r="X2615" s="39" t="str">
        <f>IF(AND(B2615&gt;='IN-NX'!$P$3,B2615&lt;='IN-NX'!$Q$3,'IN-NX'!$D$7=D2615,OR(LEFT(L2615,2)="15",AND(LEFT(M2615,2)&lt;&gt;"15",LEFT(M2615,2)&lt;&gt;"33"))),"x","")</f>
        <v/>
      </c>
      <c r="Y2615" s="39" t="str">
        <f>IF(AND(OR(LEFT(TH!L2615,2)="15",LEFT(TH!M2615,2)="15"),'152-CT'!$J$8=TH!F2615),"x","")</f>
        <v/>
      </c>
      <c r="Z2615" s="39" t="str">
        <f>IF(AND(OR(LEFT(TH!L2615,2)="15",LEFT(TH!M2615,2)="15"),TK!$E$7=TH!F2615),"x","")</f>
        <v/>
      </c>
      <c r="AA2615" s="39" t="str">
        <f>IF(AND(B2615&lt;=NKC!$N$8,B2615&gt;=NKC!$M$8),"x","")</f>
        <v/>
      </c>
      <c r="AB2615" s="821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12"/>
        <v/>
      </c>
      <c r="C2616" s="191"/>
      <c r="D2616" s="37"/>
      <c r="E2616" s="191"/>
      <c r="F2616" s="40"/>
      <c r="G2616" s="40"/>
      <c r="H2616" s="7"/>
      <c r="I2616" s="256"/>
      <c r="J2616" s="256"/>
      <c r="K2616" s="56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902" t="str">
        <f>IF(AND('341-CT'!$E$9=H2616,OR(LEFT(L2616,3)=$O$7,LEFT(M2616,3)=$O$7)),"x","")</f>
        <v/>
      </c>
      <c r="P2616" s="39" t="str">
        <f>IF(AND($B2616&gt;='111'!$N$11,$B2616&lt;='111'!$O$11,OR($L2616=$P$7,$M2616=$P$7)),"x","")</f>
        <v/>
      </c>
      <c r="Q2616" s="39" t="str">
        <f>IF(AND($L2616=$P$7,$B2616&lt;'111'!$N$11),"x","")</f>
        <v/>
      </c>
      <c r="R2616" s="39" t="str">
        <f>IF(AND($M2616=$P$7,$B2616&lt;'111'!$N$11),"x","")</f>
        <v/>
      </c>
      <c r="S2616" s="39" t="str">
        <f>IF(ISERROR(FIND('112'!$M$9,G2616,1)),"",IF((AND(FIND('112'!$M$9,G2616,1)&gt;=1,$B2616&gt;='112'!$N$8,$B2616&lt;='112'!$O$8,OR($L2616='112'!$I$6,$M2616='112'!$I$6))),"x",""))</f>
        <v/>
      </c>
      <c r="T2616" s="39" t="str">
        <f>IF(ISERROR(FIND('112'!$M$9,G2616,1)),"",IF((AND(LEFT(G2616,2)=LEFT('112'!$M$9,2),B2616&lt;'112'!$N$8,$L2616='112'!$I$6)),"x",""))</f>
        <v/>
      </c>
      <c r="U2616" s="39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39" t="str">
        <f>IF(OR(TH!L2616=TH!$W$7,M2616=TH!$W$7),"x","")</f>
        <v/>
      </c>
      <c r="X2616" s="39" t="str">
        <f>IF(AND(B2616&gt;='IN-NX'!$P$3,B2616&lt;='IN-NX'!$Q$3,'IN-NX'!$D$7=D2616,OR(LEFT(L2616,2)="15",AND(LEFT(M2616,2)&lt;&gt;"15",LEFT(M2616,2)&lt;&gt;"33"))),"x","")</f>
        <v/>
      </c>
      <c r="Y2616" s="39" t="str">
        <f>IF(AND(OR(LEFT(TH!L2616,2)="15",LEFT(TH!M2616,2)="15"),'152-CT'!$J$8=TH!F2616),"x","")</f>
        <v/>
      </c>
      <c r="Z2616" s="39" t="str">
        <f>IF(AND(OR(LEFT(TH!L2616,2)="15",LEFT(TH!M2616,2)="15"),TK!$E$7=TH!F2616),"x","")</f>
        <v/>
      </c>
      <c r="AA2616" s="39" t="str">
        <f>IF(AND(B2616&lt;=NKC!$N$8,B2616&gt;=NKC!$M$8),"x","")</f>
        <v/>
      </c>
      <c r="AB2616" s="821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ref="B2617:B2680" si="113">IF(C2617&lt;&gt;"",MONTH(C2617),"")</f>
        <v/>
      </c>
      <c r="C2617" s="191"/>
      <c r="D2617" s="37"/>
      <c r="E2617" s="191"/>
      <c r="F2617" s="40"/>
      <c r="G2617" s="40"/>
      <c r="H2617" s="7"/>
      <c r="I2617" s="256"/>
      <c r="J2617" s="256"/>
      <c r="K2617" s="568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902" t="str">
        <f>IF(AND('341-CT'!$E$9=H2617,OR(LEFT(L2617,3)=$O$7,LEFT(M2617,3)=$O$7)),"x","")</f>
        <v/>
      </c>
      <c r="P2617" s="39" t="str">
        <f>IF(AND($B2617&gt;='111'!$N$11,$B2617&lt;='111'!$O$11,OR($L2617=$P$7,$M2617=$P$7)),"x","")</f>
        <v/>
      </c>
      <c r="Q2617" s="39" t="str">
        <f>IF(AND($L2617=$P$7,$B2617&lt;'111'!$N$11),"x","")</f>
        <v/>
      </c>
      <c r="R2617" s="39" t="str">
        <f>IF(AND($M2617=$P$7,$B2617&lt;'111'!$N$11),"x","")</f>
        <v/>
      </c>
      <c r="S2617" s="39" t="str">
        <f>IF(ISERROR(FIND('112'!$M$9,G2617,1)),"",IF((AND(FIND('112'!$M$9,G2617,1)&gt;=1,$B2617&gt;='112'!$N$8,$B2617&lt;='112'!$O$8,OR($L2617='112'!$I$6,$M2617='112'!$I$6))),"x",""))</f>
        <v/>
      </c>
      <c r="T2617" s="39" t="str">
        <f>IF(ISERROR(FIND('112'!$M$9,G2617,1)),"",IF((AND(LEFT(G2617,2)=LEFT('112'!$M$9,2),B2617&lt;'112'!$N$8,$L2617='112'!$I$6)),"x",""))</f>
        <v/>
      </c>
      <c r="U2617" s="39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39" t="str">
        <f>IF(OR(TH!L2617=TH!$W$7,M2617=TH!$W$7),"x","")</f>
        <v/>
      </c>
      <c r="X2617" s="39" t="str">
        <f>IF(AND(B2617&gt;='IN-NX'!$P$3,B2617&lt;='IN-NX'!$Q$3,'IN-NX'!$D$7=D2617,OR(LEFT(L2617,2)="15",AND(LEFT(M2617,2)&lt;&gt;"15",LEFT(M2617,2)&lt;&gt;"33"))),"x","")</f>
        <v/>
      </c>
      <c r="Y2617" s="39" t="str">
        <f>IF(AND(OR(LEFT(TH!L2617,2)="15",LEFT(TH!M2617,2)="15"),'152-CT'!$J$8=TH!F2617),"x","")</f>
        <v/>
      </c>
      <c r="Z2617" s="39" t="str">
        <f>IF(AND(OR(LEFT(TH!L2617,2)="15",LEFT(TH!M2617,2)="15"),TK!$E$7=TH!F2617),"x","")</f>
        <v/>
      </c>
      <c r="AA2617" s="39" t="str">
        <f>IF(AND(B2617&lt;=NKC!$N$8,B2617&gt;=NKC!$M$8),"x","")</f>
        <v/>
      </c>
      <c r="AB2617" s="821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13"/>
        <v/>
      </c>
      <c r="C2618" s="191"/>
      <c r="D2618" s="37"/>
      <c r="E2618" s="191"/>
      <c r="F2618" s="40"/>
      <c r="G2618" s="40"/>
      <c r="H2618" s="7"/>
      <c r="I2618" s="256"/>
      <c r="J2618" s="256"/>
      <c r="K2618" s="568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902" t="str">
        <f>IF(AND('341-CT'!$E$9=H2618,OR(LEFT(L2618,3)=$O$7,LEFT(M2618,3)=$O$7)),"x","")</f>
        <v/>
      </c>
      <c r="P2618" s="39" t="str">
        <f>IF(AND($B2618&gt;='111'!$N$11,$B2618&lt;='111'!$O$11,OR($L2618=$P$7,$M2618=$P$7)),"x","")</f>
        <v/>
      </c>
      <c r="Q2618" s="39" t="str">
        <f>IF(AND($L2618=$P$7,$B2618&lt;'111'!$N$11),"x","")</f>
        <v/>
      </c>
      <c r="R2618" s="39" t="str">
        <f>IF(AND($M2618=$P$7,$B2618&lt;'111'!$N$11),"x","")</f>
        <v/>
      </c>
      <c r="S2618" s="39" t="str">
        <f>IF(ISERROR(FIND('112'!$M$9,G2618,1)),"",IF((AND(FIND('112'!$M$9,G2618,1)&gt;=1,$B2618&gt;='112'!$N$8,$B2618&lt;='112'!$O$8,OR($L2618='112'!$I$6,$M2618='112'!$I$6))),"x",""))</f>
        <v/>
      </c>
      <c r="T2618" s="39" t="str">
        <f>IF(ISERROR(FIND('112'!$M$9,G2618,1)),"",IF((AND(LEFT(G2618,2)=LEFT('112'!$M$9,2),B2618&lt;'112'!$N$8,$L2618='112'!$I$6)),"x",""))</f>
        <v/>
      </c>
      <c r="U2618" s="39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39" t="str">
        <f>IF(OR(TH!L2618=TH!$W$7,M2618=TH!$W$7),"x","")</f>
        <v/>
      </c>
      <c r="X2618" s="39" t="str">
        <f>IF(AND(B2618&gt;='IN-NX'!$P$3,B2618&lt;='IN-NX'!$Q$3,'IN-NX'!$D$7=D2618,OR(LEFT(L2618,2)="15",AND(LEFT(M2618,2)&lt;&gt;"15",LEFT(M2618,2)&lt;&gt;"33"))),"x","")</f>
        <v/>
      </c>
      <c r="Y2618" s="39" t="str">
        <f>IF(AND(OR(LEFT(TH!L2618,2)="15",LEFT(TH!M2618,2)="15"),'152-CT'!$J$8=TH!F2618),"x","")</f>
        <v/>
      </c>
      <c r="Z2618" s="39" t="str">
        <f>IF(AND(OR(LEFT(TH!L2618,2)="15",LEFT(TH!M2618,2)="15"),TK!$E$7=TH!F2618),"x","")</f>
        <v/>
      </c>
      <c r="AA2618" s="39" t="str">
        <f>IF(AND(B2618&lt;=NKC!$N$8,B2618&gt;=NKC!$M$8),"x","")</f>
        <v/>
      </c>
      <c r="AB2618" s="821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13"/>
        <v/>
      </c>
      <c r="C2619" s="191"/>
      <c r="D2619" s="37"/>
      <c r="E2619" s="191"/>
      <c r="F2619" s="40"/>
      <c r="G2619" s="40"/>
      <c r="H2619" s="7"/>
      <c r="I2619" s="256"/>
      <c r="J2619" s="256"/>
      <c r="K2619" s="568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902" t="str">
        <f>IF(AND('341-CT'!$E$9=H2619,OR(LEFT(L2619,3)=$O$7,LEFT(M2619,3)=$O$7)),"x","")</f>
        <v/>
      </c>
      <c r="P2619" s="39" t="str">
        <f>IF(AND($B2619&gt;='111'!$N$11,$B2619&lt;='111'!$O$11,OR($L2619=$P$7,$M2619=$P$7)),"x","")</f>
        <v/>
      </c>
      <c r="Q2619" s="39" t="str">
        <f>IF(AND($L2619=$P$7,$B2619&lt;'111'!$N$11),"x","")</f>
        <v/>
      </c>
      <c r="R2619" s="39" t="str">
        <f>IF(AND($M2619=$P$7,$B2619&lt;'111'!$N$11),"x","")</f>
        <v/>
      </c>
      <c r="S2619" s="39" t="str">
        <f>IF(ISERROR(FIND('112'!$M$9,G2619,1)),"",IF((AND(FIND('112'!$M$9,G2619,1)&gt;=1,$B2619&gt;='112'!$N$8,$B2619&lt;='112'!$O$8,OR($L2619='112'!$I$6,$M2619='112'!$I$6))),"x",""))</f>
        <v/>
      </c>
      <c r="T2619" s="39" t="str">
        <f>IF(ISERROR(FIND('112'!$M$9,G2619,1)),"",IF((AND(LEFT(G2619,2)=LEFT('112'!$M$9,2),B2619&lt;'112'!$N$8,$L2619='112'!$I$6)),"x",""))</f>
        <v/>
      </c>
      <c r="U2619" s="39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39" t="str">
        <f>IF(OR(TH!L2619=TH!$W$7,M2619=TH!$W$7),"x","")</f>
        <v/>
      </c>
      <c r="X2619" s="39" t="str">
        <f>IF(AND(B2619&gt;='IN-NX'!$P$3,B2619&lt;='IN-NX'!$Q$3,'IN-NX'!$D$7=D2619,OR(LEFT(L2619,2)="15",AND(LEFT(M2619,2)&lt;&gt;"15",LEFT(M2619,2)&lt;&gt;"33"))),"x","")</f>
        <v/>
      </c>
      <c r="Y2619" s="39" t="str">
        <f>IF(AND(OR(LEFT(TH!L2619,2)="15",LEFT(TH!M2619,2)="15"),'152-CT'!$J$8=TH!F2619),"x","")</f>
        <v/>
      </c>
      <c r="Z2619" s="39" t="str">
        <f>IF(AND(OR(LEFT(TH!L2619,2)="15",LEFT(TH!M2619,2)="15"),TK!$E$7=TH!F2619),"x","")</f>
        <v/>
      </c>
      <c r="AA2619" s="39" t="str">
        <f>IF(AND(B2619&lt;=NKC!$N$8,B2619&gt;=NKC!$M$8),"x","")</f>
        <v/>
      </c>
      <c r="AB2619" s="821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13"/>
        <v/>
      </c>
      <c r="C2620" s="191"/>
      <c r="D2620" s="37"/>
      <c r="E2620" s="191"/>
      <c r="F2620" s="40"/>
      <c r="G2620" s="40"/>
      <c r="H2620" s="7"/>
      <c r="I2620" s="256"/>
      <c r="J2620" s="256"/>
      <c r="K2620" s="568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902" t="str">
        <f>IF(AND('341-CT'!$E$9=H2620,OR(LEFT(L2620,3)=$O$7,LEFT(M2620,3)=$O$7)),"x","")</f>
        <v/>
      </c>
      <c r="P2620" s="39" t="str">
        <f>IF(AND($B2620&gt;='111'!$N$11,$B2620&lt;='111'!$O$11,OR($L2620=$P$7,$M2620=$P$7)),"x","")</f>
        <v/>
      </c>
      <c r="Q2620" s="39" t="str">
        <f>IF(AND($L2620=$P$7,$B2620&lt;'111'!$N$11),"x","")</f>
        <v/>
      </c>
      <c r="R2620" s="39" t="str">
        <f>IF(AND($M2620=$P$7,$B2620&lt;'111'!$N$11),"x","")</f>
        <v/>
      </c>
      <c r="S2620" s="39" t="str">
        <f>IF(ISERROR(FIND('112'!$M$9,G2620,1)),"",IF((AND(FIND('112'!$M$9,G2620,1)&gt;=1,$B2620&gt;='112'!$N$8,$B2620&lt;='112'!$O$8,OR($L2620='112'!$I$6,$M2620='112'!$I$6))),"x",""))</f>
        <v/>
      </c>
      <c r="T2620" s="39" t="str">
        <f>IF(ISERROR(FIND('112'!$M$9,G2620,1)),"",IF((AND(LEFT(G2620,2)=LEFT('112'!$M$9,2),B2620&lt;'112'!$N$8,$L2620='112'!$I$6)),"x",""))</f>
        <v/>
      </c>
      <c r="U2620" s="39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39" t="str">
        <f>IF(OR(TH!L2620=TH!$W$7,M2620=TH!$W$7),"x","")</f>
        <v/>
      </c>
      <c r="X2620" s="39" t="str">
        <f>IF(AND(B2620&gt;='IN-NX'!$P$3,B2620&lt;='IN-NX'!$Q$3,'IN-NX'!$D$7=D2620,OR(LEFT(L2620,2)="15",AND(LEFT(M2620,2)&lt;&gt;"15",LEFT(M2620,2)&lt;&gt;"33"))),"x","")</f>
        <v/>
      </c>
      <c r="Y2620" s="39" t="str">
        <f>IF(AND(OR(LEFT(TH!L2620,2)="15",LEFT(TH!M2620,2)="15"),'152-CT'!$J$8=TH!F2620),"x","")</f>
        <v/>
      </c>
      <c r="Z2620" s="39" t="str">
        <f>IF(AND(OR(LEFT(TH!L2620,2)="15",LEFT(TH!M2620,2)="15"),TK!$E$7=TH!F2620),"x","")</f>
        <v/>
      </c>
      <c r="AA2620" s="39" t="str">
        <f>IF(AND(B2620&lt;=NKC!$N$8,B2620&gt;=NKC!$M$8),"x","")</f>
        <v/>
      </c>
      <c r="AB2620" s="821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13"/>
        <v/>
      </c>
      <c r="C2621" s="191"/>
      <c r="D2621" s="37"/>
      <c r="E2621" s="191"/>
      <c r="F2621" s="40"/>
      <c r="G2621" s="40"/>
      <c r="H2621" s="7"/>
      <c r="I2621" s="256"/>
      <c r="J2621" s="256"/>
      <c r="K2621" s="56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902" t="str">
        <f>IF(AND('341-CT'!$E$9=H2621,OR(LEFT(L2621,3)=$O$7,LEFT(M2621,3)=$O$7)),"x","")</f>
        <v/>
      </c>
      <c r="P2621" s="39" t="str">
        <f>IF(AND($B2621&gt;='111'!$N$11,$B2621&lt;='111'!$O$11,OR($L2621=$P$7,$M2621=$P$7)),"x","")</f>
        <v/>
      </c>
      <c r="Q2621" s="39" t="str">
        <f>IF(AND($L2621=$P$7,$B2621&lt;'111'!$N$11),"x","")</f>
        <v/>
      </c>
      <c r="R2621" s="39" t="str">
        <f>IF(AND($M2621=$P$7,$B2621&lt;'111'!$N$11),"x","")</f>
        <v/>
      </c>
      <c r="S2621" s="39" t="str">
        <f>IF(ISERROR(FIND('112'!$M$9,G2621,1)),"",IF((AND(FIND('112'!$M$9,G2621,1)&gt;=1,$B2621&gt;='112'!$N$8,$B2621&lt;='112'!$O$8,OR($L2621='112'!$I$6,$M2621='112'!$I$6))),"x",""))</f>
        <v/>
      </c>
      <c r="T2621" s="39" t="str">
        <f>IF(ISERROR(FIND('112'!$M$9,G2621,1)),"",IF((AND(LEFT(G2621,2)=LEFT('112'!$M$9,2),B2621&lt;'112'!$N$8,$L2621='112'!$I$6)),"x",""))</f>
        <v/>
      </c>
      <c r="U2621" s="39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39" t="str">
        <f>IF(OR(TH!L2621=TH!$W$7,M2621=TH!$W$7),"x","")</f>
        <v/>
      </c>
      <c r="X2621" s="39" t="str">
        <f>IF(AND(B2621&gt;='IN-NX'!$P$3,B2621&lt;='IN-NX'!$Q$3,'IN-NX'!$D$7=D2621,OR(LEFT(L2621,2)="15",AND(LEFT(M2621,2)&lt;&gt;"15",LEFT(M2621,2)&lt;&gt;"33"))),"x","")</f>
        <v/>
      </c>
      <c r="Y2621" s="39" t="str">
        <f>IF(AND(OR(LEFT(TH!L2621,2)="15",LEFT(TH!M2621,2)="15"),'152-CT'!$J$8=TH!F2621),"x","")</f>
        <v/>
      </c>
      <c r="Z2621" s="39" t="str">
        <f>IF(AND(OR(LEFT(TH!L2621,2)="15",LEFT(TH!M2621,2)="15"),TK!$E$7=TH!F2621),"x","")</f>
        <v/>
      </c>
      <c r="AA2621" s="39" t="str">
        <f>IF(AND(B2621&lt;=NKC!$N$8,B2621&gt;=NKC!$M$8),"x","")</f>
        <v/>
      </c>
      <c r="AB2621" s="821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13"/>
        <v/>
      </c>
      <c r="C2622" s="191"/>
      <c r="D2622" s="37"/>
      <c r="E2622" s="191"/>
      <c r="F2622" s="40"/>
      <c r="G2622" s="40"/>
      <c r="H2622" s="7"/>
      <c r="I2622" s="256"/>
      <c r="J2622" s="256"/>
      <c r="K2622" s="56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902" t="str">
        <f>IF(AND('341-CT'!$E$9=H2622,OR(LEFT(L2622,3)=$O$7,LEFT(M2622,3)=$O$7)),"x","")</f>
        <v/>
      </c>
      <c r="P2622" s="39" t="str">
        <f>IF(AND($B2622&gt;='111'!$N$11,$B2622&lt;='111'!$O$11,OR($L2622=$P$7,$M2622=$P$7)),"x","")</f>
        <v/>
      </c>
      <c r="Q2622" s="39" t="str">
        <f>IF(AND($L2622=$P$7,$B2622&lt;'111'!$N$11),"x","")</f>
        <v/>
      </c>
      <c r="R2622" s="39" t="str">
        <f>IF(AND($M2622=$P$7,$B2622&lt;'111'!$N$11),"x","")</f>
        <v/>
      </c>
      <c r="S2622" s="39" t="str">
        <f>IF(ISERROR(FIND('112'!$M$9,G2622,1)),"",IF((AND(FIND('112'!$M$9,G2622,1)&gt;=1,$B2622&gt;='112'!$N$8,$B2622&lt;='112'!$O$8,OR($L2622='112'!$I$6,$M2622='112'!$I$6))),"x",""))</f>
        <v/>
      </c>
      <c r="T2622" s="39" t="str">
        <f>IF(ISERROR(FIND('112'!$M$9,G2622,1)),"",IF((AND(LEFT(G2622,2)=LEFT('112'!$M$9,2),B2622&lt;'112'!$N$8,$L2622='112'!$I$6)),"x",""))</f>
        <v/>
      </c>
      <c r="U2622" s="39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39" t="str">
        <f>IF(OR(TH!L2622=TH!$W$7,M2622=TH!$W$7),"x","")</f>
        <v/>
      </c>
      <c r="X2622" s="39" t="str">
        <f>IF(AND(B2622&gt;='IN-NX'!$P$3,B2622&lt;='IN-NX'!$Q$3,'IN-NX'!$D$7=D2622,OR(LEFT(L2622,2)="15",AND(LEFT(M2622,2)&lt;&gt;"15",LEFT(M2622,2)&lt;&gt;"33"))),"x","")</f>
        <v/>
      </c>
      <c r="Y2622" s="39" t="str">
        <f>IF(AND(OR(LEFT(TH!L2622,2)="15",LEFT(TH!M2622,2)="15"),'152-CT'!$J$8=TH!F2622),"x","")</f>
        <v/>
      </c>
      <c r="Z2622" s="39" t="str">
        <f>IF(AND(OR(LEFT(TH!L2622,2)="15",LEFT(TH!M2622,2)="15"),TK!$E$7=TH!F2622),"x","")</f>
        <v/>
      </c>
      <c r="AA2622" s="39" t="str">
        <f>IF(AND(B2622&lt;=NKC!$N$8,B2622&gt;=NKC!$M$8),"x","")</f>
        <v/>
      </c>
      <c r="AB2622" s="821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13"/>
        <v/>
      </c>
      <c r="C2623" s="191"/>
      <c r="D2623" s="37"/>
      <c r="E2623" s="191"/>
      <c r="F2623" s="192"/>
      <c r="G2623" s="468"/>
      <c r="H2623" s="193"/>
      <c r="I2623" s="256"/>
      <c r="J2623" s="256"/>
      <c r="K2623" s="56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902" t="str">
        <f>IF(AND('341-CT'!$E$9=H2623,OR(LEFT(L2623,3)=$O$7,LEFT(M2623,3)=$O$7)),"x","")</f>
        <v/>
      </c>
      <c r="P2623" s="39" t="str">
        <f>IF(AND($B2623&gt;='111'!$N$11,$B2623&lt;='111'!$O$11,OR($L2623=$P$7,$M2623=$P$7)),"x","")</f>
        <v/>
      </c>
      <c r="Q2623" s="39" t="str">
        <f>IF(AND($L2623=$P$7,$B2623&lt;'111'!$N$11),"x","")</f>
        <v/>
      </c>
      <c r="R2623" s="39" t="str">
        <f>IF(AND($M2623=$P$7,$B2623&lt;'111'!$N$11),"x","")</f>
        <v/>
      </c>
      <c r="S2623" s="39" t="str">
        <f>IF(ISERROR(FIND('112'!$M$9,G2623,1)),"",IF((AND(FIND('112'!$M$9,G2623,1)&gt;=1,$B2623&gt;='112'!$N$8,$B2623&lt;='112'!$O$8,OR($L2623='112'!$I$6,$M2623='112'!$I$6))),"x",""))</f>
        <v/>
      </c>
      <c r="T2623" s="39" t="str">
        <f>IF(ISERROR(FIND('112'!$M$9,G2623,1)),"",IF((AND(LEFT(G2623,2)=LEFT('112'!$M$9,2),B2623&lt;'112'!$N$8,$L2623='112'!$I$6)),"x",""))</f>
        <v/>
      </c>
      <c r="U2623" s="39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39" t="str">
        <f>IF(OR(TH!L2623=TH!$W$7,M2623=TH!$W$7),"x","")</f>
        <v/>
      </c>
      <c r="X2623" s="39" t="str">
        <f>IF(AND(B2623&gt;='IN-NX'!$P$3,B2623&lt;='IN-NX'!$Q$3,'IN-NX'!$D$7=D2623,OR(LEFT(L2623,2)="15",AND(LEFT(M2623,2)&lt;&gt;"15",LEFT(M2623,2)&lt;&gt;"33"))),"x","")</f>
        <v/>
      </c>
      <c r="Y2623" s="39" t="str">
        <f>IF(AND(OR(LEFT(TH!L2623,2)="15",LEFT(TH!M2623,2)="15"),'152-CT'!$J$8=TH!F2623),"x","")</f>
        <v/>
      </c>
      <c r="Z2623" s="39" t="str">
        <f>IF(AND(OR(LEFT(TH!L2623,2)="15",LEFT(TH!M2623,2)="15"),TK!$E$7=TH!F2623),"x","")</f>
        <v/>
      </c>
      <c r="AA2623" s="39" t="str">
        <f>IF(AND(B2623&lt;=NKC!$N$8,B2623&gt;=NKC!$M$8),"x","")</f>
        <v/>
      </c>
      <c r="AB2623" s="821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13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902" t="str">
        <f>IF(AND('341-CT'!$E$9=H2624,OR(LEFT(L2624,3)=$O$7,LEFT(M2624,3)=$O$7)),"x","")</f>
        <v/>
      </c>
      <c r="P2624" s="39" t="str">
        <f>IF(AND($B2624&gt;='111'!$N$11,$B2624&lt;='111'!$O$11,OR($L2624=$P$7,$M2624=$P$7)),"x","")</f>
        <v/>
      </c>
      <c r="Q2624" s="39" t="str">
        <f>IF(AND($L2624=$P$7,$B2624&lt;'111'!$N$11),"x","")</f>
        <v/>
      </c>
      <c r="R2624" s="39" t="str">
        <f>IF(AND($M2624=$P$7,$B2624&lt;'111'!$N$11),"x","")</f>
        <v/>
      </c>
      <c r="S2624" s="39" t="str">
        <f>IF(ISERROR(FIND('112'!$M$9,G2624,1)),"",IF((AND(FIND('112'!$M$9,G2624,1)&gt;=1,$B2624&gt;='112'!$N$8,$B2624&lt;='112'!$O$8,OR($L2624='112'!$I$6,$M2624='112'!$I$6))),"x",""))</f>
        <v/>
      </c>
      <c r="T2624" s="39" t="str">
        <f>IF(ISERROR(FIND('112'!$M$9,G2624,1)),"",IF((AND(LEFT(G2624,2)=LEFT('112'!$M$9,2),B2624&lt;'112'!$N$8,$L2624='112'!$I$6)),"x",""))</f>
        <v/>
      </c>
      <c r="U2624" s="39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39" t="str">
        <f>IF(OR(TH!L2624=TH!$W$7,M2624=TH!$W$7),"x","")</f>
        <v/>
      </c>
      <c r="X2624" s="39" t="str">
        <f>IF(AND(B2624&gt;='IN-NX'!$P$3,B2624&lt;='IN-NX'!$Q$3,'IN-NX'!$D$7=D2624,OR(LEFT(L2624,2)="15",AND(LEFT(M2624,2)&lt;&gt;"15",LEFT(M2624,2)&lt;&gt;"33"))),"x","")</f>
        <v/>
      </c>
      <c r="Y2624" s="39" t="str">
        <f>IF(AND(OR(LEFT(TH!L2624,2)="15",LEFT(TH!M2624,2)="15"),'152-CT'!$J$8=TH!F2624),"x","")</f>
        <v/>
      </c>
      <c r="Z2624" s="39" t="str">
        <f>IF(AND(OR(LEFT(TH!L2624,2)="15",LEFT(TH!M2624,2)="15"),TK!$E$7=TH!F2624),"x","")</f>
        <v/>
      </c>
      <c r="AA2624" s="39" t="str">
        <f>IF(AND(B2624&lt;=NKC!$N$8,B2624&gt;=NKC!$M$8),"x","")</f>
        <v/>
      </c>
      <c r="AB2624" s="821"/>
    </row>
    <row r="2625" spans="1:30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13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902" t="str">
        <f>IF(AND('341-CT'!$E$9=H2625,OR(LEFT(L2625,3)=$O$7,LEFT(M2625,3)=$O$7)),"x","")</f>
        <v/>
      </c>
      <c r="P2625" s="39" t="str">
        <f>IF(AND($B2625&gt;='111'!$N$11,$B2625&lt;='111'!$O$11,OR($L2625=$P$7,$M2625=$P$7)),"x","")</f>
        <v/>
      </c>
      <c r="Q2625" s="39" t="str">
        <f>IF(AND($L2625=$P$7,$B2625&lt;'111'!$N$11),"x","")</f>
        <v/>
      </c>
      <c r="R2625" s="39" t="str">
        <f>IF(AND($M2625=$P$7,$B2625&lt;'111'!$N$11),"x","")</f>
        <v/>
      </c>
      <c r="S2625" s="39" t="str">
        <f>IF(ISERROR(FIND('112'!$M$9,G2625,1)),"",IF((AND(FIND('112'!$M$9,G2625,1)&gt;=1,$B2625&gt;='112'!$N$8,$B2625&lt;='112'!$O$8,OR($L2625='112'!$I$6,$M2625='112'!$I$6))),"x",""))</f>
        <v/>
      </c>
      <c r="T2625" s="39" t="str">
        <f>IF(ISERROR(FIND('112'!$M$9,G2625,1)),"",IF((AND(LEFT(G2625,2)=LEFT('112'!$M$9,2),B2625&lt;'112'!$N$8,$L2625='112'!$I$6)),"x",""))</f>
        <v/>
      </c>
      <c r="U2625" s="39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39" t="str">
        <f>IF(OR(TH!L2625=TH!$W$7,M2625=TH!$W$7),"x","")</f>
        <v/>
      </c>
      <c r="X2625" s="39" t="str">
        <f>IF(AND(B2625&gt;='IN-NX'!$P$3,B2625&lt;='IN-NX'!$Q$3,'IN-NX'!$D$7=D2625,OR(LEFT(L2625,2)="15",AND(LEFT(M2625,2)&lt;&gt;"15",LEFT(M2625,2)&lt;&gt;"33"))),"x","")</f>
        <v/>
      </c>
      <c r="Y2625" s="39" t="str">
        <f>IF(AND(OR(LEFT(TH!L2625,2)="15",LEFT(TH!M2625,2)="15"),'152-CT'!$J$8=TH!F2625),"x","")</f>
        <v/>
      </c>
      <c r="Z2625" s="39" t="str">
        <f>IF(AND(OR(LEFT(TH!L2625,2)="15",LEFT(TH!M2625,2)="15"),TK!$E$7=TH!F2625),"x","")</f>
        <v/>
      </c>
      <c r="AA2625" s="39" t="str">
        <f>IF(AND(B2625&lt;=NKC!$N$8,B2625&gt;=NKC!$M$8),"x","")</f>
        <v/>
      </c>
      <c r="AB2625" s="821"/>
    </row>
    <row r="2626" spans="1:30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13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902" t="str">
        <f>IF(AND('341-CT'!$E$9=H2626,OR(LEFT(L2626,3)=$O$7,LEFT(M2626,3)=$O$7)),"x","")</f>
        <v/>
      </c>
      <c r="P2626" s="39" t="str">
        <f>IF(AND($B2626&gt;='111'!$N$11,$B2626&lt;='111'!$O$11,OR($L2626=$P$7,$M2626=$P$7)),"x","")</f>
        <v/>
      </c>
      <c r="Q2626" s="39" t="str">
        <f>IF(AND($L2626=$P$7,$B2626&lt;'111'!$N$11),"x","")</f>
        <v/>
      </c>
      <c r="R2626" s="39" t="str">
        <f>IF(AND($M2626=$P$7,$B2626&lt;'111'!$N$11),"x","")</f>
        <v/>
      </c>
      <c r="S2626" s="39" t="str">
        <f>IF(ISERROR(FIND('112'!$M$9,G2626,1)),"",IF((AND(FIND('112'!$M$9,G2626,1)&gt;=1,$B2626&gt;='112'!$N$8,$B2626&lt;='112'!$O$8,OR($L2626='112'!$I$6,$M2626='112'!$I$6))),"x",""))</f>
        <v/>
      </c>
      <c r="T2626" s="39" t="str">
        <f>IF(ISERROR(FIND('112'!$M$9,G2626,1)),"",IF((AND(LEFT(G2626,2)=LEFT('112'!$M$9,2),B2626&lt;'112'!$N$8,$L2626='112'!$I$6)),"x",""))</f>
        <v/>
      </c>
      <c r="U2626" s="39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39" t="str">
        <f>IF(OR(TH!L2626=TH!$W$7,M2626=TH!$W$7),"x","")</f>
        <v/>
      </c>
      <c r="X2626" s="39" t="str">
        <f>IF(AND(B2626&gt;='IN-NX'!$P$3,B2626&lt;='IN-NX'!$Q$3,'IN-NX'!$D$7=D2626,OR(LEFT(L2626,2)="15",AND(LEFT(M2626,2)&lt;&gt;"15",LEFT(M2626,2)&lt;&gt;"33"))),"x","")</f>
        <v/>
      </c>
      <c r="Y2626" s="39" t="str">
        <f>IF(AND(OR(LEFT(TH!L2626,2)="15",LEFT(TH!M2626,2)="15"),'152-CT'!$J$8=TH!F2626),"x","")</f>
        <v/>
      </c>
      <c r="Z2626" s="39" t="str">
        <f>IF(AND(OR(LEFT(TH!L2626,2)="15",LEFT(TH!M2626,2)="15"),TK!$E$7=TH!F2626),"x","")</f>
        <v/>
      </c>
      <c r="AA2626" s="39" t="str">
        <f>IF(AND(B2626&lt;=NKC!$N$8,B2626&gt;=NKC!$M$8),"x","")</f>
        <v/>
      </c>
      <c r="AB2626" s="821"/>
    </row>
    <row r="2627" spans="1:30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13"/>
        <v/>
      </c>
      <c r="C2627" s="191"/>
      <c r="D2627" s="37"/>
      <c r="E2627" s="191"/>
      <c r="F2627" s="192"/>
      <c r="G2627" s="468"/>
      <c r="H2627" s="193"/>
      <c r="I2627" s="256"/>
      <c r="J2627" s="256"/>
      <c r="K2627" s="568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902" t="str">
        <f>IF(AND('341-CT'!$E$9=H2627,OR(LEFT(L2627,3)=$O$7,LEFT(M2627,3)=$O$7)),"x","")</f>
        <v/>
      </c>
      <c r="P2627" s="39" t="str">
        <f>IF(AND($B2627&gt;='111'!$N$11,$B2627&lt;='111'!$O$11,OR($L2627=$P$7,$M2627=$P$7)),"x","")</f>
        <v/>
      </c>
      <c r="Q2627" s="39" t="str">
        <f>IF(AND($L2627=$P$7,$B2627&lt;'111'!$N$11),"x","")</f>
        <v/>
      </c>
      <c r="R2627" s="39" t="str">
        <f>IF(AND($M2627=$P$7,$B2627&lt;'111'!$N$11),"x","")</f>
        <v/>
      </c>
      <c r="S2627" s="39" t="str">
        <f>IF(ISERROR(FIND('112'!$M$9,G2627,1)),"",IF((AND(FIND('112'!$M$9,G2627,1)&gt;=1,$B2627&gt;='112'!$N$8,$B2627&lt;='112'!$O$8,OR($L2627='112'!$I$6,$M2627='112'!$I$6))),"x",""))</f>
        <v/>
      </c>
      <c r="T2627" s="39" t="str">
        <f>IF(ISERROR(FIND('112'!$M$9,G2627,1)),"",IF((AND(LEFT(G2627,2)=LEFT('112'!$M$9,2),B2627&lt;'112'!$N$8,$L2627='112'!$I$6)),"x",""))</f>
        <v/>
      </c>
      <c r="U2627" s="39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39" t="str">
        <f>IF(OR(TH!L2627=TH!$W$7,M2627=TH!$W$7),"x","")</f>
        <v/>
      </c>
      <c r="X2627" s="39" t="str">
        <f>IF(AND(B2627&gt;='IN-NX'!$P$3,B2627&lt;='IN-NX'!$Q$3,'IN-NX'!$D$7=D2627,OR(LEFT(L2627,2)="15",AND(LEFT(M2627,2)&lt;&gt;"15",LEFT(M2627,2)&lt;&gt;"33"))),"x","")</f>
        <v/>
      </c>
      <c r="Y2627" s="39" t="str">
        <f>IF(AND(OR(LEFT(TH!L2627,2)="15",LEFT(TH!M2627,2)="15"),'152-CT'!$J$8=TH!F2627),"x","")</f>
        <v/>
      </c>
      <c r="Z2627" s="39" t="str">
        <f>IF(AND(OR(LEFT(TH!L2627,2)="15",LEFT(TH!M2627,2)="15"),TK!$E$7=TH!F2627),"x","")</f>
        <v/>
      </c>
      <c r="AA2627" s="39" t="str">
        <f>IF(AND(B2627&lt;=NKC!$N$8,B2627&gt;=NKC!$M$8),"x","")</f>
        <v/>
      </c>
      <c r="AB2627" s="821"/>
    </row>
    <row r="2628" spans="1:30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13"/>
        <v/>
      </c>
      <c r="C2628" s="191"/>
      <c r="D2628" s="37"/>
      <c r="E2628" s="191"/>
      <c r="F2628" s="192"/>
      <c r="G2628" s="468"/>
      <c r="H2628" s="193"/>
      <c r="I2628" s="256"/>
      <c r="J2628" s="256"/>
      <c r="K2628" s="568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902" t="str">
        <f>IF(AND('341-CT'!$E$9=H2628,OR(LEFT(L2628,3)=$O$7,LEFT(M2628,3)=$O$7)),"x","")</f>
        <v/>
      </c>
      <c r="P2628" s="39" t="str">
        <f>IF(AND($B2628&gt;='111'!$N$11,$B2628&lt;='111'!$O$11,OR($L2628=$P$7,$M2628=$P$7)),"x","")</f>
        <v/>
      </c>
      <c r="Q2628" s="39" t="str">
        <f>IF(AND($L2628=$P$7,$B2628&lt;'111'!$N$11),"x","")</f>
        <v/>
      </c>
      <c r="R2628" s="39" t="str">
        <f>IF(AND($M2628=$P$7,$B2628&lt;'111'!$N$11),"x","")</f>
        <v/>
      </c>
      <c r="S2628" s="39" t="str">
        <f>IF(ISERROR(FIND('112'!$M$9,G2628,1)),"",IF((AND(FIND('112'!$M$9,G2628,1)&gt;=1,$B2628&gt;='112'!$N$8,$B2628&lt;='112'!$O$8,OR($L2628='112'!$I$6,$M2628='112'!$I$6))),"x",""))</f>
        <v/>
      </c>
      <c r="T2628" s="39" t="str">
        <f>IF(ISERROR(FIND('112'!$M$9,G2628,1)),"",IF((AND(LEFT(G2628,2)=LEFT('112'!$M$9,2),B2628&lt;'112'!$N$8,$L2628='112'!$I$6)),"x",""))</f>
        <v/>
      </c>
      <c r="U2628" s="39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39" t="str">
        <f>IF(OR(TH!L2628=TH!$W$7,M2628=TH!$W$7),"x","")</f>
        <v/>
      </c>
      <c r="X2628" s="39" t="str">
        <f>IF(AND(B2628&gt;='IN-NX'!$P$3,B2628&lt;='IN-NX'!$Q$3,'IN-NX'!$D$7=D2628,OR(LEFT(L2628,2)="15",AND(LEFT(M2628,2)&lt;&gt;"15",LEFT(M2628,2)&lt;&gt;"33"))),"x","")</f>
        <v/>
      </c>
      <c r="Y2628" s="39" t="str">
        <f>IF(AND(OR(LEFT(TH!L2628,2)="15",LEFT(TH!M2628,2)="15"),'152-CT'!$J$8=TH!F2628),"x","")</f>
        <v/>
      </c>
      <c r="Z2628" s="39" t="str">
        <f>IF(AND(OR(LEFT(TH!L2628,2)="15",LEFT(TH!M2628,2)="15"),TK!$E$7=TH!F2628),"x","")</f>
        <v/>
      </c>
      <c r="AA2628" s="39" t="str">
        <f>IF(AND(B2628&lt;=NKC!$N$8,B2628&gt;=NKC!$M$8),"x","")</f>
        <v/>
      </c>
      <c r="AB2628" s="821"/>
    </row>
    <row r="2629" spans="1:30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13"/>
        <v/>
      </c>
      <c r="C2629" s="191"/>
      <c r="D2629" s="37"/>
      <c r="E2629" s="191"/>
      <c r="F2629" s="192"/>
      <c r="G2629" s="468"/>
      <c r="H2629" s="193"/>
      <c r="I2629" s="256"/>
      <c r="J2629" s="256"/>
      <c r="K2629" s="568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902" t="str">
        <f>IF(AND('341-CT'!$E$9=H2629,OR(LEFT(L2629,3)=$O$7,LEFT(M2629,3)=$O$7)),"x","")</f>
        <v/>
      </c>
      <c r="P2629" s="39" t="str">
        <f>IF(AND($B2629&gt;='111'!$N$11,$B2629&lt;='111'!$O$11,OR($L2629=$P$7,$M2629=$P$7)),"x","")</f>
        <v/>
      </c>
      <c r="Q2629" s="39" t="str">
        <f>IF(AND($L2629=$P$7,$B2629&lt;'111'!$N$11),"x","")</f>
        <v/>
      </c>
      <c r="R2629" s="39" t="str">
        <f>IF(AND($M2629=$P$7,$B2629&lt;'111'!$N$11),"x","")</f>
        <v/>
      </c>
      <c r="S2629" s="39" t="str">
        <f>IF(ISERROR(FIND('112'!$M$9,G2629,1)),"",IF((AND(FIND('112'!$M$9,G2629,1)&gt;=1,$B2629&gt;='112'!$N$8,$B2629&lt;='112'!$O$8,OR($L2629='112'!$I$6,$M2629='112'!$I$6))),"x",""))</f>
        <v/>
      </c>
      <c r="T2629" s="39" t="str">
        <f>IF(ISERROR(FIND('112'!$M$9,G2629,1)),"",IF((AND(LEFT(G2629,2)=LEFT('112'!$M$9,2),B2629&lt;'112'!$N$8,$L2629='112'!$I$6)),"x",""))</f>
        <v/>
      </c>
      <c r="U2629" s="39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39" t="str">
        <f>IF(OR(TH!L2629=TH!$W$7,M2629=TH!$W$7),"x","")</f>
        <v/>
      </c>
      <c r="X2629" s="39" t="str">
        <f>IF(AND(B2629&gt;='IN-NX'!$P$3,B2629&lt;='IN-NX'!$Q$3,'IN-NX'!$D$7=D2629,OR(LEFT(L2629,2)="15",AND(LEFT(M2629,2)&lt;&gt;"15",LEFT(M2629,2)&lt;&gt;"33"))),"x","")</f>
        <v/>
      </c>
      <c r="Y2629" s="39" t="str">
        <f>IF(AND(OR(LEFT(TH!L2629,2)="15",LEFT(TH!M2629,2)="15"),'152-CT'!$J$8=TH!F2629),"x","")</f>
        <v/>
      </c>
      <c r="Z2629" s="39" t="str">
        <f>IF(AND(OR(LEFT(TH!L2629,2)="15",LEFT(TH!M2629,2)="15"),TK!$E$7=TH!F2629),"x","")</f>
        <v/>
      </c>
      <c r="AA2629" s="39" t="str">
        <f>IF(AND(B2629&lt;=NKC!$N$8,B2629&gt;=NKC!$M$8),"x","")</f>
        <v/>
      </c>
      <c r="AB2629" s="821"/>
    </row>
    <row r="2630" spans="1:30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13"/>
        <v/>
      </c>
      <c r="C2630" s="191"/>
      <c r="D2630" s="37"/>
      <c r="E2630" s="191"/>
      <c r="F2630" s="192"/>
      <c r="G2630" s="468"/>
      <c r="H2630" s="193"/>
      <c r="I2630" s="256"/>
      <c r="J2630" s="256"/>
      <c r="K2630" s="568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902" t="str">
        <f>IF(AND('341-CT'!$E$9=H2630,OR(LEFT(L2630,3)=$O$7,LEFT(M2630,3)=$O$7)),"x","")</f>
        <v/>
      </c>
      <c r="P2630" s="39" t="str">
        <f>IF(AND($B2630&gt;='111'!$N$11,$B2630&lt;='111'!$O$11,OR($L2630=$P$7,$M2630=$P$7)),"x","")</f>
        <v/>
      </c>
      <c r="Q2630" s="39" t="str">
        <f>IF(AND($L2630=$P$7,$B2630&lt;'111'!$N$11),"x","")</f>
        <v/>
      </c>
      <c r="R2630" s="39" t="str">
        <f>IF(AND($M2630=$P$7,$B2630&lt;'111'!$N$11),"x","")</f>
        <v/>
      </c>
      <c r="S2630" s="39" t="str">
        <f>IF(ISERROR(FIND('112'!$M$9,G2630,1)),"",IF((AND(FIND('112'!$M$9,G2630,1)&gt;=1,$B2630&gt;='112'!$N$8,$B2630&lt;='112'!$O$8,OR($L2630='112'!$I$6,$M2630='112'!$I$6))),"x",""))</f>
        <v/>
      </c>
      <c r="T2630" s="39" t="str">
        <f>IF(ISERROR(FIND('112'!$M$9,G2630,1)),"",IF((AND(LEFT(G2630,2)=LEFT('112'!$M$9,2),B2630&lt;'112'!$N$8,$L2630='112'!$I$6)),"x",""))</f>
        <v/>
      </c>
      <c r="U2630" s="39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39" t="str">
        <f>IF(OR(TH!L2630=TH!$W$7,M2630=TH!$W$7),"x","")</f>
        <v/>
      </c>
      <c r="X2630" s="39" t="str">
        <f>IF(AND(B2630&gt;='IN-NX'!$P$3,B2630&lt;='IN-NX'!$Q$3,'IN-NX'!$D$7=D2630,OR(LEFT(L2630,2)="15",AND(LEFT(M2630,2)&lt;&gt;"15",LEFT(M2630,2)&lt;&gt;"33"))),"x","")</f>
        <v/>
      </c>
      <c r="Y2630" s="39" t="str">
        <f>IF(AND(OR(LEFT(TH!L2630,2)="15",LEFT(TH!M2630,2)="15"),'152-CT'!$J$8=TH!F2630),"x","")</f>
        <v/>
      </c>
      <c r="Z2630" s="39" t="str">
        <f>IF(AND(OR(LEFT(TH!L2630,2)="15",LEFT(TH!M2630,2)="15"),TK!$E$7=TH!F2630),"x","")</f>
        <v/>
      </c>
      <c r="AA2630" s="39" t="str">
        <f>IF(AND(B2630&lt;=NKC!$N$8,B2630&gt;=NKC!$M$8),"x","")</f>
        <v/>
      </c>
      <c r="AB2630" s="821"/>
    </row>
    <row r="2631" spans="1:30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13"/>
        <v/>
      </c>
      <c r="C2631" s="191"/>
      <c r="D2631" s="37"/>
      <c r="E2631" s="191"/>
      <c r="F2631" s="192"/>
      <c r="G2631" s="468"/>
      <c r="H2631" s="193"/>
      <c r="I2631" s="256"/>
      <c r="J2631" s="256"/>
      <c r="K2631" s="568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902" t="str">
        <f>IF(AND('341-CT'!$E$9=H2631,OR(LEFT(L2631,3)=$O$7,LEFT(M2631,3)=$O$7)),"x","")</f>
        <v/>
      </c>
      <c r="P2631" s="39" t="str">
        <f>IF(AND($B2631&gt;='111'!$N$11,$B2631&lt;='111'!$O$11,OR($L2631=$P$7,$M2631=$P$7)),"x","")</f>
        <v/>
      </c>
      <c r="Q2631" s="39" t="str">
        <f>IF(AND($L2631=$P$7,$B2631&lt;'111'!$N$11),"x","")</f>
        <v/>
      </c>
      <c r="R2631" s="39" t="str">
        <f>IF(AND($M2631=$P$7,$B2631&lt;'111'!$N$11),"x","")</f>
        <v/>
      </c>
      <c r="S2631" s="39" t="str">
        <f>IF(ISERROR(FIND('112'!$M$9,G2631,1)),"",IF((AND(FIND('112'!$M$9,G2631,1)&gt;=1,$B2631&gt;='112'!$N$8,$B2631&lt;='112'!$O$8,OR($L2631='112'!$I$6,$M2631='112'!$I$6))),"x",""))</f>
        <v/>
      </c>
      <c r="T2631" s="39" t="str">
        <f>IF(ISERROR(FIND('112'!$M$9,G2631,1)),"",IF((AND(LEFT(G2631,2)=LEFT('112'!$M$9,2),B2631&lt;'112'!$N$8,$L2631='112'!$I$6)),"x",""))</f>
        <v/>
      </c>
      <c r="U2631" s="39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39" t="str">
        <f>IF(OR(TH!L2631=TH!$W$7,M2631=TH!$W$7),"x","")</f>
        <v/>
      </c>
      <c r="X2631" s="39" t="str">
        <f>IF(AND(B2631&gt;='IN-NX'!$P$3,B2631&lt;='IN-NX'!$Q$3,'IN-NX'!$D$7=D2631,OR(LEFT(L2631,2)="15",AND(LEFT(M2631,2)&lt;&gt;"15",LEFT(M2631,2)&lt;&gt;"33"))),"x","")</f>
        <v/>
      </c>
      <c r="Y2631" s="39" t="str">
        <f>IF(AND(OR(LEFT(TH!L2631,2)="15",LEFT(TH!M2631,2)="15"),'152-CT'!$J$8=TH!F2631),"x","")</f>
        <v/>
      </c>
      <c r="Z2631" s="39" t="str">
        <f>IF(AND(OR(LEFT(TH!L2631,2)="15",LEFT(TH!M2631,2)="15"),TK!$E$7=TH!F2631),"x","")</f>
        <v/>
      </c>
      <c r="AA2631" s="39" t="str">
        <f>IF(AND(B2631&lt;=NKC!$N$8,B2631&gt;=NKC!$M$8),"x","")</f>
        <v/>
      </c>
      <c r="AB2631" s="821"/>
    </row>
    <row r="2632" spans="1:30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13"/>
        <v/>
      </c>
      <c r="C2632" s="191"/>
      <c r="D2632" s="37"/>
      <c r="E2632" s="191"/>
      <c r="F2632" s="192"/>
      <c r="G2632" s="468"/>
      <c r="H2632" s="193"/>
      <c r="I2632" s="256"/>
      <c r="J2632" s="256"/>
      <c r="K2632" s="568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902" t="str">
        <f>IF(AND('341-CT'!$E$9=H2632,OR(LEFT(L2632,3)=$O$7,LEFT(M2632,3)=$O$7)),"x","")</f>
        <v/>
      </c>
      <c r="P2632" s="39" t="str">
        <f>IF(AND($B2632&gt;='111'!$N$11,$B2632&lt;='111'!$O$11,OR($L2632=$P$7,$M2632=$P$7)),"x","")</f>
        <v/>
      </c>
      <c r="Q2632" s="39" t="str">
        <f>IF(AND($L2632=$P$7,$B2632&lt;'111'!$N$11),"x","")</f>
        <v/>
      </c>
      <c r="R2632" s="39" t="str">
        <f>IF(AND($M2632=$P$7,$B2632&lt;'111'!$N$11),"x","")</f>
        <v/>
      </c>
      <c r="S2632" s="39" t="str">
        <f>IF(ISERROR(FIND('112'!$M$9,G2632,1)),"",IF((AND(FIND('112'!$M$9,G2632,1)&gt;=1,$B2632&gt;='112'!$N$8,$B2632&lt;='112'!$O$8,OR($L2632='112'!$I$6,$M2632='112'!$I$6))),"x",""))</f>
        <v/>
      </c>
      <c r="T2632" s="39" t="str">
        <f>IF(ISERROR(FIND('112'!$M$9,G2632,1)),"",IF((AND(LEFT(G2632,2)=LEFT('112'!$M$9,2),B2632&lt;'112'!$N$8,$L2632='112'!$I$6)),"x",""))</f>
        <v/>
      </c>
      <c r="U2632" s="39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39" t="str">
        <f>IF(OR(TH!L2632=TH!$W$7,M2632=TH!$W$7),"x","")</f>
        <v/>
      </c>
      <c r="X2632" s="39" t="str">
        <f>IF(AND(B2632&gt;='IN-NX'!$P$3,B2632&lt;='IN-NX'!$Q$3,'IN-NX'!$D$7=D2632,OR(LEFT(L2632,2)="15",AND(LEFT(M2632,2)&lt;&gt;"15",LEFT(M2632,2)&lt;&gt;"33"))),"x","")</f>
        <v/>
      </c>
      <c r="Y2632" s="39" t="str">
        <f>IF(AND(OR(LEFT(TH!L2632,2)="15",LEFT(TH!M2632,2)="15"),'152-CT'!$J$8=TH!F2632),"x","")</f>
        <v/>
      </c>
      <c r="Z2632" s="39" t="str">
        <f>IF(AND(OR(LEFT(TH!L2632,2)="15",LEFT(TH!M2632,2)="15"),TK!$E$7=TH!F2632),"x","")</f>
        <v/>
      </c>
      <c r="AA2632" s="39" t="str">
        <f>IF(AND(B2632&lt;=NKC!$N$8,B2632&gt;=NKC!$M$8),"x","")</f>
        <v/>
      </c>
      <c r="AB2632" s="821"/>
    </row>
    <row r="2633" spans="1:30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13"/>
        <v/>
      </c>
      <c r="C2633" s="191"/>
      <c r="D2633" s="37"/>
      <c r="E2633" s="191"/>
      <c r="F2633" s="192"/>
      <c r="G2633" s="468"/>
      <c r="H2633" s="193"/>
      <c r="I2633" s="256"/>
      <c r="J2633" s="256"/>
      <c r="K2633" s="568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902" t="str">
        <f>IF(AND('341-CT'!$E$9=H2633,OR(LEFT(L2633,3)=$O$7,LEFT(M2633,3)=$O$7)),"x","")</f>
        <v/>
      </c>
      <c r="P2633" s="39" t="str">
        <f>IF(AND($B2633&gt;='111'!$N$11,$B2633&lt;='111'!$O$11,OR($L2633=$P$7,$M2633=$P$7)),"x","")</f>
        <v/>
      </c>
      <c r="Q2633" s="39" t="str">
        <f>IF(AND($L2633=$P$7,$B2633&lt;'111'!$N$11),"x","")</f>
        <v/>
      </c>
      <c r="R2633" s="39" t="str">
        <f>IF(AND($M2633=$P$7,$B2633&lt;'111'!$N$11),"x","")</f>
        <v/>
      </c>
      <c r="S2633" s="39" t="str">
        <f>IF(ISERROR(FIND('112'!$M$9,G2633,1)),"",IF((AND(FIND('112'!$M$9,G2633,1)&gt;=1,$B2633&gt;='112'!$N$8,$B2633&lt;='112'!$O$8,OR($L2633='112'!$I$6,$M2633='112'!$I$6))),"x",""))</f>
        <v/>
      </c>
      <c r="T2633" s="39" t="str">
        <f>IF(ISERROR(FIND('112'!$M$9,G2633,1)),"",IF((AND(LEFT(G2633,2)=LEFT('112'!$M$9,2),B2633&lt;'112'!$N$8,$L2633='112'!$I$6)),"x",""))</f>
        <v/>
      </c>
      <c r="U2633" s="39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39" t="str">
        <f>IF(OR(TH!L2633=TH!$W$7,M2633=TH!$W$7),"x","")</f>
        <v/>
      </c>
      <c r="X2633" s="39" t="str">
        <f>IF(AND(B2633&gt;='IN-NX'!$P$3,B2633&lt;='IN-NX'!$Q$3,'IN-NX'!$D$7=D2633,OR(LEFT(L2633,2)="15",AND(LEFT(M2633,2)&lt;&gt;"15",LEFT(M2633,2)&lt;&gt;"33"))),"x","")</f>
        <v/>
      </c>
      <c r="Y2633" s="39" t="str">
        <f>IF(AND(OR(LEFT(TH!L2633,2)="15",LEFT(TH!M2633,2)="15"),'152-CT'!$J$8=TH!F2633),"x","")</f>
        <v/>
      </c>
      <c r="Z2633" s="39" t="str">
        <f>IF(AND(OR(LEFT(TH!L2633,2)="15",LEFT(TH!M2633,2)="15"),TK!$E$7=TH!F2633),"x","")</f>
        <v/>
      </c>
      <c r="AA2633" s="39" t="str">
        <f>IF(AND(B2633&lt;=NKC!$N$8,B2633&gt;=NKC!$M$8),"x","")</f>
        <v/>
      </c>
      <c r="AB2633" s="821"/>
    </row>
    <row r="2634" spans="1:30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13"/>
        <v/>
      </c>
      <c r="C2634" s="191"/>
      <c r="D2634" s="37"/>
      <c r="E2634" s="191"/>
      <c r="F2634" s="192"/>
      <c r="G2634" s="468"/>
      <c r="H2634" s="193"/>
      <c r="I2634" s="256"/>
      <c r="J2634" s="256"/>
      <c r="K2634" s="568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902" t="str">
        <f>IF(AND('341-CT'!$E$9=H2634,OR(LEFT(L2634,3)=$O$7,LEFT(M2634,3)=$O$7)),"x","")</f>
        <v/>
      </c>
      <c r="P2634" s="39" t="str">
        <f>IF(AND($B2634&gt;='111'!$N$11,$B2634&lt;='111'!$O$11,OR($L2634=$P$7,$M2634=$P$7)),"x","")</f>
        <v/>
      </c>
      <c r="Q2634" s="39" t="str">
        <f>IF(AND($L2634=$P$7,$B2634&lt;'111'!$N$11),"x","")</f>
        <v/>
      </c>
      <c r="R2634" s="39" t="str">
        <f>IF(AND($M2634=$P$7,$B2634&lt;'111'!$N$11),"x","")</f>
        <v/>
      </c>
      <c r="S2634" s="39" t="str">
        <f>IF(ISERROR(FIND('112'!$M$9,G2634,1)),"",IF((AND(FIND('112'!$M$9,G2634,1)&gt;=1,$B2634&gt;='112'!$N$8,$B2634&lt;='112'!$O$8,OR($L2634='112'!$I$6,$M2634='112'!$I$6))),"x",""))</f>
        <v/>
      </c>
      <c r="T2634" s="39" t="str">
        <f>IF(ISERROR(FIND('112'!$M$9,G2634,1)),"",IF((AND(LEFT(G2634,2)=LEFT('112'!$M$9,2),B2634&lt;'112'!$N$8,$L2634='112'!$I$6)),"x",""))</f>
        <v/>
      </c>
      <c r="U2634" s="39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39" t="str">
        <f>IF(OR(TH!L2634=TH!$W$7,M2634=TH!$W$7),"x","")</f>
        <v/>
      </c>
      <c r="X2634" s="39" t="str">
        <f>IF(AND(B2634&gt;='IN-NX'!$P$3,B2634&lt;='IN-NX'!$Q$3,'IN-NX'!$D$7=D2634,OR(LEFT(L2634,2)="15",AND(LEFT(M2634,2)&lt;&gt;"15",LEFT(M2634,2)&lt;&gt;"33"))),"x","")</f>
        <v/>
      </c>
      <c r="Y2634" s="39" t="str">
        <f>IF(AND(OR(LEFT(TH!L2634,2)="15",LEFT(TH!M2634,2)="15"),'152-CT'!$J$8=TH!F2634),"x","")</f>
        <v/>
      </c>
      <c r="Z2634" s="39" t="str">
        <f>IF(AND(OR(LEFT(TH!L2634,2)="15",LEFT(TH!M2634,2)="15"),TK!$E$7=TH!F2634),"x","")</f>
        <v/>
      </c>
      <c r="AA2634" s="39" t="str">
        <f>IF(AND(B2634&lt;=NKC!$N$8,B2634&gt;=NKC!$M$8),"x","")</f>
        <v/>
      </c>
      <c r="AB2634" s="821"/>
    </row>
    <row r="2635" spans="1:30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13"/>
        <v/>
      </c>
      <c r="C2635" s="184"/>
      <c r="D2635" s="184"/>
      <c r="E2635" s="184"/>
      <c r="F2635" s="189"/>
      <c r="G2635" s="570"/>
      <c r="H2635" s="7"/>
      <c r="I2635" s="256"/>
      <c r="J2635" s="256"/>
      <c r="K2635" s="568"/>
      <c r="L2635" s="569"/>
      <c r="M2635" s="569"/>
      <c r="N2635" s="39" t="str">
        <f>IF(AND('331-CT'!$E$7=TH!H2635,OR(L2635="331",M2635="331")),"331",IF(AND(OR(L2635="131",M2635="131"),H2635='131-CT'!$E$7),"131",""))</f>
        <v/>
      </c>
      <c r="O2635" s="902" t="str">
        <f>IF(AND('341-CT'!$E$9=H2635,OR(LEFT(L2635,3)=$O$7,LEFT(M2635,3)=$O$7)),"x","")</f>
        <v/>
      </c>
      <c r="P2635" s="39" t="str">
        <f>IF(AND($B2635&gt;='111'!$N$11,$B2635&lt;='111'!$O$11,OR($L2635=$P$7,$M2635=$P$7)),"x","")</f>
        <v/>
      </c>
      <c r="Q2635" s="39" t="str">
        <f>IF(AND($L2635=$P$7,$B2635&lt;'111'!$N$11),"x","")</f>
        <v/>
      </c>
      <c r="R2635" s="39" t="str">
        <f>IF(AND($M2635=$P$7,$B2635&lt;'111'!$N$11),"x","")</f>
        <v/>
      </c>
      <c r="S2635" s="39" t="str">
        <f>IF(ISERROR(FIND('112'!$M$9,G2635,1)),"",IF((AND(FIND('112'!$M$9,G2635,1)&gt;=1,$B2635&gt;='112'!$N$8,$B2635&lt;='112'!$O$8,OR($L2635='112'!$I$6,$M2635='112'!$I$6))),"x",""))</f>
        <v/>
      </c>
      <c r="T2635" s="39" t="str">
        <f>IF(ISERROR(FIND('112'!$M$9,G2635,1)),"",IF((AND(LEFT(G2635,2)=LEFT('112'!$M$9,2),B2635&lt;'112'!$N$8,$L2635='112'!$I$6)),"x",""))</f>
        <v/>
      </c>
      <c r="U2635" s="39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39" t="str">
        <f>IF(OR(TH!L2635=TH!$W$7,M2635=TH!$W$7),"x","")</f>
        <v/>
      </c>
      <c r="X2635" s="39" t="str">
        <f>IF(AND(B2635&gt;='IN-NX'!$P$3,B2635&lt;='IN-NX'!$Q$3,'IN-NX'!$D$7=D2635,OR(LEFT(L2635,2)="15",AND(LEFT(M2635,2)&lt;&gt;"15",LEFT(M2635,2)&lt;&gt;"33"))),"x","")</f>
        <v/>
      </c>
      <c r="Y2635" s="39" t="str">
        <f>IF(AND(OR(LEFT(TH!L2635,2)="15",LEFT(TH!M2635,2)="15"),'152-CT'!$J$8=TH!F2635),"x","")</f>
        <v/>
      </c>
      <c r="Z2635" s="39" t="str">
        <f>IF(AND(OR(LEFT(TH!L2635,2)="15",LEFT(TH!M2635,2)="15"),TK!$E$7=TH!F2635),"x","")</f>
        <v/>
      </c>
      <c r="AA2635" s="39" t="str">
        <f>IF(AND(B2635&lt;=NKC!$N$8,B2635&gt;=NKC!$M$8),"x","")</f>
        <v/>
      </c>
      <c r="AB2635" s="821"/>
    </row>
    <row r="2636" spans="1:30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13"/>
        <v/>
      </c>
      <c r="C2636" s="191"/>
      <c r="D2636" s="184"/>
      <c r="E2636" s="184"/>
      <c r="F2636" s="189"/>
      <c r="G2636" s="468"/>
      <c r="H2636" s="7"/>
      <c r="I2636" s="256"/>
      <c r="J2636" s="256"/>
      <c r="K2636" s="38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902" t="str">
        <f>IF(AND('341-CT'!$E$9=H2636,OR(LEFT(L2636,3)=$O$7,LEFT(M2636,3)=$O$7)),"x","")</f>
        <v/>
      </c>
      <c r="P2636" s="39" t="str">
        <f>IF(AND($B2636&gt;='111'!$N$11,$B2636&lt;='111'!$O$11,OR($L2636=$P$7,$M2636=$P$7)),"x","")</f>
        <v/>
      </c>
      <c r="Q2636" s="39" t="str">
        <f>IF(AND($L2636=$P$7,$B2636&lt;'111'!$N$11),"x","")</f>
        <v/>
      </c>
      <c r="R2636" s="39" t="str">
        <f>IF(AND($M2636=$P$7,$B2636&lt;'111'!$N$11),"x","")</f>
        <v/>
      </c>
      <c r="S2636" s="39" t="str">
        <f>IF(ISERROR(FIND('112'!$M$9,G2636,1)),"",IF((AND(FIND('112'!$M$9,G2636,1)&gt;=1,$B2636&gt;='112'!$N$8,$B2636&lt;='112'!$O$8,OR($L2636='112'!$I$6,$M2636='112'!$I$6))),"x",""))</f>
        <v/>
      </c>
      <c r="T2636" s="39" t="str">
        <f>IF(ISERROR(FIND('112'!$M$9,G2636,1)),"",IF((AND(LEFT(G2636,2)=LEFT('112'!$M$9,2),B2636&lt;'112'!$N$8,$L2636='112'!$I$6)),"x",""))</f>
        <v/>
      </c>
      <c r="U2636" s="39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39" t="str">
        <f>IF(OR(TH!L2636=TH!$W$7,M2636=TH!$W$7),"x","")</f>
        <v/>
      </c>
      <c r="X2636" s="39" t="str">
        <f>IF(AND(B2636&gt;='IN-NX'!$P$3,B2636&lt;='IN-NX'!$Q$3,'IN-NX'!$D$7=D2636,OR(LEFT(L2636,2)="15",AND(LEFT(M2636,2)&lt;&gt;"15",LEFT(M2636,2)&lt;&gt;"33"))),"x","")</f>
        <v/>
      </c>
      <c r="Y2636" s="39" t="str">
        <f>IF(AND(OR(LEFT(TH!L2636,2)="15",LEFT(TH!M2636,2)="15"),'152-CT'!$J$8=TH!F2636),"x","")</f>
        <v/>
      </c>
      <c r="Z2636" s="39" t="str">
        <f>IF(AND(OR(LEFT(TH!L2636,2)="15",LEFT(TH!M2636,2)="15"),TK!$E$7=TH!F2636),"x","")</f>
        <v/>
      </c>
      <c r="AA2636" s="39" t="str">
        <f>IF(AND(B2636&lt;=NKC!$N$8,B2636&gt;=NKC!$M$8),"x","")</f>
        <v/>
      </c>
      <c r="AB2636" s="821"/>
      <c r="AC2636" s="560"/>
      <c r="AD2636" s="560"/>
    </row>
    <row r="2637" spans="1:30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13"/>
        <v/>
      </c>
      <c r="C2637" s="191"/>
      <c r="D2637" s="184"/>
      <c r="E2637" s="184"/>
      <c r="F2637" s="189"/>
      <c r="G2637" s="468"/>
      <c r="H2637" s="7"/>
      <c r="I2637" s="256"/>
      <c r="J2637" s="256"/>
      <c r="K2637" s="38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902" t="str">
        <f>IF(AND('341-CT'!$E$9=H2637,OR(LEFT(L2637,3)=$O$7,LEFT(M2637,3)=$O$7)),"x","")</f>
        <v/>
      </c>
      <c r="P2637" s="39" t="str">
        <f>IF(AND($B2637&gt;='111'!$N$11,$B2637&lt;='111'!$O$11,OR($L2637=$P$7,$M2637=$P$7)),"x","")</f>
        <v/>
      </c>
      <c r="Q2637" s="39" t="str">
        <f>IF(AND($L2637=$P$7,$B2637&lt;'111'!$N$11),"x","")</f>
        <v/>
      </c>
      <c r="R2637" s="39" t="str">
        <f>IF(AND($M2637=$P$7,$B2637&lt;'111'!$N$11),"x","")</f>
        <v/>
      </c>
      <c r="S2637" s="39" t="str">
        <f>IF(ISERROR(FIND('112'!$M$9,G2637,1)),"",IF((AND(FIND('112'!$M$9,G2637,1)&gt;=1,$B2637&gt;='112'!$N$8,$B2637&lt;='112'!$O$8,OR($L2637='112'!$I$6,$M2637='112'!$I$6))),"x",""))</f>
        <v/>
      </c>
      <c r="T2637" s="39" t="str">
        <f>IF(ISERROR(FIND('112'!$M$9,G2637,1)),"",IF((AND(LEFT(G2637,2)=LEFT('112'!$M$9,2),B2637&lt;'112'!$N$8,$L2637='112'!$I$6)),"x",""))</f>
        <v/>
      </c>
      <c r="U2637" s="39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39" t="str">
        <f>IF(OR(TH!L2637=TH!$W$7,M2637=TH!$W$7),"x","")</f>
        <v/>
      </c>
      <c r="X2637" s="39" t="str">
        <f>IF(AND(B2637&gt;='IN-NX'!$P$3,B2637&lt;='IN-NX'!$Q$3,'IN-NX'!$D$7=D2637,OR(LEFT(L2637,2)="15",AND(LEFT(M2637,2)&lt;&gt;"15",LEFT(M2637,2)&lt;&gt;"33"))),"x","")</f>
        <v/>
      </c>
      <c r="Y2637" s="39" t="str">
        <f>IF(AND(OR(LEFT(TH!L2637,2)="15",LEFT(TH!M2637,2)="15"),'152-CT'!$J$8=TH!F2637),"x","")</f>
        <v/>
      </c>
      <c r="Z2637" s="39" t="str">
        <f>IF(AND(OR(LEFT(TH!L2637,2)="15",LEFT(TH!M2637,2)="15"),TK!$E$7=TH!F2637),"x","")</f>
        <v/>
      </c>
      <c r="AA2637" s="39" t="str">
        <f>IF(AND(B2637&lt;=NKC!$N$8,B2637&gt;=NKC!$M$8),"x","")</f>
        <v/>
      </c>
      <c r="AB2637" s="821"/>
      <c r="AC2637" s="560"/>
      <c r="AD2637" s="560"/>
    </row>
    <row r="2638" spans="1:30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13"/>
        <v/>
      </c>
      <c r="C2638" s="191"/>
      <c r="D2638" s="191"/>
      <c r="E2638" s="184"/>
      <c r="F2638" s="192"/>
      <c r="G2638" s="468"/>
      <c r="H2638" s="764"/>
      <c r="I2638" s="256"/>
      <c r="J2638" s="256"/>
      <c r="K2638" s="568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902" t="str">
        <f>IF(AND('341-CT'!$E$9=H2638,OR(LEFT(L2638,3)=$O$7,LEFT(M2638,3)=$O$7)),"x","")</f>
        <v/>
      </c>
      <c r="P2638" s="39" t="str">
        <f>IF(AND($B2638&gt;='111'!$N$11,$B2638&lt;='111'!$O$11,OR($L2638=$P$7,$M2638=$P$7)),"x","")</f>
        <v/>
      </c>
      <c r="Q2638" s="39" t="str">
        <f>IF(AND($L2638=$P$7,$B2638&lt;'111'!$N$11),"x","")</f>
        <v/>
      </c>
      <c r="R2638" s="39" t="str">
        <f>IF(AND($M2638=$P$7,$B2638&lt;'111'!$N$11),"x","")</f>
        <v/>
      </c>
      <c r="S2638" s="39" t="str">
        <f>IF(ISERROR(FIND('112'!$M$9,G2638,1)),"",IF((AND(FIND('112'!$M$9,G2638,1)&gt;=1,$B2638&gt;='112'!$N$8,$B2638&lt;='112'!$O$8,OR($L2638='112'!$I$6,$M2638='112'!$I$6))),"x",""))</f>
        <v/>
      </c>
      <c r="T2638" s="39" t="str">
        <f>IF(ISERROR(FIND('112'!$M$9,G2638,1)),"",IF((AND(LEFT(G2638,2)=LEFT('112'!$M$9,2),B2638&lt;'112'!$N$8,$L2638='112'!$I$6)),"x",""))</f>
        <v/>
      </c>
      <c r="U2638" s="39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39" t="str">
        <f>IF(OR(TH!L2638=TH!$W$7,M2638=TH!$W$7),"x","")</f>
        <v/>
      </c>
      <c r="X2638" s="39" t="str">
        <f>IF(AND(B2638&gt;='IN-NX'!$P$3,B2638&lt;='IN-NX'!$Q$3,'IN-NX'!$D$7=D2638,OR(LEFT(L2638,2)="15",AND(LEFT(M2638,2)&lt;&gt;"15",LEFT(M2638,2)&lt;&gt;"33"))),"x","")</f>
        <v/>
      </c>
      <c r="Y2638" s="39" t="str">
        <f>IF(AND(OR(LEFT(TH!L2638,2)="15",LEFT(TH!M2638,2)="15"),'152-CT'!$J$8=TH!F2638),"x","")</f>
        <v/>
      </c>
      <c r="Z2638" s="39" t="str">
        <f>IF(AND(OR(LEFT(TH!L2638,2)="15",LEFT(TH!M2638,2)="15"),TK!$E$7=TH!F2638),"x","")</f>
        <v/>
      </c>
      <c r="AA2638" s="39" t="str">
        <f>IF(AND(B2638&lt;=NKC!$N$8,B2638&gt;=NKC!$M$8),"x","")</f>
        <v/>
      </c>
      <c r="AB2638" s="821"/>
    </row>
    <row r="2639" spans="1:30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13"/>
        <v/>
      </c>
      <c r="C2639" s="191"/>
      <c r="D2639" s="191"/>
      <c r="E2639" s="191"/>
      <c r="F2639" s="189"/>
      <c r="G2639" s="40"/>
      <c r="H2639" s="7"/>
      <c r="I2639" s="256"/>
      <c r="J2639" s="256"/>
      <c r="K2639" s="568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902" t="str">
        <f>IF(AND('341-CT'!$E$9=H2639,OR(LEFT(L2639,3)=$O$7,LEFT(M2639,3)=$O$7)),"x","")</f>
        <v/>
      </c>
      <c r="P2639" s="39" t="str">
        <f>IF(AND($B2639&gt;='111'!$N$11,$B2639&lt;='111'!$O$11,OR($L2639=$P$7,$M2639=$P$7)),"x","")</f>
        <v/>
      </c>
      <c r="Q2639" s="39" t="str">
        <f>IF(AND($L2639=$P$7,$B2639&lt;'111'!$N$11),"x","")</f>
        <v/>
      </c>
      <c r="R2639" s="39" t="str">
        <f>IF(AND($M2639=$P$7,$B2639&lt;'111'!$N$11),"x","")</f>
        <v/>
      </c>
      <c r="S2639" s="39" t="str">
        <f>IF(ISERROR(FIND('112'!$M$9,G2639,1)),"",IF((AND(FIND('112'!$M$9,G2639,1)&gt;=1,$B2639&gt;='112'!$N$8,$B2639&lt;='112'!$O$8,OR($L2639='112'!$I$6,$M2639='112'!$I$6))),"x",""))</f>
        <v/>
      </c>
      <c r="T2639" s="39" t="str">
        <f>IF(ISERROR(FIND('112'!$M$9,G2639,1)),"",IF((AND(LEFT(G2639,2)=LEFT('112'!$M$9,2),B2639&lt;'112'!$N$8,$L2639='112'!$I$6)),"x",""))</f>
        <v/>
      </c>
      <c r="U2639" s="39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39" t="str">
        <f>IF(OR(TH!L2639=TH!$W$7,M2639=TH!$W$7),"x","")</f>
        <v/>
      </c>
      <c r="X2639" s="39" t="str">
        <f>IF(AND(B2639&gt;='IN-NX'!$P$3,B2639&lt;='IN-NX'!$Q$3,'IN-NX'!$D$7=D2639,OR(LEFT(L2639,2)="15",AND(LEFT(M2639,2)&lt;&gt;"15",LEFT(M2639,2)&lt;&gt;"33"))),"x","")</f>
        <v/>
      </c>
      <c r="Y2639" s="39" t="str">
        <f>IF(AND(OR(LEFT(TH!L2639,2)="15",LEFT(TH!M2639,2)="15"),'152-CT'!$J$8=TH!F2639),"x","")</f>
        <v/>
      </c>
      <c r="Z2639" s="39" t="str">
        <f>IF(AND(OR(LEFT(TH!L2639,2)="15",LEFT(TH!M2639,2)="15"),TK!$E$7=TH!F2639),"x","")</f>
        <v/>
      </c>
      <c r="AA2639" s="39" t="str">
        <f>IF(AND(B2639&lt;=NKC!$N$8,B2639&gt;=NKC!$M$8),"x","")</f>
        <v/>
      </c>
      <c r="AB2639" s="821"/>
    </row>
    <row r="2640" spans="1:30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13"/>
        <v/>
      </c>
      <c r="C2640" s="191"/>
      <c r="D2640" s="191"/>
      <c r="E2640" s="191"/>
      <c r="F2640" s="189"/>
      <c r="G2640" s="40"/>
      <c r="H2640" s="7"/>
      <c r="I2640" s="256"/>
      <c r="J2640" s="256"/>
      <c r="K2640" s="56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902" t="str">
        <f>IF(AND('341-CT'!$E$9=H2640,OR(LEFT(L2640,3)=$O$7,LEFT(M2640,3)=$O$7)),"x","")</f>
        <v/>
      </c>
      <c r="P2640" s="39" t="str">
        <f>IF(AND($B2640&gt;='111'!$N$11,$B2640&lt;='111'!$O$11,OR($L2640=$P$7,$M2640=$P$7)),"x","")</f>
        <v/>
      </c>
      <c r="Q2640" s="39" t="str">
        <f>IF(AND($L2640=$P$7,$B2640&lt;'111'!$N$11),"x","")</f>
        <v/>
      </c>
      <c r="R2640" s="39" t="str">
        <f>IF(AND($M2640=$P$7,$B2640&lt;'111'!$N$11),"x","")</f>
        <v/>
      </c>
      <c r="S2640" s="39" t="str">
        <f>IF(ISERROR(FIND('112'!$M$9,G2640,1)),"",IF((AND(FIND('112'!$M$9,G2640,1)&gt;=1,$B2640&gt;='112'!$N$8,$B2640&lt;='112'!$O$8,OR($L2640='112'!$I$6,$M2640='112'!$I$6))),"x",""))</f>
        <v/>
      </c>
      <c r="T2640" s="39" t="str">
        <f>IF(ISERROR(FIND('112'!$M$9,G2640,1)),"",IF((AND(LEFT(G2640,2)=LEFT('112'!$M$9,2),B2640&lt;'112'!$N$8,$L2640='112'!$I$6)),"x",""))</f>
        <v/>
      </c>
      <c r="U2640" s="39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39" t="str">
        <f>IF(OR(TH!L2640=TH!$W$7,M2640=TH!$W$7),"x","")</f>
        <v/>
      </c>
      <c r="X2640" s="39" t="str">
        <f>IF(AND(B2640&gt;='IN-NX'!$P$3,B2640&lt;='IN-NX'!$Q$3,'IN-NX'!$D$7=D2640,OR(LEFT(L2640,2)="15",AND(LEFT(M2640,2)&lt;&gt;"15",LEFT(M2640,2)&lt;&gt;"33"))),"x","")</f>
        <v/>
      </c>
      <c r="Y2640" s="39" t="str">
        <f>IF(AND(OR(LEFT(TH!L2640,2)="15",LEFT(TH!M2640,2)="15"),'152-CT'!$J$8=TH!F2640),"x","")</f>
        <v/>
      </c>
      <c r="Z2640" s="39" t="str">
        <f>IF(AND(OR(LEFT(TH!L2640,2)="15",LEFT(TH!M2640,2)="15"),TK!$E$7=TH!F2640),"x","")</f>
        <v/>
      </c>
      <c r="AA2640" s="39" t="str">
        <f>IF(AND(B2640&lt;=NKC!$N$8,B2640&gt;=NKC!$M$8),"x","")</f>
        <v/>
      </c>
      <c r="AB2640" s="821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13"/>
        <v/>
      </c>
      <c r="C2641" s="191"/>
      <c r="D2641" s="191"/>
      <c r="E2641" s="191"/>
      <c r="F2641" s="189"/>
      <c r="G2641" s="40"/>
      <c r="H2641" s="7"/>
      <c r="I2641" s="256"/>
      <c r="J2641" s="256"/>
      <c r="K2641" s="56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902" t="str">
        <f>IF(AND('341-CT'!$E$9=H2641,OR(LEFT(L2641,3)=$O$7,LEFT(M2641,3)=$O$7)),"x","")</f>
        <v/>
      </c>
      <c r="P2641" s="39" t="str">
        <f>IF(AND($B2641&gt;='111'!$N$11,$B2641&lt;='111'!$O$11,OR($L2641=$P$7,$M2641=$P$7)),"x","")</f>
        <v/>
      </c>
      <c r="Q2641" s="39" t="str">
        <f>IF(AND($L2641=$P$7,$B2641&lt;'111'!$N$11),"x","")</f>
        <v/>
      </c>
      <c r="R2641" s="39" t="str">
        <f>IF(AND($M2641=$P$7,$B2641&lt;'111'!$N$11),"x","")</f>
        <v/>
      </c>
      <c r="S2641" s="39" t="str">
        <f>IF(ISERROR(FIND('112'!$M$9,G2641,1)),"",IF((AND(FIND('112'!$M$9,G2641,1)&gt;=1,$B2641&gt;='112'!$N$8,$B2641&lt;='112'!$O$8,OR($L2641='112'!$I$6,$M2641='112'!$I$6))),"x",""))</f>
        <v/>
      </c>
      <c r="T2641" s="39" t="str">
        <f>IF(ISERROR(FIND('112'!$M$9,G2641,1)),"",IF((AND(LEFT(G2641,2)=LEFT('112'!$M$9,2),B2641&lt;'112'!$N$8,$L2641='112'!$I$6)),"x",""))</f>
        <v/>
      </c>
      <c r="U2641" s="39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39" t="str">
        <f>IF(OR(TH!L2641=TH!$W$7,M2641=TH!$W$7),"x","")</f>
        <v/>
      </c>
      <c r="X2641" s="39" t="str">
        <f>IF(AND(B2641&gt;='IN-NX'!$P$3,B2641&lt;='IN-NX'!$Q$3,'IN-NX'!$D$7=D2641,OR(LEFT(L2641,2)="15",AND(LEFT(M2641,2)&lt;&gt;"15",LEFT(M2641,2)&lt;&gt;"33"))),"x","")</f>
        <v/>
      </c>
      <c r="Y2641" s="39" t="str">
        <f>IF(AND(OR(LEFT(TH!L2641,2)="15",LEFT(TH!M2641,2)="15"),'152-CT'!$J$8=TH!F2641),"x","")</f>
        <v/>
      </c>
      <c r="Z2641" s="39" t="str">
        <f>IF(AND(OR(LEFT(TH!L2641,2)="15",LEFT(TH!M2641,2)="15"),TK!$E$7=TH!F2641),"x","")</f>
        <v/>
      </c>
      <c r="AA2641" s="39" t="str">
        <f>IF(AND(B2641&lt;=NKC!$N$8,B2641&gt;=NKC!$M$8),"x","")</f>
        <v/>
      </c>
      <c r="AB2641" s="821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13"/>
        <v/>
      </c>
      <c r="C2642" s="191"/>
      <c r="D2642" s="191"/>
      <c r="E2642" s="191"/>
      <c r="F2642" s="40"/>
      <c r="G2642" s="40"/>
      <c r="H2642" s="7"/>
      <c r="I2642" s="256"/>
      <c r="J2642" s="256"/>
      <c r="K2642" s="56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902" t="str">
        <f>IF(AND('341-CT'!$E$9=H2642,OR(LEFT(L2642,3)=$O$7,LEFT(M2642,3)=$O$7)),"x","")</f>
        <v/>
      </c>
      <c r="P2642" s="39" t="str">
        <f>IF(AND($B2642&gt;='111'!$N$11,$B2642&lt;='111'!$O$11,OR($L2642=$P$7,$M2642=$P$7)),"x","")</f>
        <v/>
      </c>
      <c r="Q2642" s="39" t="str">
        <f>IF(AND($L2642=$P$7,$B2642&lt;'111'!$N$11),"x","")</f>
        <v/>
      </c>
      <c r="R2642" s="39" t="str">
        <f>IF(AND($M2642=$P$7,$B2642&lt;'111'!$N$11),"x","")</f>
        <v/>
      </c>
      <c r="S2642" s="39" t="str">
        <f>IF(ISERROR(FIND('112'!$M$9,G2642,1)),"",IF((AND(FIND('112'!$M$9,G2642,1)&gt;=1,$B2642&gt;='112'!$N$8,$B2642&lt;='112'!$O$8,OR($L2642='112'!$I$6,$M2642='112'!$I$6))),"x",""))</f>
        <v/>
      </c>
      <c r="T2642" s="39" t="str">
        <f>IF(ISERROR(FIND('112'!$M$9,G2642,1)),"",IF((AND(LEFT(G2642,2)=LEFT('112'!$M$9,2),B2642&lt;'112'!$N$8,$L2642='112'!$I$6)),"x",""))</f>
        <v/>
      </c>
      <c r="U2642" s="39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39" t="str">
        <f>IF(OR(TH!L2642=TH!$W$7,M2642=TH!$W$7),"x","")</f>
        <v/>
      </c>
      <c r="X2642" s="39" t="str">
        <f>IF(AND(B2642&gt;='IN-NX'!$P$3,B2642&lt;='IN-NX'!$Q$3,'IN-NX'!$D$7=D2642,OR(LEFT(L2642,2)="15",AND(LEFT(M2642,2)&lt;&gt;"15",LEFT(M2642,2)&lt;&gt;"33"))),"x","")</f>
        <v/>
      </c>
      <c r="Y2642" s="39" t="str">
        <f>IF(AND(OR(LEFT(TH!L2642,2)="15",LEFT(TH!M2642,2)="15"),'152-CT'!$J$8=TH!F2642),"x","")</f>
        <v/>
      </c>
      <c r="Z2642" s="39" t="str">
        <f>IF(AND(OR(LEFT(TH!L2642,2)="15",LEFT(TH!M2642,2)="15"),TK!$E$7=TH!F2642),"x","")</f>
        <v/>
      </c>
      <c r="AA2642" s="39" t="str">
        <f>IF(AND(B2642&lt;=NKC!$N$8,B2642&gt;=NKC!$M$8),"x","")</f>
        <v/>
      </c>
      <c r="AB2642" s="821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13"/>
        <v/>
      </c>
      <c r="C2643" s="191"/>
      <c r="D2643" s="191"/>
      <c r="E2643" s="191"/>
      <c r="F2643" s="40"/>
      <c r="G2643" s="40"/>
      <c r="H2643" s="7"/>
      <c r="I2643" s="256"/>
      <c r="J2643" s="256"/>
      <c r="K2643" s="56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902" t="str">
        <f>IF(AND('341-CT'!$E$9=H2643,OR(LEFT(L2643,3)=$O$7,LEFT(M2643,3)=$O$7)),"x","")</f>
        <v/>
      </c>
      <c r="P2643" s="39" t="str">
        <f>IF(AND($B2643&gt;='111'!$N$11,$B2643&lt;='111'!$O$11,OR($L2643=$P$7,$M2643=$P$7)),"x","")</f>
        <v/>
      </c>
      <c r="Q2643" s="39" t="str">
        <f>IF(AND($L2643=$P$7,$B2643&lt;'111'!$N$11),"x","")</f>
        <v/>
      </c>
      <c r="R2643" s="39" t="str">
        <f>IF(AND($M2643=$P$7,$B2643&lt;'111'!$N$11),"x","")</f>
        <v/>
      </c>
      <c r="S2643" s="39" t="str">
        <f>IF(ISERROR(FIND('112'!$M$9,G2643,1)),"",IF((AND(FIND('112'!$M$9,G2643,1)&gt;=1,$B2643&gt;='112'!$N$8,$B2643&lt;='112'!$O$8,OR($L2643='112'!$I$6,$M2643='112'!$I$6))),"x",""))</f>
        <v/>
      </c>
      <c r="T2643" s="39" t="str">
        <f>IF(ISERROR(FIND('112'!$M$9,G2643,1)),"",IF((AND(LEFT(G2643,2)=LEFT('112'!$M$9,2),B2643&lt;'112'!$N$8,$L2643='112'!$I$6)),"x",""))</f>
        <v/>
      </c>
      <c r="U2643" s="39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39" t="str">
        <f>IF(OR(TH!L2643=TH!$W$7,M2643=TH!$W$7),"x","")</f>
        <v/>
      </c>
      <c r="X2643" s="39" t="str">
        <f>IF(AND(B2643&gt;='IN-NX'!$P$3,B2643&lt;='IN-NX'!$Q$3,'IN-NX'!$D$7=D2643,OR(LEFT(L2643,2)="15",AND(LEFT(M2643,2)&lt;&gt;"15",LEFT(M2643,2)&lt;&gt;"33"))),"x","")</f>
        <v/>
      </c>
      <c r="Y2643" s="39" t="str">
        <f>IF(AND(OR(LEFT(TH!L2643,2)="15",LEFT(TH!M2643,2)="15"),'152-CT'!$J$8=TH!F2643),"x","")</f>
        <v/>
      </c>
      <c r="Z2643" s="39" t="str">
        <f>IF(AND(OR(LEFT(TH!L2643,2)="15",LEFT(TH!M2643,2)="15"),TK!$E$7=TH!F2643),"x","")</f>
        <v/>
      </c>
      <c r="AA2643" s="39" t="str">
        <f>IF(AND(B2643&lt;=NKC!$N$8,B2643&gt;=NKC!$M$8),"x","")</f>
        <v/>
      </c>
      <c r="AB2643" s="821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13"/>
        <v/>
      </c>
      <c r="C2644" s="191"/>
      <c r="D2644" s="191"/>
      <c r="E2644" s="191"/>
      <c r="F2644" s="40"/>
      <c r="G2644" s="40"/>
      <c r="H2644" s="7"/>
      <c r="I2644" s="256"/>
      <c r="J2644" s="256"/>
      <c r="K2644" s="56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902" t="str">
        <f>IF(AND('341-CT'!$E$9=H2644,OR(LEFT(L2644,3)=$O$7,LEFT(M2644,3)=$O$7)),"x","")</f>
        <v/>
      </c>
      <c r="P2644" s="39" t="str">
        <f>IF(AND($B2644&gt;='111'!$N$11,$B2644&lt;='111'!$O$11,OR($L2644=$P$7,$M2644=$P$7)),"x","")</f>
        <v/>
      </c>
      <c r="Q2644" s="39" t="str">
        <f>IF(AND($L2644=$P$7,$B2644&lt;'111'!$N$11),"x","")</f>
        <v/>
      </c>
      <c r="R2644" s="39" t="str">
        <f>IF(AND($M2644=$P$7,$B2644&lt;'111'!$N$11),"x","")</f>
        <v/>
      </c>
      <c r="S2644" s="39" t="str">
        <f>IF(ISERROR(FIND('112'!$M$9,G2644,1)),"",IF((AND(FIND('112'!$M$9,G2644,1)&gt;=1,$B2644&gt;='112'!$N$8,$B2644&lt;='112'!$O$8,OR($L2644='112'!$I$6,$M2644='112'!$I$6))),"x",""))</f>
        <v/>
      </c>
      <c r="T2644" s="39" t="str">
        <f>IF(ISERROR(FIND('112'!$M$9,G2644,1)),"",IF((AND(LEFT(G2644,2)=LEFT('112'!$M$9,2),B2644&lt;'112'!$N$8,$L2644='112'!$I$6)),"x",""))</f>
        <v/>
      </c>
      <c r="U2644" s="39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39" t="str">
        <f>IF(OR(TH!L2644=TH!$W$7,M2644=TH!$W$7),"x","")</f>
        <v/>
      </c>
      <c r="X2644" s="39" t="str">
        <f>IF(AND(B2644&gt;='IN-NX'!$P$3,B2644&lt;='IN-NX'!$Q$3,'IN-NX'!$D$7=D2644,OR(LEFT(L2644,2)="15",AND(LEFT(M2644,2)&lt;&gt;"15",LEFT(M2644,2)&lt;&gt;"33"))),"x","")</f>
        <v/>
      </c>
      <c r="Y2644" s="39" t="str">
        <f>IF(AND(OR(LEFT(TH!L2644,2)="15",LEFT(TH!M2644,2)="15"),'152-CT'!$J$8=TH!F2644),"x","")</f>
        <v/>
      </c>
      <c r="Z2644" s="39" t="str">
        <f>IF(AND(OR(LEFT(TH!L2644,2)="15",LEFT(TH!M2644,2)="15"),TK!$E$7=TH!F2644),"x","")</f>
        <v/>
      </c>
      <c r="AA2644" s="39" t="str">
        <f>IF(AND(B2644&lt;=NKC!$N$8,B2644&gt;=NKC!$M$8),"x","")</f>
        <v/>
      </c>
      <c r="AB2644" s="821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13"/>
        <v/>
      </c>
      <c r="C2645" s="191"/>
      <c r="D2645" s="191"/>
      <c r="E2645" s="191"/>
      <c r="F2645" s="40"/>
      <c r="G2645" s="40"/>
      <c r="H2645" s="7"/>
      <c r="I2645" s="256"/>
      <c r="J2645" s="256"/>
      <c r="K2645" s="56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902" t="str">
        <f>IF(AND('341-CT'!$E$9=H2645,OR(LEFT(L2645,3)=$O$7,LEFT(M2645,3)=$O$7)),"x","")</f>
        <v/>
      </c>
      <c r="P2645" s="39" t="str">
        <f>IF(AND($B2645&gt;='111'!$N$11,$B2645&lt;='111'!$O$11,OR($L2645=$P$7,$M2645=$P$7)),"x","")</f>
        <v/>
      </c>
      <c r="Q2645" s="39" t="str">
        <f>IF(AND($L2645=$P$7,$B2645&lt;'111'!$N$11),"x","")</f>
        <v/>
      </c>
      <c r="R2645" s="39" t="str">
        <f>IF(AND($M2645=$P$7,$B2645&lt;'111'!$N$11),"x","")</f>
        <v/>
      </c>
      <c r="S2645" s="39" t="str">
        <f>IF(ISERROR(FIND('112'!$M$9,G2645,1)),"",IF((AND(FIND('112'!$M$9,G2645,1)&gt;=1,$B2645&gt;='112'!$N$8,$B2645&lt;='112'!$O$8,OR($L2645='112'!$I$6,$M2645='112'!$I$6))),"x",""))</f>
        <v/>
      </c>
      <c r="T2645" s="39" t="str">
        <f>IF(ISERROR(FIND('112'!$M$9,G2645,1)),"",IF((AND(LEFT(G2645,2)=LEFT('112'!$M$9,2),B2645&lt;'112'!$N$8,$L2645='112'!$I$6)),"x",""))</f>
        <v/>
      </c>
      <c r="U2645" s="39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39" t="str">
        <f>IF(OR(TH!L2645=TH!$W$7,M2645=TH!$W$7),"x","")</f>
        <v/>
      </c>
      <c r="X2645" s="39" t="str">
        <f>IF(AND(B2645&gt;='IN-NX'!$P$3,B2645&lt;='IN-NX'!$Q$3,'IN-NX'!$D$7=D2645,OR(LEFT(L2645,2)="15",AND(LEFT(M2645,2)&lt;&gt;"15",LEFT(M2645,2)&lt;&gt;"33"))),"x","")</f>
        <v/>
      </c>
      <c r="Y2645" s="39" t="str">
        <f>IF(AND(OR(LEFT(TH!L2645,2)="15",LEFT(TH!M2645,2)="15"),'152-CT'!$J$8=TH!F2645),"x","")</f>
        <v/>
      </c>
      <c r="Z2645" s="39" t="str">
        <f>IF(AND(OR(LEFT(TH!L2645,2)="15",LEFT(TH!M2645,2)="15"),TK!$E$7=TH!F2645),"x","")</f>
        <v/>
      </c>
      <c r="AA2645" s="39" t="str">
        <f>IF(AND(B2645&lt;=NKC!$N$8,B2645&gt;=NKC!$M$8),"x","")</f>
        <v/>
      </c>
      <c r="AB2645" s="821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13"/>
        <v/>
      </c>
      <c r="C2646" s="191"/>
      <c r="D2646" s="191"/>
      <c r="E2646" s="191"/>
      <c r="F2646" s="40"/>
      <c r="G2646" s="40"/>
      <c r="H2646" s="7"/>
      <c r="I2646" s="256"/>
      <c r="J2646" s="256"/>
      <c r="K2646" s="56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902" t="str">
        <f>IF(AND('341-CT'!$E$9=H2646,OR(LEFT(L2646,3)=$O$7,LEFT(M2646,3)=$O$7)),"x","")</f>
        <v/>
      </c>
      <c r="P2646" s="39" t="str">
        <f>IF(AND($B2646&gt;='111'!$N$11,$B2646&lt;='111'!$O$11,OR($L2646=$P$7,$M2646=$P$7)),"x","")</f>
        <v/>
      </c>
      <c r="Q2646" s="39" t="str">
        <f>IF(AND($L2646=$P$7,$B2646&lt;'111'!$N$11),"x","")</f>
        <v/>
      </c>
      <c r="R2646" s="39" t="str">
        <f>IF(AND($M2646=$P$7,$B2646&lt;'111'!$N$11),"x","")</f>
        <v/>
      </c>
      <c r="S2646" s="39" t="str">
        <f>IF(ISERROR(FIND('112'!$M$9,G2646,1)),"",IF((AND(FIND('112'!$M$9,G2646,1)&gt;=1,$B2646&gt;='112'!$N$8,$B2646&lt;='112'!$O$8,OR($L2646='112'!$I$6,$M2646='112'!$I$6))),"x",""))</f>
        <v/>
      </c>
      <c r="T2646" s="39" t="str">
        <f>IF(ISERROR(FIND('112'!$M$9,G2646,1)),"",IF((AND(LEFT(G2646,2)=LEFT('112'!$M$9,2),B2646&lt;'112'!$N$8,$L2646='112'!$I$6)),"x",""))</f>
        <v/>
      </c>
      <c r="U2646" s="39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39" t="str">
        <f>IF(OR(TH!L2646=TH!$W$7,M2646=TH!$W$7),"x","")</f>
        <v/>
      </c>
      <c r="X2646" s="39" t="str">
        <f>IF(AND(B2646&gt;='IN-NX'!$P$3,B2646&lt;='IN-NX'!$Q$3,'IN-NX'!$D$7=D2646,OR(LEFT(L2646,2)="15",AND(LEFT(M2646,2)&lt;&gt;"15",LEFT(M2646,2)&lt;&gt;"33"))),"x","")</f>
        <v/>
      </c>
      <c r="Y2646" s="39" t="str">
        <f>IF(AND(OR(LEFT(TH!L2646,2)="15",LEFT(TH!M2646,2)="15"),'152-CT'!$J$8=TH!F2646),"x","")</f>
        <v/>
      </c>
      <c r="Z2646" s="39" t="str">
        <f>IF(AND(OR(LEFT(TH!L2646,2)="15",LEFT(TH!M2646,2)="15"),TK!$E$7=TH!F2646),"x","")</f>
        <v/>
      </c>
      <c r="AA2646" s="39" t="str">
        <f>IF(AND(B2646&lt;=NKC!$N$8,B2646&gt;=NKC!$M$8),"x","")</f>
        <v/>
      </c>
      <c r="AB2646" s="821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13"/>
        <v/>
      </c>
      <c r="C2647" s="191"/>
      <c r="D2647" s="191"/>
      <c r="E2647" s="191"/>
      <c r="F2647" s="40"/>
      <c r="G2647" s="40"/>
      <c r="H2647" s="7"/>
      <c r="I2647" s="256"/>
      <c r="J2647" s="256"/>
      <c r="K2647" s="56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902" t="str">
        <f>IF(AND('341-CT'!$E$9=H2647,OR(LEFT(L2647,3)=$O$7,LEFT(M2647,3)=$O$7)),"x","")</f>
        <v/>
      </c>
      <c r="P2647" s="39" t="str">
        <f>IF(AND($B2647&gt;='111'!$N$11,$B2647&lt;='111'!$O$11,OR($L2647=$P$7,$M2647=$P$7)),"x","")</f>
        <v/>
      </c>
      <c r="Q2647" s="39" t="str">
        <f>IF(AND($L2647=$P$7,$B2647&lt;'111'!$N$11),"x","")</f>
        <v/>
      </c>
      <c r="R2647" s="39" t="str">
        <f>IF(AND($M2647=$P$7,$B2647&lt;'111'!$N$11),"x","")</f>
        <v/>
      </c>
      <c r="S2647" s="39" t="str">
        <f>IF(ISERROR(FIND('112'!$M$9,G2647,1)),"",IF((AND(FIND('112'!$M$9,G2647,1)&gt;=1,$B2647&gt;='112'!$N$8,$B2647&lt;='112'!$O$8,OR($L2647='112'!$I$6,$M2647='112'!$I$6))),"x",""))</f>
        <v/>
      </c>
      <c r="T2647" s="39" t="str">
        <f>IF(ISERROR(FIND('112'!$M$9,G2647,1)),"",IF((AND(LEFT(G2647,2)=LEFT('112'!$M$9,2),B2647&lt;'112'!$N$8,$L2647='112'!$I$6)),"x",""))</f>
        <v/>
      </c>
      <c r="U2647" s="39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39" t="str">
        <f>IF(OR(TH!L2647=TH!$W$7,M2647=TH!$W$7),"x","")</f>
        <v/>
      </c>
      <c r="X2647" s="39" t="str">
        <f>IF(AND(B2647&gt;='IN-NX'!$P$3,B2647&lt;='IN-NX'!$Q$3,'IN-NX'!$D$7=D2647,OR(LEFT(L2647,2)="15",AND(LEFT(M2647,2)&lt;&gt;"15",LEFT(M2647,2)&lt;&gt;"33"))),"x","")</f>
        <v/>
      </c>
      <c r="Y2647" s="39" t="str">
        <f>IF(AND(OR(LEFT(TH!L2647,2)="15",LEFT(TH!M2647,2)="15"),'152-CT'!$J$8=TH!F2647),"x","")</f>
        <v/>
      </c>
      <c r="Z2647" s="39" t="str">
        <f>IF(AND(OR(LEFT(TH!L2647,2)="15",LEFT(TH!M2647,2)="15"),TK!$E$7=TH!F2647),"x","")</f>
        <v/>
      </c>
      <c r="AA2647" s="39" t="str">
        <f>IF(AND(B2647&lt;=NKC!$N$8,B2647&gt;=NKC!$M$8),"x","")</f>
        <v/>
      </c>
      <c r="AB2647" s="821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13"/>
        <v/>
      </c>
      <c r="C2648" s="191"/>
      <c r="D2648" s="191"/>
      <c r="E2648" s="191"/>
      <c r="F2648" s="189"/>
      <c r="G2648" s="40"/>
      <c r="H2648" s="7"/>
      <c r="I2648" s="256"/>
      <c r="J2648" s="256"/>
      <c r="K2648" s="56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902" t="str">
        <f>IF(AND('341-CT'!$E$9=H2648,OR(LEFT(L2648,3)=$O$7,LEFT(M2648,3)=$O$7)),"x","")</f>
        <v/>
      </c>
      <c r="P2648" s="39" t="str">
        <f>IF(AND($B2648&gt;='111'!$N$11,$B2648&lt;='111'!$O$11,OR($L2648=$P$7,$M2648=$P$7)),"x","")</f>
        <v/>
      </c>
      <c r="Q2648" s="39" t="str">
        <f>IF(AND($L2648=$P$7,$B2648&lt;'111'!$N$11),"x","")</f>
        <v/>
      </c>
      <c r="R2648" s="39" t="str">
        <f>IF(AND($M2648=$P$7,$B2648&lt;'111'!$N$11),"x","")</f>
        <v/>
      </c>
      <c r="S2648" s="39" t="str">
        <f>IF(ISERROR(FIND('112'!$M$9,G2648,1)),"",IF((AND(FIND('112'!$M$9,G2648,1)&gt;=1,$B2648&gt;='112'!$N$8,$B2648&lt;='112'!$O$8,OR($L2648='112'!$I$6,$M2648='112'!$I$6))),"x",""))</f>
        <v/>
      </c>
      <c r="T2648" s="39" t="str">
        <f>IF(ISERROR(FIND('112'!$M$9,G2648,1)),"",IF((AND(LEFT(G2648,2)=LEFT('112'!$M$9,2),B2648&lt;'112'!$N$8,$L2648='112'!$I$6)),"x",""))</f>
        <v/>
      </c>
      <c r="U2648" s="39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39" t="str">
        <f>IF(OR(TH!L2648=TH!$W$7,M2648=TH!$W$7),"x","")</f>
        <v/>
      </c>
      <c r="X2648" s="39" t="str">
        <f>IF(AND(B2648&gt;='IN-NX'!$P$3,B2648&lt;='IN-NX'!$Q$3,'IN-NX'!$D$7=D2648,OR(LEFT(L2648,2)="15",AND(LEFT(M2648,2)&lt;&gt;"15",LEFT(M2648,2)&lt;&gt;"33"))),"x","")</f>
        <v/>
      </c>
      <c r="Y2648" s="39" t="str">
        <f>IF(AND(OR(LEFT(TH!L2648,2)="15",LEFT(TH!M2648,2)="15"),'152-CT'!$J$8=TH!F2648),"x","")</f>
        <v/>
      </c>
      <c r="Z2648" s="39" t="str">
        <f>IF(AND(OR(LEFT(TH!L2648,2)="15",LEFT(TH!M2648,2)="15"),TK!$E$7=TH!F2648),"x","")</f>
        <v/>
      </c>
      <c r="AA2648" s="39" t="str">
        <f>IF(AND(B2648&lt;=NKC!$N$8,B2648&gt;=NKC!$M$8),"x","")</f>
        <v/>
      </c>
      <c r="AB2648" s="821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13"/>
        <v/>
      </c>
      <c r="C2649" s="191"/>
      <c r="D2649" s="191"/>
      <c r="E2649" s="191"/>
      <c r="F2649" s="189"/>
      <c r="G2649" s="40"/>
      <c r="H2649" s="7"/>
      <c r="I2649" s="256"/>
      <c r="J2649" s="256"/>
      <c r="K2649" s="56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902" t="str">
        <f>IF(AND('341-CT'!$E$9=H2649,OR(LEFT(L2649,3)=$O$7,LEFT(M2649,3)=$O$7)),"x","")</f>
        <v/>
      </c>
      <c r="P2649" s="39" t="str">
        <f>IF(AND($B2649&gt;='111'!$N$11,$B2649&lt;='111'!$O$11,OR($L2649=$P$7,$M2649=$P$7)),"x","")</f>
        <v/>
      </c>
      <c r="Q2649" s="39" t="str">
        <f>IF(AND($L2649=$P$7,$B2649&lt;'111'!$N$11),"x","")</f>
        <v/>
      </c>
      <c r="R2649" s="39" t="str">
        <f>IF(AND($M2649=$P$7,$B2649&lt;'111'!$N$11),"x","")</f>
        <v/>
      </c>
      <c r="S2649" s="39" t="str">
        <f>IF(ISERROR(FIND('112'!$M$9,G2649,1)),"",IF((AND(FIND('112'!$M$9,G2649,1)&gt;=1,$B2649&gt;='112'!$N$8,$B2649&lt;='112'!$O$8,OR($L2649='112'!$I$6,$M2649='112'!$I$6))),"x",""))</f>
        <v/>
      </c>
      <c r="T2649" s="39" t="str">
        <f>IF(ISERROR(FIND('112'!$M$9,G2649,1)),"",IF((AND(LEFT(G2649,2)=LEFT('112'!$M$9,2),B2649&lt;'112'!$N$8,$L2649='112'!$I$6)),"x",""))</f>
        <v/>
      </c>
      <c r="U2649" s="39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39" t="str">
        <f>IF(OR(TH!L2649=TH!$W$7,M2649=TH!$W$7),"x","")</f>
        <v/>
      </c>
      <c r="X2649" s="39" t="str">
        <f>IF(AND(B2649&gt;='IN-NX'!$P$3,B2649&lt;='IN-NX'!$Q$3,'IN-NX'!$D$7=D2649,OR(LEFT(L2649,2)="15",AND(LEFT(M2649,2)&lt;&gt;"15",LEFT(M2649,2)&lt;&gt;"33"))),"x","")</f>
        <v/>
      </c>
      <c r="Y2649" s="39" t="str">
        <f>IF(AND(OR(LEFT(TH!L2649,2)="15",LEFT(TH!M2649,2)="15"),'152-CT'!$J$8=TH!F2649),"x","")</f>
        <v/>
      </c>
      <c r="Z2649" s="39" t="str">
        <f>IF(AND(OR(LEFT(TH!L2649,2)="15",LEFT(TH!M2649,2)="15"),TK!$E$7=TH!F2649),"x","")</f>
        <v/>
      </c>
      <c r="AA2649" s="39" t="str">
        <f>IF(AND(B2649&lt;=NKC!$N$8,B2649&gt;=NKC!$M$8),"x","")</f>
        <v/>
      </c>
      <c r="AB2649" s="821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13"/>
        <v/>
      </c>
      <c r="C2650" s="191"/>
      <c r="D2650" s="191"/>
      <c r="E2650" s="191"/>
      <c r="F2650" s="189"/>
      <c r="G2650" s="40"/>
      <c r="H2650" s="7"/>
      <c r="I2650" s="256"/>
      <c r="J2650" s="256"/>
      <c r="K2650" s="56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902" t="str">
        <f>IF(AND('341-CT'!$E$9=H2650,OR(LEFT(L2650,3)=$O$7,LEFT(M2650,3)=$O$7)),"x","")</f>
        <v/>
      </c>
      <c r="P2650" s="39" t="str">
        <f>IF(AND($B2650&gt;='111'!$N$11,$B2650&lt;='111'!$O$11,OR($L2650=$P$7,$M2650=$P$7)),"x","")</f>
        <v/>
      </c>
      <c r="Q2650" s="39" t="str">
        <f>IF(AND($L2650=$P$7,$B2650&lt;'111'!$N$11),"x","")</f>
        <v/>
      </c>
      <c r="R2650" s="39" t="str">
        <f>IF(AND($M2650=$P$7,$B2650&lt;'111'!$N$11),"x","")</f>
        <v/>
      </c>
      <c r="S2650" s="39" t="str">
        <f>IF(ISERROR(FIND('112'!$M$9,G2650,1)),"",IF((AND(FIND('112'!$M$9,G2650,1)&gt;=1,$B2650&gt;='112'!$N$8,$B2650&lt;='112'!$O$8,OR($L2650='112'!$I$6,$M2650='112'!$I$6))),"x",""))</f>
        <v/>
      </c>
      <c r="T2650" s="39" t="str">
        <f>IF(ISERROR(FIND('112'!$M$9,G2650,1)),"",IF((AND(LEFT(G2650,2)=LEFT('112'!$M$9,2),B2650&lt;'112'!$N$8,$L2650='112'!$I$6)),"x",""))</f>
        <v/>
      </c>
      <c r="U2650" s="39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39" t="str">
        <f>IF(OR(TH!L2650=TH!$W$7,M2650=TH!$W$7),"x","")</f>
        <v/>
      </c>
      <c r="X2650" s="39" t="str">
        <f>IF(AND(B2650&gt;='IN-NX'!$P$3,B2650&lt;='IN-NX'!$Q$3,'IN-NX'!$D$7=D2650,OR(LEFT(L2650,2)="15",AND(LEFT(M2650,2)&lt;&gt;"15",LEFT(M2650,2)&lt;&gt;"33"))),"x","")</f>
        <v/>
      </c>
      <c r="Y2650" s="39" t="str">
        <f>IF(AND(OR(LEFT(TH!L2650,2)="15",LEFT(TH!M2650,2)="15"),'152-CT'!$J$8=TH!F2650),"x","")</f>
        <v/>
      </c>
      <c r="Z2650" s="39" t="str">
        <f>IF(AND(OR(LEFT(TH!L2650,2)="15",LEFT(TH!M2650,2)="15"),TK!$E$7=TH!F2650),"x","")</f>
        <v/>
      </c>
      <c r="AA2650" s="39" t="str">
        <f>IF(AND(B2650&lt;=NKC!$N$8,B2650&gt;=NKC!$M$8),"x","")</f>
        <v/>
      </c>
      <c r="AB2650" s="821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13"/>
        <v/>
      </c>
      <c r="C2651" s="191"/>
      <c r="D2651" s="191"/>
      <c r="E2651" s="191"/>
      <c r="F2651" s="40"/>
      <c r="G2651" s="40"/>
      <c r="H2651" s="7"/>
      <c r="I2651" s="256"/>
      <c r="J2651" s="256"/>
      <c r="K2651" s="56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902" t="str">
        <f>IF(AND('341-CT'!$E$9=H2651,OR(LEFT(L2651,3)=$O$7,LEFT(M2651,3)=$O$7)),"x","")</f>
        <v/>
      </c>
      <c r="P2651" s="39" t="str">
        <f>IF(AND($B2651&gt;='111'!$N$11,$B2651&lt;='111'!$O$11,OR($L2651=$P$7,$M2651=$P$7)),"x","")</f>
        <v/>
      </c>
      <c r="Q2651" s="39" t="str">
        <f>IF(AND($L2651=$P$7,$B2651&lt;'111'!$N$11),"x","")</f>
        <v/>
      </c>
      <c r="R2651" s="39" t="str">
        <f>IF(AND($M2651=$P$7,$B2651&lt;'111'!$N$11),"x","")</f>
        <v/>
      </c>
      <c r="S2651" s="39" t="str">
        <f>IF(ISERROR(FIND('112'!$M$9,G2651,1)),"",IF((AND(FIND('112'!$M$9,G2651,1)&gt;=1,$B2651&gt;='112'!$N$8,$B2651&lt;='112'!$O$8,OR($L2651='112'!$I$6,$M2651='112'!$I$6))),"x",""))</f>
        <v/>
      </c>
      <c r="T2651" s="39" t="str">
        <f>IF(ISERROR(FIND('112'!$M$9,G2651,1)),"",IF((AND(LEFT(G2651,2)=LEFT('112'!$M$9,2),B2651&lt;'112'!$N$8,$L2651='112'!$I$6)),"x",""))</f>
        <v/>
      </c>
      <c r="U2651" s="39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39" t="str">
        <f>IF(OR(TH!L2651=TH!$W$7,M2651=TH!$W$7),"x","")</f>
        <v/>
      </c>
      <c r="X2651" s="39" t="str">
        <f>IF(AND(B2651&gt;='IN-NX'!$P$3,B2651&lt;='IN-NX'!$Q$3,'IN-NX'!$D$7=D2651,OR(LEFT(L2651,2)="15",AND(LEFT(M2651,2)&lt;&gt;"15",LEFT(M2651,2)&lt;&gt;"33"))),"x","")</f>
        <v/>
      </c>
      <c r="Y2651" s="39" t="str">
        <f>IF(AND(OR(LEFT(TH!L2651,2)="15",LEFT(TH!M2651,2)="15"),'152-CT'!$J$8=TH!F2651),"x","")</f>
        <v/>
      </c>
      <c r="Z2651" s="39" t="str">
        <f>IF(AND(OR(LEFT(TH!L2651,2)="15",LEFT(TH!M2651,2)="15"),TK!$E$7=TH!F2651),"x","")</f>
        <v/>
      </c>
      <c r="AA2651" s="39" t="str">
        <f>IF(AND(B2651&lt;=NKC!$N$8,B2651&gt;=NKC!$M$8),"x","")</f>
        <v/>
      </c>
      <c r="AB2651" s="821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13"/>
        <v/>
      </c>
      <c r="C2652" s="191"/>
      <c r="D2652" s="191"/>
      <c r="E2652" s="191"/>
      <c r="F2652" s="40"/>
      <c r="G2652" s="40"/>
      <c r="H2652" s="7"/>
      <c r="I2652" s="256"/>
      <c r="J2652" s="256"/>
      <c r="K2652" s="56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902" t="str">
        <f>IF(AND('341-CT'!$E$9=H2652,OR(LEFT(L2652,3)=$O$7,LEFT(M2652,3)=$O$7)),"x","")</f>
        <v/>
      </c>
      <c r="P2652" s="39" t="str">
        <f>IF(AND($B2652&gt;='111'!$N$11,$B2652&lt;='111'!$O$11,OR($L2652=$P$7,$M2652=$P$7)),"x","")</f>
        <v/>
      </c>
      <c r="Q2652" s="39" t="str">
        <f>IF(AND($L2652=$P$7,$B2652&lt;'111'!$N$11),"x","")</f>
        <v/>
      </c>
      <c r="R2652" s="39" t="str">
        <f>IF(AND($M2652=$P$7,$B2652&lt;'111'!$N$11),"x","")</f>
        <v/>
      </c>
      <c r="S2652" s="39" t="str">
        <f>IF(ISERROR(FIND('112'!$M$9,G2652,1)),"",IF((AND(FIND('112'!$M$9,G2652,1)&gt;=1,$B2652&gt;='112'!$N$8,$B2652&lt;='112'!$O$8,OR($L2652='112'!$I$6,$M2652='112'!$I$6))),"x",""))</f>
        <v/>
      </c>
      <c r="T2652" s="39" t="str">
        <f>IF(ISERROR(FIND('112'!$M$9,G2652,1)),"",IF((AND(LEFT(G2652,2)=LEFT('112'!$M$9,2),B2652&lt;'112'!$N$8,$L2652='112'!$I$6)),"x",""))</f>
        <v/>
      </c>
      <c r="U2652" s="39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39" t="str">
        <f>IF(OR(TH!L2652=TH!$W$7,M2652=TH!$W$7),"x","")</f>
        <v/>
      </c>
      <c r="X2652" s="39" t="str">
        <f>IF(AND(B2652&gt;='IN-NX'!$P$3,B2652&lt;='IN-NX'!$Q$3,'IN-NX'!$D$7=D2652,OR(LEFT(L2652,2)="15",AND(LEFT(M2652,2)&lt;&gt;"15",LEFT(M2652,2)&lt;&gt;"33"))),"x","")</f>
        <v/>
      </c>
      <c r="Y2652" s="39" t="str">
        <f>IF(AND(OR(LEFT(TH!L2652,2)="15",LEFT(TH!M2652,2)="15"),'152-CT'!$J$8=TH!F2652),"x","")</f>
        <v/>
      </c>
      <c r="Z2652" s="39" t="str">
        <f>IF(AND(OR(LEFT(TH!L2652,2)="15",LEFT(TH!M2652,2)="15"),TK!$E$7=TH!F2652),"x","")</f>
        <v/>
      </c>
      <c r="AA2652" s="39" t="str">
        <f>IF(AND(B2652&lt;=NKC!$N$8,B2652&gt;=NKC!$M$8),"x","")</f>
        <v/>
      </c>
      <c r="AB2652" s="821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13"/>
        <v/>
      </c>
      <c r="C2653" s="191"/>
      <c r="D2653" s="191"/>
      <c r="E2653" s="191"/>
      <c r="F2653" s="40"/>
      <c r="G2653" s="40"/>
      <c r="H2653" s="7"/>
      <c r="I2653" s="256"/>
      <c r="J2653" s="256"/>
      <c r="K2653" s="56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902" t="str">
        <f>IF(AND('341-CT'!$E$9=H2653,OR(LEFT(L2653,3)=$O$7,LEFT(M2653,3)=$O$7)),"x","")</f>
        <v/>
      </c>
      <c r="P2653" s="39" t="str">
        <f>IF(AND($B2653&gt;='111'!$N$11,$B2653&lt;='111'!$O$11,OR($L2653=$P$7,$M2653=$P$7)),"x","")</f>
        <v/>
      </c>
      <c r="Q2653" s="39" t="str">
        <f>IF(AND($L2653=$P$7,$B2653&lt;'111'!$N$11),"x","")</f>
        <v/>
      </c>
      <c r="R2653" s="39" t="str">
        <f>IF(AND($M2653=$P$7,$B2653&lt;'111'!$N$11),"x","")</f>
        <v/>
      </c>
      <c r="S2653" s="39" t="str">
        <f>IF(ISERROR(FIND('112'!$M$9,G2653,1)),"",IF((AND(FIND('112'!$M$9,G2653,1)&gt;=1,$B2653&gt;='112'!$N$8,$B2653&lt;='112'!$O$8,OR($L2653='112'!$I$6,$M2653='112'!$I$6))),"x",""))</f>
        <v/>
      </c>
      <c r="T2653" s="39" t="str">
        <f>IF(ISERROR(FIND('112'!$M$9,G2653,1)),"",IF((AND(LEFT(G2653,2)=LEFT('112'!$M$9,2),B2653&lt;'112'!$N$8,$L2653='112'!$I$6)),"x",""))</f>
        <v/>
      </c>
      <c r="U2653" s="39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39" t="str">
        <f>IF(OR(TH!L2653=TH!$W$7,M2653=TH!$W$7),"x","")</f>
        <v/>
      </c>
      <c r="X2653" s="39" t="str">
        <f>IF(AND(B2653&gt;='IN-NX'!$P$3,B2653&lt;='IN-NX'!$Q$3,'IN-NX'!$D$7=D2653,OR(LEFT(L2653,2)="15",AND(LEFT(M2653,2)&lt;&gt;"15",LEFT(M2653,2)&lt;&gt;"33"))),"x","")</f>
        <v/>
      </c>
      <c r="Y2653" s="39" t="str">
        <f>IF(AND(OR(LEFT(TH!L2653,2)="15",LEFT(TH!M2653,2)="15"),'152-CT'!$J$8=TH!F2653),"x","")</f>
        <v/>
      </c>
      <c r="Z2653" s="39" t="str">
        <f>IF(AND(OR(LEFT(TH!L2653,2)="15",LEFT(TH!M2653,2)="15"),TK!$E$7=TH!F2653),"x","")</f>
        <v/>
      </c>
      <c r="AA2653" s="39" t="str">
        <f>IF(AND(B2653&lt;=NKC!$N$8,B2653&gt;=NKC!$M$8),"x","")</f>
        <v/>
      </c>
      <c r="AB2653" s="821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13"/>
        <v/>
      </c>
      <c r="C2654" s="191"/>
      <c r="D2654" s="191"/>
      <c r="E2654" s="191"/>
      <c r="F2654" s="40"/>
      <c r="G2654" s="40"/>
      <c r="H2654" s="7"/>
      <c r="I2654" s="256"/>
      <c r="J2654" s="256"/>
      <c r="K2654" s="56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902" t="str">
        <f>IF(AND('341-CT'!$E$9=H2654,OR(LEFT(L2654,3)=$O$7,LEFT(M2654,3)=$O$7)),"x","")</f>
        <v/>
      </c>
      <c r="P2654" s="39" t="str">
        <f>IF(AND($B2654&gt;='111'!$N$11,$B2654&lt;='111'!$O$11,OR($L2654=$P$7,$M2654=$P$7)),"x","")</f>
        <v/>
      </c>
      <c r="Q2654" s="39" t="str">
        <f>IF(AND($L2654=$P$7,$B2654&lt;'111'!$N$11),"x","")</f>
        <v/>
      </c>
      <c r="R2654" s="39" t="str">
        <f>IF(AND($M2654=$P$7,$B2654&lt;'111'!$N$11),"x","")</f>
        <v/>
      </c>
      <c r="S2654" s="39" t="str">
        <f>IF(ISERROR(FIND('112'!$M$9,G2654,1)),"",IF((AND(FIND('112'!$M$9,G2654,1)&gt;=1,$B2654&gt;='112'!$N$8,$B2654&lt;='112'!$O$8,OR($L2654='112'!$I$6,$M2654='112'!$I$6))),"x",""))</f>
        <v/>
      </c>
      <c r="T2654" s="39" t="str">
        <f>IF(ISERROR(FIND('112'!$M$9,G2654,1)),"",IF((AND(LEFT(G2654,2)=LEFT('112'!$M$9,2),B2654&lt;'112'!$N$8,$L2654='112'!$I$6)),"x",""))</f>
        <v/>
      </c>
      <c r="U2654" s="39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39" t="str">
        <f>IF(OR(TH!L2654=TH!$W$7,M2654=TH!$W$7),"x","")</f>
        <v/>
      </c>
      <c r="X2654" s="39" t="str">
        <f>IF(AND(B2654&gt;='IN-NX'!$P$3,B2654&lt;='IN-NX'!$Q$3,'IN-NX'!$D$7=D2654,OR(LEFT(L2654,2)="15",AND(LEFT(M2654,2)&lt;&gt;"15",LEFT(M2654,2)&lt;&gt;"33"))),"x","")</f>
        <v/>
      </c>
      <c r="Y2654" s="39" t="str">
        <f>IF(AND(OR(LEFT(TH!L2654,2)="15",LEFT(TH!M2654,2)="15"),'152-CT'!$J$8=TH!F2654),"x","")</f>
        <v/>
      </c>
      <c r="Z2654" s="39" t="str">
        <f>IF(AND(OR(LEFT(TH!L2654,2)="15",LEFT(TH!M2654,2)="15"),TK!$E$7=TH!F2654),"x","")</f>
        <v/>
      </c>
      <c r="AA2654" s="39" t="str">
        <f>IF(AND(B2654&lt;=NKC!$N$8,B2654&gt;=NKC!$M$8),"x","")</f>
        <v/>
      </c>
      <c r="AB2654" s="821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13"/>
        <v/>
      </c>
      <c r="C2655" s="191"/>
      <c r="D2655" s="191"/>
      <c r="E2655" s="191"/>
      <c r="F2655" s="40"/>
      <c r="G2655" s="40"/>
      <c r="H2655" s="7"/>
      <c r="I2655" s="256"/>
      <c r="J2655" s="256"/>
      <c r="K2655" s="56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902" t="str">
        <f>IF(AND('341-CT'!$E$9=H2655,OR(LEFT(L2655,3)=$O$7,LEFT(M2655,3)=$O$7)),"x","")</f>
        <v/>
      </c>
      <c r="P2655" s="39" t="str">
        <f>IF(AND($B2655&gt;='111'!$N$11,$B2655&lt;='111'!$O$11,OR($L2655=$P$7,$M2655=$P$7)),"x","")</f>
        <v/>
      </c>
      <c r="Q2655" s="39" t="str">
        <f>IF(AND($L2655=$P$7,$B2655&lt;'111'!$N$11),"x","")</f>
        <v/>
      </c>
      <c r="R2655" s="39" t="str">
        <f>IF(AND($M2655=$P$7,$B2655&lt;'111'!$N$11),"x","")</f>
        <v/>
      </c>
      <c r="S2655" s="39" t="str">
        <f>IF(ISERROR(FIND('112'!$M$9,G2655,1)),"",IF((AND(FIND('112'!$M$9,G2655,1)&gt;=1,$B2655&gt;='112'!$N$8,$B2655&lt;='112'!$O$8,OR($L2655='112'!$I$6,$M2655='112'!$I$6))),"x",""))</f>
        <v/>
      </c>
      <c r="T2655" s="39" t="str">
        <f>IF(ISERROR(FIND('112'!$M$9,G2655,1)),"",IF((AND(LEFT(G2655,2)=LEFT('112'!$M$9,2),B2655&lt;'112'!$N$8,$L2655='112'!$I$6)),"x",""))</f>
        <v/>
      </c>
      <c r="U2655" s="39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39" t="str">
        <f>IF(OR(TH!L2655=TH!$W$7,M2655=TH!$W$7),"x","")</f>
        <v/>
      </c>
      <c r="X2655" s="39" t="str">
        <f>IF(AND(B2655&gt;='IN-NX'!$P$3,B2655&lt;='IN-NX'!$Q$3,'IN-NX'!$D$7=D2655,OR(LEFT(L2655,2)="15",AND(LEFT(M2655,2)&lt;&gt;"15",LEFT(M2655,2)&lt;&gt;"33"))),"x","")</f>
        <v/>
      </c>
      <c r="Y2655" s="39" t="str">
        <f>IF(AND(OR(LEFT(TH!L2655,2)="15",LEFT(TH!M2655,2)="15"),'152-CT'!$J$8=TH!F2655),"x","")</f>
        <v/>
      </c>
      <c r="Z2655" s="39" t="str">
        <f>IF(AND(OR(LEFT(TH!L2655,2)="15",LEFT(TH!M2655,2)="15"),TK!$E$7=TH!F2655),"x","")</f>
        <v/>
      </c>
      <c r="AA2655" s="39" t="str">
        <f>IF(AND(B2655&lt;=NKC!$N$8,B2655&gt;=NKC!$M$8),"x","")</f>
        <v/>
      </c>
      <c r="AB2655" s="821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13"/>
        <v/>
      </c>
      <c r="C2656" s="191"/>
      <c r="D2656" s="191"/>
      <c r="E2656" s="191"/>
      <c r="F2656" s="40"/>
      <c r="G2656" s="40"/>
      <c r="H2656" s="7"/>
      <c r="I2656" s="256"/>
      <c r="J2656" s="256"/>
      <c r="K2656" s="56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902" t="str">
        <f>IF(AND('341-CT'!$E$9=H2656,OR(LEFT(L2656,3)=$O$7,LEFT(M2656,3)=$O$7)),"x","")</f>
        <v/>
      </c>
      <c r="P2656" s="39" t="str">
        <f>IF(AND($B2656&gt;='111'!$N$11,$B2656&lt;='111'!$O$11,OR($L2656=$P$7,$M2656=$P$7)),"x","")</f>
        <v/>
      </c>
      <c r="Q2656" s="39" t="str">
        <f>IF(AND($L2656=$P$7,$B2656&lt;'111'!$N$11),"x","")</f>
        <v/>
      </c>
      <c r="R2656" s="39" t="str">
        <f>IF(AND($M2656=$P$7,$B2656&lt;'111'!$N$11),"x","")</f>
        <v/>
      </c>
      <c r="S2656" s="39" t="str">
        <f>IF(ISERROR(FIND('112'!$M$9,G2656,1)),"",IF((AND(FIND('112'!$M$9,G2656,1)&gt;=1,$B2656&gt;='112'!$N$8,$B2656&lt;='112'!$O$8,OR($L2656='112'!$I$6,$M2656='112'!$I$6))),"x",""))</f>
        <v/>
      </c>
      <c r="T2656" s="39" t="str">
        <f>IF(ISERROR(FIND('112'!$M$9,G2656,1)),"",IF((AND(LEFT(G2656,2)=LEFT('112'!$M$9,2),B2656&lt;'112'!$N$8,$L2656='112'!$I$6)),"x",""))</f>
        <v/>
      </c>
      <c r="U2656" s="39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39" t="str">
        <f>IF(OR(TH!L2656=TH!$W$7,M2656=TH!$W$7),"x","")</f>
        <v/>
      </c>
      <c r="X2656" s="39" t="str">
        <f>IF(AND(B2656&gt;='IN-NX'!$P$3,B2656&lt;='IN-NX'!$Q$3,'IN-NX'!$D$7=D2656,OR(LEFT(L2656,2)="15",AND(LEFT(M2656,2)&lt;&gt;"15",LEFT(M2656,2)&lt;&gt;"33"))),"x","")</f>
        <v/>
      </c>
      <c r="Y2656" s="39" t="str">
        <f>IF(AND(OR(LEFT(TH!L2656,2)="15",LEFT(TH!M2656,2)="15"),'152-CT'!$J$8=TH!F2656),"x","")</f>
        <v/>
      </c>
      <c r="Z2656" s="39" t="str">
        <f>IF(AND(OR(LEFT(TH!L2656,2)="15",LEFT(TH!M2656,2)="15"),TK!$E$7=TH!F2656),"x","")</f>
        <v/>
      </c>
      <c r="AA2656" s="39" t="str">
        <f>IF(AND(B2656&lt;=NKC!$N$8,B2656&gt;=NKC!$M$8),"x","")</f>
        <v/>
      </c>
      <c r="AB2656" s="821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13"/>
        <v/>
      </c>
      <c r="C2657" s="191"/>
      <c r="D2657" s="191"/>
      <c r="E2657" s="191"/>
      <c r="F2657" s="40"/>
      <c r="G2657" s="40"/>
      <c r="H2657" s="7"/>
      <c r="I2657" s="256"/>
      <c r="J2657" s="256"/>
      <c r="K2657" s="56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902" t="str">
        <f>IF(AND('341-CT'!$E$9=H2657,OR(LEFT(L2657,3)=$O$7,LEFT(M2657,3)=$O$7)),"x","")</f>
        <v/>
      </c>
      <c r="P2657" s="39" t="str">
        <f>IF(AND($B2657&gt;='111'!$N$11,$B2657&lt;='111'!$O$11,OR($L2657=$P$7,$M2657=$P$7)),"x","")</f>
        <v/>
      </c>
      <c r="Q2657" s="39" t="str">
        <f>IF(AND($L2657=$P$7,$B2657&lt;'111'!$N$11),"x","")</f>
        <v/>
      </c>
      <c r="R2657" s="39" t="str">
        <f>IF(AND($M2657=$P$7,$B2657&lt;'111'!$N$11),"x","")</f>
        <v/>
      </c>
      <c r="S2657" s="39" t="str">
        <f>IF(ISERROR(FIND('112'!$M$9,G2657,1)),"",IF((AND(FIND('112'!$M$9,G2657,1)&gt;=1,$B2657&gt;='112'!$N$8,$B2657&lt;='112'!$O$8,OR($L2657='112'!$I$6,$M2657='112'!$I$6))),"x",""))</f>
        <v/>
      </c>
      <c r="T2657" s="39" t="str">
        <f>IF(ISERROR(FIND('112'!$M$9,G2657,1)),"",IF((AND(LEFT(G2657,2)=LEFT('112'!$M$9,2),B2657&lt;'112'!$N$8,$L2657='112'!$I$6)),"x",""))</f>
        <v/>
      </c>
      <c r="U2657" s="39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39" t="str">
        <f>IF(OR(TH!L2657=TH!$W$7,M2657=TH!$W$7),"x","")</f>
        <v/>
      </c>
      <c r="X2657" s="39" t="str">
        <f>IF(AND(B2657&gt;='IN-NX'!$P$3,B2657&lt;='IN-NX'!$Q$3,'IN-NX'!$D$7=D2657,OR(LEFT(L2657,2)="15",AND(LEFT(M2657,2)&lt;&gt;"15",LEFT(M2657,2)&lt;&gt;"33"))),"x","")</f>
        <v/>
      </c>
      <c r="Y2657" s="39" t="str">
        <f>IF(AND(OR(LEFT(TH!L2657,2)="15",LEFT(TH!M2657,2)="15"),'152-CT'!$J$8=TH!F2657),"x","")</f>
        <v/>
      </c>
      <c r="Z2657" s="39" t="str">
        <f>IF(AND(OR(LEFT(TH!L2657,2)="15",LEFT(TH!M2657,2)="15"),TK!$E$7=TH!F2657),"x","")</f>
        <v/>
      </c>
      <c r="AA2657" s="39" t="str">
        <f>IF(AND(B2657&lt;=NKC!$N$8,B2657&gt;=NKC!$M$8),"x","")</f>
        <v/>
      </c>
      <c r="AB2657" s="821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13"/>
        <v/>
      </c>
      <c r="C2658" s="191"/>
      <c r="D2658" s="191"/>
      <c r="E2658" s="191"/>
      <c r="F2658" s="40"/>
      <c r="G2658" s="40"/>
      <c r="H2658" s="7"/>
      <c r="I2658" s="256"/>
      <c r="J2658" s="256"/>
      <c r="K2658" s="56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902" t="str">
        <f>IF(AND('341-CT'!$E$9=H2658,OR(LEFT(L2658,3)=$O$7,LEFT(M2658,3)=$O$7)),"x","")</f>
        <v/>
      </c>
      <c r="P2658" s="39" t="str">
        <f>IF(AND($B2658&gt;='111'!$N$11,$B2658&lt;='111'!$O$11,OR($L2658=$P$7,$M2658=$P$7)),"x","")</f>
        <v/>
      </c>
      <c r="Q2658" s="39" t="str">
        <f>IF(AND($L2658=$P$7,$B2658&lt;'111'!$N$11),"x","")</f>
        <v/>
      </c>
      <c r="R2658" s="39" t="str">
        <f>IF(AND($M2658=$P$7,$B2658&lt;'111'!$N$11),"x","")</f>
        <v/>
      </c>
      <c r="S2658" s="39" t="str">
        <f>IF(ISERROR(FIND('112'!$M$9,G2658,1)),"",IF((AND(FIND('112'!$M$9,G2658,1)&gt;=1,$B2658&gt;='112'!$N$8,$B2658&lt;='112'!$O$8,OR($L2658='112'!$I$6,$M2658='112'!$I$6))),"x",""))</f>
        <v/>
      </c>
      <c r="T2658" s="39" t="str">
        <f>IF(ISERROR(FIND('112'!$M$9,G2658,1)),"",IF((AND(LEFT(G2658,2)=LEFT('112'!$M$9,2),B2658&lt;'112'!$N$8,$L2658='112'!$I$6)),"x",""))</f>
        <v/>
      </c>
      <c r="U2658" s="39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39" t="str">
        <f>IF(OR(TH!L2658=TH!$W$7,M2658=TH!$W$7),"x","")</f>
        <v/>
      </c>
      <c r="X2658" s="39" t="str">
        <f>IF(AND(B2658&gt;='IN-NX'!$P$3,B2658&lt;='IN-NX'!$Q$3,'IN-NX'!$D$7=D2658,OR(LEFT(L2658,2)="15",AND(LEFT(M2658,2)&lt;&gt;"15",LEFT(M2658,2)&lt;&gt;"33"))),"x","")</f>
        <v/>
      </c>
      <c r="Y2658" s="39" t="str">
        <f>IF(AND(OR(LEFT(TH!L2658,2)="15",LEFT(TH!M2658,2)="15"),'152-CT'!$J$8=TH!F2658),"x","")</f>
        <v/>
      </c>
      <c r="Z2658" s="39" t="str">
        <f>IF(AND(OR(LEFT(TH!L2658,2)="15",LEFT(TH!M2658,2)="15"),TK!$E$7=TH!F2658),"x","")</f>
        <v/>
      </c>
      <c r="AA2658" s="39" t="str">
        <f>IF(AND(B2658&lt;=NKC!$N$8,B2658&gt;=NKC!$M$8),"x","")</f>
        <v/>
      </c>
      <c r="AB2658" s="821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13"/>
        <v/>
      </c>
      <c r="C2659" s="191"/>
      <c r="D2659" s="191"/>
      <c r="E2659" s="191"/>
      <c r="F2659" s="40"/>
      <c r="G2659" s="40"/>
      <c r="H2659" s="7"/>
      <c r="I2659" s="256"/>
      <c r="J2659" s="256"/>
      <c r="K2659" s="56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902" t="str">
        <f>IF(AND('341-CT'!$E$9=H2659,OR(LEFT(L2659,3)=$O$7,LEFT(M2659,3)=$O$7)),"x","")</f>
        <v/>
      </c>
      <c r="P2659" s="39" t="str">
        <f>IF(AND($B2659&gt;='111'!$N$11,$B2659&lt;='111'!$O$11,OR($L2659=$P$7,$M2659=$P$7)),"x","")</f>
        <v/>
      </c>
      <c r="Q2659" s="39" t="str">
        <f>IF(AND($L2659=$P$7,$B2659&lt;'111'!$N$11),"x","")</f>
        <v/>
      </c>
      <c r="R2659" s="39" t="str">
        <f>IF(AND($M2659=$P$7,$B2659&lt;'111'!$N$11),"x","")</f>
        <v/>
      </c>
      <c r="S2659" s="39" t="str">
        <f>IF(ISERROR(FIND('112'!$M$9,G2659,1)),"",IF((AND(FIND('112'!$M$9,G2659,1)&gt;=1,$B2659&gt;='112'!$N$8,$B2659&lt;='112'!$O$8,OR($L2659='112'!$I$6,$M2659='112'!$I$6))),"x",""))</f>
        <v/>
      </c>
      <c r="T2659" s="39" t="str">
        <f>IF(ISERROR(FIND('112'!$M$9,G2659,1)),"",IF((AND(LEFT(G2659,2)=LEFT('112'!$M$9,2),B2659&lt;'112'!$N$8,$L2659='112'!$I$6)),"x",""))</f>
        <v/>
      </c>
      <c r="U2659" s="39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39" t="str">
        <f>IF(OR(TH!L2659=TH!$W$7,M2659=TH!$W$7),"x","")</f>
        <v/>
      </c>
      <c r="X2659" s="39" t="str">
        <f>IF(AND(B2659&gt;='IN-NX'!$P$3,B2659&lt;='IN-NX'!$Q$3,'IN-NX'!$D$7=D2659,OR(LEFT(L2659,2)="15",AND(LEFT(M2659,2)&lt;&gt;"15",LEFT(M2659,2)&lt;&gt;"33"))),"x","")</f>
        <v/>
      </c>
      <c r="Y2659" s="39" t="str">
        <f>IF(AND(OR(LEFT(TH!L2659,2)="15",LEFT(TH!M2659,2)="15"),'152-CT'!$J$8=TH!F2659),"x","")</f>
        <v/>
      </c>
      <c r="Z2659" s="39" t="str">
        <f>IF(AND(OR(LEFT(TH!L2659,2)="15",LEFT(TH!M2659,2)="15"),TK!$E$7=TH!F2659),"x","")</f>
        <v/>
      </c>
      <c r="AA2659" s="39" t="str">
        <f>IF(AND(B2659&lt;=NKC!$N$8,B2659&gt;=NKC!$M$8),"x","")</f>
        <v/>
      </c>
      <c r="AB2659" s="821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13"/>
        <v/>
      </c>
      <c r="C2660" s="191"/>
      <c r="D2660" s="191"/>
      <c r="E2660" s="191"/>
      <c r="F2660" s="40"/>
      <c r="G2660" s="40"/>
      <c r="H2660" s="7"/>
      <c r="I2660" s="256"/>
      <c r="J2660" s="256"/>
      <c r="K2660" s="56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902" t="str">
        <f>IF(AND('341-CT'!$E$9=H2660,OR(LEFT(L2660,3)=$O$7,LEFT(M2660,3)=$O$7)),"x","")</f>
        <v/>
      </c>
      <c r="P2660" s="39" t="str">
        <f>IF(AND($B2660&gt;='111'!$N$11,$B2660&lt;='111'!$O$11,OR($L2660=$P$7,$M2660=$P$7)),"x","")</f>
        <v/>
      </c>
      <c r="Q2660" s="39" t="str">
        <f>IF(AND($L2660=$P$7,$B2660&lt;'111'!$N$11),"x","")</f>
        <v/>
      </c>
      <c r="R2660" s="39" t="str">
        <f>IF(AND($M2660=$P$7,$B2660&lt;'111'!$N$11),"x","")</f>
        <v/>
      </c>
      <c r="S2660" s="39" t="str">
        <f>IF(ISERROR(FIND('112'!$M$9,G2660,1)),"",IF((AND(FIND('112'!$M$9,G2660,1)&gt;=1,$B2660&gt;='112'!$N$8,$B2660&lt;='112'!$O$8,OR($L2660='112'!$I$6,$M2660='112'!$I$6))),"x",""))</f>
        <v/>
      </c>
      <c r="T2660" s="39" t="str">
        <f>IF(ISERROR(FIND('112'!$M$9,G2660,1)),"",IF((AND(LEFT(G2660,2)=LEFT('112'!$M$9,2),B2660&lt;'112'!$N$8,$L2660='112'!$I$6)),"x",""))</f>
        <v/>
      </c>
      <c r="U2660" s="39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39" t="str">
        <f>IF(OR(TH!L2660=TH!$W$7,M2660=TH!$W$7),"x","")</f>
        <v/>
      </c>
      <c r="X2660" s="39" t="str">
        <f>IF(AND(B2660&gt;='IN-NX'!$P$3,B2660&lt;='IN-NX'!$Q$3,'IN-NX'!$D$7=D2660,OR(LEFT(L2660,2)="15",AND(LEFT(M2660,2)&lt;&gt;"15",LEFT(M2660,2)&lt;&gt;"33"))),"x","")</f>
        <v/>
      </c>
      <c r="Y2660" s="39" t="str">
        <f>IF(AND(OR(LEFT(TH!L2660,2)="15",LEFT(TH!M2660,2)="15"),'152-CT'!$J$8=TH!F2660),"x","")</f>
        <v/>
      </c>
      <c r="Z2660" s="39" t="str">
        <f>IF(AND(OR(LEFT(TH!L2660,2)="15",LEFT(TH!M2660,2)="15"),TK!$E$7=TH!F2660),"x","")</f>
        <v/>
      </c>
      <c r="AA2660" s="39" t="str">
        <f>IF(AND(B2660&lt;=NKC!$N$8,B2660&gt;=NKC!$M$8),"x","")</f>
        <v/>
      </c>
      <c r="AB2660" s="821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13"/>
        <v/>
      </c>
      <c r="C2661" s="191"/>
      <c r="D2661" s="191"/>
      <c r="E2661" s="191"/>
      <c r="F2661" s="40"/>
      <c r="G2661" s="40"/>
      <c r="H2661" s="7"/>
      <c r="I2661" s="256"/>
      <c r="J2661" s="256"/>
      <c r="K2661" s="56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902" t="str">
        <f>IF(AND('341-CT'!$E$9=H2661,OR(LEFT(L2661,3)=$O$7,LEFT(M2661,3)=$O$7)),"x","")</f>
        <v/>
      </c>
      <c r="P2661" s="39" t="str">
        <f>IF(AND($B2661&gt;='111'!$N$11,$B2661&lt;='111'!$O$11,OR($L2661=$P$7,$M2661=$P$7)),"x","")</f>
        <v/>
      </c>
      <c r="Q2661" s="39" t="str">
        <f>IF(AND($L2661=$P$7,$B2661&lt;'111'!$N$11),"x","")</f>
        <v/>
      </c>
      <c r="R2661" s="39" t="str">
        <f>IF(AND($M2661=$P$7,$B2661&lt;'111'!$N$11),"x","")</f>
        <v/>
      </c>
      <c r="S2661" s="39" t="str">
        <f>IF(ISERROR(FIND('112'!$M$9,G2661,1)),"",IF((AND(FIND('112'!$M$9,G2661,1)&gt;=1,$B2661&gt;='112'!$N$8,$B2661&lt;='112'!$O$8,OR($L2661='112'!$I$6,$M2661='112'!$I$6))),"x",""))</f>
        <v/>
      </c>
      <c r="T2661" s="39" t="str">
        <f>IF(ISERROR(FIND('112'!$M$9,G2661,1)),"",IF((AND(LEFT(G2661,2)=LEFT('112'!$M$9,2),B2661&lt;'112'!$N$8,$L2661='112'!$I$6)),"x",""))</f>
        <v/>
      </c>
      <c r="U2661" s="39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39" t="str">
        <f>IF(OR(TH!L2661=TH!$W$7,M2661=TH!$W$7),"x","")</f>
        <v/>
      </c>
      <c r="X2661" s="39" t="str">
        <f>IF(AND(B2661&gt;='IN-NX'!$P$3,B2661&lt;='IN-NX'!$Q$3,'IN-NX'!$D$7=D2661,OR(LEFT(L2661,2)="15",AND(LEFT(M2661,2)&lt;&gt;"15",LEFT(M2661,2)&lt;&gt;"33"))),"x","")</f>
        <v/>
      </c>
      <c r="Y2661" s="39" t="str">
        <f>IF(AND(OR(LEFT(TH!L2661,2)="15",LEFT(TH!M2661,2)="15"),'152-CT'!$J$8=TH!F2661),"x","")</f>
        <v/>
      </c>
      <c r="Z2661" s="39" t="str">
        <f>IF(AND(OR(LEFT(TH!L2661,2)="15",LEFT(TH!M2661,2)="15"),TK!$E$7=TH!F2661),"x","")</f>
        <v/>
      </c>
      <c r="AA2661" s="39" t="str">
        <f>IF(AND(B2661&lt;=NKC!$N$8,B2661&gt;=NKC!$M$8),"x","")</f>
        <v/>
      </c>
      <c r="AB2661" s="821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13"/>
        <v/>
      </c>
      <c r="C2662" s="191"/>
      <c r="D2662" s="191"/>
      <c r="E2662" s="191"/>
      <c r="F2662" s="40"/>
      <c r="G2662" s="40"/>
      <c r="H2662" s="7"/>
      <c r="I2662" s="256"/>
      <c r="J2662" s="256"/>
      <c r="K2662" s="56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902" t="str">
        <f>IF(AND('341-CT'!$E$9=H2662,OR(LEFT(L2662,3)=$O$7,LEFT(M2662,3)=$O$7)),"x","")</f>
        <v/>
      </c>
      <c r="P2662" s="39" t="str">
        <f>IF(AND($B2662&gt;='111'!$N$11,$B2662&lt;='111'!$O$11,OR($L2662=$P$7,$M2662=$P$7)),"x","")</f>
        <v/>
      </c>
      <c r="Q2662" s="39" t="str">
        <f>IF(AND($L2662=$P$7,$B2662&lt;'111'!$N$11),"x","")</f>
        <v/>
      </c>
      <c r="R2662" s="39" t="str">
        <f>IF(AND($M2662=$P$7,$B2662&lt;'111'!$N$11),"x","")</f>
        <v/>
      </c>
      <c r="S2662" s="39" t="str">
        <f>IF(ISERROR(FIND('112'!$M$9,G2662,1)),"",IF((AND(FIND('112'!$M$9,G2662,1)&gt;=1,$B2662&gt;='112'!$N$8,$B2662&lt;='112'!$O$8,OR($L2662='112'!$I$6,$M2662='112'!$I$6))),"x",""))</f>
        <v/>
      </c>
      <c r="T2662" s="39" t="str">
        <f>IF(ISERROR(FIND('112'!$M$9,G2662,1)),"",IF((AND(LEFT(G2662,2)=LEFT('112'!$M$9,2),B2662&lt;'112'!$N$8,$L2662='112'!$I$6)),"x",""))</f>
        <v/>
      </c>
      <c r="U2662" s="39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39" t="str">
        <f>IF(OR(TH!L2662=TH!$W$7,M2662=TH!$W$7),"x","")</f>
        <v/>
      </c>
      <c r="X2662" s="39" t="str">
        <f>IF(AND(B2662&gt;='IN-NX'!$P$3,B2662&lt;='IN-NX'!$Q$3,'IN-NX'!$D$7=D2662,OR(LEFT(L2662,2)="15",AND(LEFT(M2662,2)&lt;&gt;"15",LEFT(M2662,2)&lt;&gt;"33"))),"x","")</f>
        <v/>
      </c>
      <c r="Y2662" s="39" t="str">
        <f>IF(AND(OR(LEFT(TH!L2662,2)="15",LEFT(TH!M2662,2)="15"),'152-CT'!$J$8=TH!F2662),"x","")</f>
        <v/>
      </c>
      <c r="Z2662" s="39" t="str">
        <f>IF(AND(OR(LEFT(TH!L2662,2)="15",LEFT(TH!M2662,2)="15"),TK!$E$7=TH!F2662),"x","")</f>
        <v/>
      </c>
      <c r="AA2662" s="39" t="str">
        <f>IF(AND(B2662&lt;=NKC!$N$8,B2662&gt;=NKC!$M$8),"x","")</f>
        <v/>
      </c>
      <c r="AB2662" s="821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13"/>
        <v/>
      </c>
      <c r="C2663" s="191"/>
      <c r="D2663" s="191"/>
      <c r="E2663" s="191"/>
      <c r="F2663" s="40"/>
      <c r="G2663" s="40"/>
      <c r="H2663" s="7"/>
      <c r="I2663" s="256"/>
      <c r="J2663" s="256"/>
      <c r="K2663" s="56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902" t="str">
        <f>IF(AND('341-CT'!$E$9=H2663,OR(LEFT(L2663,3)=$O$7,LEFT(M2663,3)=$O$7)),"x","")</f>
        <v/>
      </c>
      <c r="P2663" s="39" t="str">
        <f>IF(AND($B2663&gt;='111'!$N$11,$B2663&lt;='111'!$O$11,OR($L2663=$P$7,$M2663=$P$7)),"x","")</f>
        <v/>
      </c>
      <c r="Q2663" s="39" t="str">
        <f>IF(AND($L2663=$P$7,$B2663&lt;'111'!$N$11),"x","")</f>
        <v/>
      </c>
      <c r="R2663" s="39" t="str">
        <f>IF(AND($M2663=$P$7,$B2663&lt;'111'!$N$11),"x","")</f>
        <v/>
      </c>
      <c r="S2663" s="39" t="str">
        <f>IF(ISERROR(FIND('112'!$M$9,G2663,1)),"",IF((AND(FIND('112'!$M$9,G2663,1)&gt;=1,$B2663&gt;='112'!$N$8,$B2663&lt;='112'!$O$8,OR($L2663='112'!$I$6,$M2663='112'!$I$6))),"x",""))</f>
        <v/>
      </c>
      <c r="T2663" s="39" t="str">
        <f>IF(ISERROR(FIND('112'!$M$9,G2663,1)),"",IF((AND(LEFT(G2663,2)=LEFT('112'!$M$9,2),B2663&lt;'112'!$N$8,$L2663='112'!$I$6)),"x",""))</f>
        <v/>
      </c>
      <c r="U2663" s="39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39" t="str">
        <f>IF(OR(TH!L2663=TH!$W$7,M2663=TH!$W$7),"x","")</f>
        <v/>
      </c>
      <c r="X2663" s="39" t="str">
        <f>IF(AND(B2663&gt;='IN-NX'!$P$3,B2663&lt;='IN-NX'!$Q$3,'IN-NX'!$D$7=D2663,OR(LEFT(L2663,2)="15",AND(LEFT(M2663,2)&lt;&gt;"15",LEFT(M2663,2)&lt;&gt;"33"))),"x","")</f>
        <v/>
      </c>
      <c r="Y2663" s="39" t="str">
        <f>IF(AND(OR(LEFT(TH!L2663,2)="15",LEFT(TH!M2663,2)="15"),'152-CT'!$J$8=TH!F2663),"x","")</f>
        <v/>
      </c>
      <c r="Z2663" s="39" t="str">
        <f>IF(AND(OR(LEFT(TH!L2663,2)="15",LEFT(TH!M2663,2)="15"),TK!$E$7=TH!F2663),"x","")</f>
        <v/>
      </c>
      <c r="AA2663" s="39" t="str">
        <f>IF(AND(B2663&lt;=NKC!$N$8,B2663&gt;=NKC!$M$8),"x","")</f>
        <v/>
      </c>
      <c r="AB2663" s="821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13"/>
        <v/>
      </c>
      <c r="C2664" s="191"/>
      <c r="D2664" s="191"/>
      <c r="E2664" s="191"/>
      <c r="F2664" s="40"/>
      <c r="G2664" s="40"/>
      <c r="H2664" s="7"/>
      <c r="I2664" s="256"/>
      <c r="J2664" s="256"/>
      <c r="K2664" s="56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902" t="str">
        <f>IF(AND('341-CT'!$E$9=H2664,OR(LEFT(L2664,3)=$O$7,LEFT(M2664,3)=$O$7)),"x","")</f>
        <v/>
      </c>
      <c r="P2664" s="39" t="str">
        <f>IF(AND($B2664&gt;='111'!$N$11,$B2664&lt;='111'!$O$11,OR($L2664=$P$7,$M2664=$P$7)),"x","")</f>
        <v/>
      </c>
      <c r="Q2664" s="39" t="str">
        <f>IF(AND($L2664=$P$7,$B2664&lt;'111'!$N$11),"x","")</f>
        <v/>
      </c>
      <c r="R2664" s="39" t="str">
        <f>IF(AND($M2664=$P$7,$B2664&lt;'111'!$N$11),"x","")</f>
        <v/>
      </c>
      <c r="S2664" s="39" t="str">
        <f>IF(ISERROR(FIND('112'!$M$9,G2664,1)),"",IF((AND(FIND('112'!$M$9,G2664,1)&gt;=1,$B2664&gt;='112'!$N$8,$B2664&lt;='112'!$O$8,OR($L2664='112'!$I$6,$M2664='112'!$I$6))),"x",""))</f>
        <v/>
      </c>
      <c r="T2664" s="39" t="str">
        <f>IF(ISERROR(FIND('112'!$M$9,G2664,1)),"",IF((AND(LEFT(G2664,2)=LEFT('112'!$M$9,2),B2664&lt;'112'!$N$8,$L2664='112'!$I$6)),"x",""))</f>
        <v/>
      </c>
      <c r="U2664" s="39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39" t="str">
        <f>IF(OR(TH!L2664=TH!$W$7,M2664=TH!$W$7),"x","")</f>
        <v/>
      </c>
      <c r="X2664" s="39" t="str">
        <f>IF(AND(B2664&gt;='IN-NX'!$P$3,B2664&lt;='IN-NX'!$Q$3,'IN-NX'!$D$7=D2664,OR(LEFT(L2664,2)="15",AND(LEFT(M2664,2)&lt;&gt;"15",LEFT(M2664,2)&lt;&gt;"33"))),"x","")</f>
        <v/>
      </c>
      <c r="Y2664" s="39" t="str">
        <f>IF(AND(OR(LEFT(TH!L2664,2)="15",LEFT(TH!M2664,2)="15"),'152-CT'!$J$8=TH!F2664),"x","")</f>
        <v/>
      </c>
      <c r="Z2664" s="39" t="str">
        <f>IF(AND(OR(LEFT(TH!L2664,2)="15",LEFT(TH!M2664,2)="15"),TK!$E$7=TH!F2664),"x","")</f>
        <v/>
      </c>
      <c r="AA2664" s="39" t="str">
        <f>IF(AND(B2664&lt;=NKC!$N$8,B2664&gt;=NKC!$M$8),"x","")</f>
        <v/>
      </c>
      <c r="AB2664" s="821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13"/>
        <v/>
      </c>
      <c r="C2665" s="191"/>
      <c r="D2665" s="191"/>
      <c r="E2665" s="191"/>
      <c r="F2665" s="40"/>
      <c r="G2665" s="40"/>
      <c r="H2665" s="7"/>
      <c r="I2665" s="256"/>
      <c r="J2665" s="256"/>
      <c r="K2665" s="56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902" t="str">
        <f>IF(AND('341-CT'!$E$9=H2665,OR(LEFT(L2665,3)=$O$7,LEFT(M2665,3)=$O$7)),"x","")</f>
        <v/>
      </c>
      <c r="P2665" s="39" t="str">
        <f>IF(AND($B2665&gt;='111'!$N$11,$B2665&lt;='111'!$O$11,OR($L2665=$P$7,$M2665=$P$7)),"x","")</f>
        <v/>
      </c>
      <c r="Q2665" s="39" t="str">
        <f>IF(AND($L2665=$P$7,$B2665&lt;'111'!$N$11),"x","")</f>
        <v/>
      </c>
      <c r="R2665" s="39" t="str">
        <f>IF(AND($M2665=$P$7,$B2665&lt;'111'!$N$11),"x","")</f>
        <v/>
      </c>
      <c r="S2665" s="39" t="str">
        <f>IF(ISERROR(FIND('112'!$M$9,G2665,1)),"",IF((AND(FIND('112'!$M$9,G2665,1)&gt;=1,$B2665&gt;='112'!$N$8,$B2665&lt;='112'!$O$8,OR($L2665='112'!$I$6,$M2665='112'!$I$6))),"x",""))</f>
        <v/>
      </c>
      <c r="T2665" s="39" t="str">
        <f>IF(ISERROR(FIND('112'!$M$9,G2665,1)),"",IF((AND(LEFT(G2665,2)=LEFT('112'!$M$9,2),B2665&lt;'112'!$N$8,$L2665='112'!$I$6)),"x",""))</f>
        <v/>
      </c>
      <c r="U2665" s="39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39" t="str">
        <f>IF(OR(TH!L2665=TH!$W$7,M2665=TH!$W$7),"x","")</f>
        <v/>
      </c>
      <c r="X2665" s="39" t="str">
        <f>IF(AND(B2665&gt;='IN-NX'!$P$3,B2665&lt;='IN-NX'!$Q$3,'IN-NX'!$D$7=D2665,OR(LEFT(L2665,2)="15",AND(LEFT(M2665,2)&lt;&gt;"15",LEFT(M2665,2)&lt;&gt;"33"))),"x","")</f>
        <v/>
      </c>
      <c r="Y2665" s="39" t="str">
        <f>IF(AND(OR(LEFT(TH!L2665,2)="15",LEFT(TH!M2665,2)="15"),'152-CT'!$J$8=TH!F2665),"x","")</f>
        <v/>
      </c>
      <c r="Z2665" s="39" t="str">
        <f>IF(AND(OR(LEFT(TH!L2665,2)="15",LEFT(TH!M2665,2)="15"),TK!$E$7=TH!F2665),"x","")</f>
        <v/>
      </c>
      <c r="AA2665" s="39" t="str">
        <f>IF(AND(B2665&lt;=NKC!$N$8,B2665&gt;=NKC!$M$8),"x","")</f>
        <v/>
      </c>
      <c r="AB2665" s="821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13"/>
        <v/>
      </c>
      <c r="C2666" s="191"/>
      <c r="D2666" s="191"/>
      <c r="E2666" s="191"/>
      <c r="F2666" s="40"/>
      <c r="G2666" s="40"/>
      <c r="H2666" s="7"/>
      <c r="I2666" s="256"/>
      <c r="J2666" s="256"/>
      <c r="K2666" s="568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902" t="str">
        <f>IF(AND('341-CT'!$E$9=H2666,OR(LEFT(L2666,3)=$O$7,LEFT(M2666,3)=$O$7)),"x","")</f>
        <v/>
      </c>
      <c r="P2666" s="39" t="str">
        <f>IF(AND($B2666&gt;='111'!$N$11,$B2666&lt;='111'!$O$11,OR($L2666=$P$7,$M2666=$P$7)),"x","")</f>
        <v/>
      </c>
      <c r="Q2666" s="39" t="str">
        <f>IF(AND($L2666=$P$7,$B2666&lt;'111'!$N$11),"x","")</f>
        <v/>
      </c>
      <c r="R2666" s="39" t="str">
        <f>IF(AND($M2666=$P$7,$B2666&lt;'111'!$N$11),"x","")</f>
        <v/>
      </c>
      <c r="S2666" s="39" t="str">
        <f>IF(ISERROR(FIND('112'!$M$9,G2666,1)),"",IF((AND(FIND('112'!$M$9,G2666,1)&gt;=1,$B2666&gt;='112'!$N$8,$B2666&lt;='112'!$O$8,OR($L2666='112'!$I$6,$M2666='112'!$I$6))),"x",""))</f>
        <v/>
      </c>
      <c r="T2666" s="39" t="str">
        <f>IF(ISERROR(FIND('112'!$M$9,G2666,1)),"",IF((AND(LEFT(G2666,2)=LEFT('112'!$M$9,2),B2666&lt;'112'!$N$8,$L2666='112'!$I$6)),"x",""))</f>
        <v/>
      </c>
      <c r="U2666" s="39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39" t="str">
        <f>IF(OR(TH!L2666=TH!$W$7,M2666=TH!$W$7),"x","")</f>
        <v/>
      </c>
      <c r="X2666" s="39" t="str">
        <f>IF(AND(B2666&gt;='IN-NX'!$P$3,B2666&lt;='IN-NX'!$Q$3,'IN-NX'!$D$7=D2666,OR(LEFT(L2666,2)="15",AND(LEFT(M2666,2)&lt;&gt;"15",LEFT(M2666,2)&lt;&gt;"33"))),"x","")</f>
        <v/>
      </c>
      <c r="Y2666" s="39" t="str">
        <f>IF(AND(OR(LEFT(TH!L2666,2)="15",LEFT(TH!M2666,2)="15"),'152-CT'!$J$8=TH!F2666),"x","")</f>
        <v/>
      </c>
      <c r="Z2666" s="39" t="str">
        <f>IF(AND(OR(LEFT(TH!L2666,2)="15",LEFT(TH!M2666,2)="15"),TK!$E$7=TH!F2666),"x","")</f>
        <v/>
      </c>
      <c r="AA2666" s="39" t="str">
        <f>IF(AND(B2666&lt;=NKC!$N$8,B2666&gt;=NKC!$M$8),"x","")</f>
        <v/>
      </c>
      <c r="AB2666" s="821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13"/>
        <v/>
      </c>
      <c r="C2667" s="191"/>
      <c r="D2667" s="191"/>
      <c r="E2667" s="191"/>
      <c r="F2667" s="40"/>
      <c r="G2667" s="40"/>
      <c r="H2667" s="7"/>
      <c r="I2667" s="256"/>
      <c r="J2667" s="256"/>
      <c r="K2667" s="568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902" t="str">
        <f>IF(AND('341-CT'!$E$9=H2667,OR(LEFT(L2667,3)=$O$7,LEFT(M2667,3)=$O$7)),"x","")</f>
        <v/>
      </c>
      <c r="P2667" s="39" t="str">
        <f>IF(AND($B2667&gt;='111'!$N$11,$B2667&lt;='111'!$O$11,OR($L2667=$P$7,$M2667=$P$7)),"x","")</f>
        <v/>
      </c>
      <c r="Q2667" s="39" t="str">
        <f>IF(AND($L2667=$P$7,$B2667&lt;'111'!$N$11),"x","")</f>
        <v/>
      </c>
      <c r="R2667" s="39" t="str">
        <f>IF(AND($M2667=$P$7,$B2667&lt;'111'!$N$11),"x","")</f>
        <v/>
      </c>
      <c r="S2667" s="39" t="str">
        <f>IF(ISERROR(FIND('112'!$M$9,G2667,1)),"",IF((AND(FIND('112'!$M$9,G2667,1)&gt;=1,$B2667&gt;='112'!$N$8,$B2667&lt;='112'!$O$8,OR($L2667='112'!$I$6,$M2667='112'!$I$6))),"x",""))</f>
        <v/>
      </c>
      <c r="T2667" s="39" t="str">
        <f>IF(ISERROR(FIND('112'!$M$9,G2667,1)),"",IF((AND(LEFT(G2667,2)=LEFT('112'!$M$9,2),B2667&lt;'112'!$N$8,$L2667='112'!$I$6)),"x",""))</f>
        <v/>
      </c>
      <c r="U2667" s="39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39" t="str">
        <f>IF(OR(TH!L2667=TH!$W$7,M2667=TH!$W$7),"x","")</f>
        <v/>
      </c>
      <c r="X2667" s="39" t="str">
        <f>IF(AND(B2667&gt;='IN-NX'!$P$3,B2667&lt;='IN-NX'!$Q$3,'IN-NX'!$D$7=D2667,OR(LEFT(L2667,2)="15",AND(LEFT(M2667,2)&lt;&gt;"15",LEFT(M2667,2)&lt;&gt;"33"))),"x","")</f>
        <v/>
      </c>
      <c r="Y2667" s="39" t="str">
        <f>IF(AND(OR(LEFT(TH!L2667,2)="15",LEFT(TH!M2667,2)="15"),'152-CT'!$J$8=TH!F2667),"x","")</f>
        <v/>
      </c>
      <c r="Z2667" s="39" t="str">
        <f>IF(AND(OR(LEFT(TH!L2667,2)="15",LEFT(TH!M2667,2)="15"),TK!$E$7=TH!F2667),"x","")</f>
        <v/>
      </c>
      <c r="AA2667" s="39" t="str">
        <f>IF(AND(B2667&lt;=NKC!$N$8,B2667&gt;=NKC!$M$8),"x","")</f>
        <v/>
      </c>
      <c r="AB2667" s="821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13"/>
        <v/>
      </c>
      <c r="C2668" s="191"/>
      <c r="D2668" s="191"/>
      <c r="E2668" s="191"/>
      <c r="F2668" s="192"/>
      <c r="G2668" s="468"/>
      <c r="H2668" s="193"/>
      <c r="I2668" s="256"/>
      <c r="J2668" s="256"/>
      <c r="K2668" s="56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902" t="str">
        <f>IF(AND('341-CT'!$E$9=H2668,OR(LEFT(L2668,3)=$O$7,LEFT(M2668,3)=$O$7)),"x","")</f>
        <v/>
      </c>
      <c r="P2668" s="39" t="str">
        <f>IF(AND($B2668&gt;='111'!$N$11,$B2668&lt;='111'!$O$11,OR($L2668=$P$7,$M2668=$P$7)),"x","")</f>
        <v/>
      </c>
      <c r="Q2668" s="39" t="str">
        <f>IF(AND($L2668=$P$7,$B2668&lt;'111'!$N$11),"x","")</f>
        <v/>
      </c>
      <c r="R2668" s="39" t="str">
        <f>IF(AND($M2668=$P$7,$B2668&lt;'111'!$N$11),"x","")</f>
        <v/>
      </c>
      <c r="S2668" s="39" t="str">
        <f>IF(ISERROR(FIND('112'!$M$9,G2668,1)),"",IF((AND(FIND('112'!$M$9,G2668,1)&gt;=1,$B2668&gt;='112'!$N$8,$B2668&lt;='112'!$O$8,OR($L2668='112'!$I$6,$M2668='112'!$I$6))),"x",""))</f>
        <v/>
      </c>
      <c r="T2668" s="39" t="str">
        <f>IF(ISERROR(FIND('112'!$M$9,G2668,1)),"",IF((AND(LEFT(G2668,2)=LEFT('112'!$M$9,2),B2668&lt;'112'!$N$8,$L2668='112'!$I$6)),"x",""))</f>
        <v/>
      </c>
      <c r="U2668" s="39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39" t="str">
        <f>IF(OR(TH!L2668=TH!$W$7,M2668=TH!$W$7),"x","")</f>
        <v/>
      </c>
      <c r="X2668" s="39" t="str">
        <f>IF(AND(B2668&gt;='IN-NX'!$P$3,B2668&lt;='IN-NX'!$Q$3,'IN-NX'!$D$7=D2668,OR(LEFT(L2668,2)="15",AND(LEFT(M2668,2)&lt;&gt;"15",LEFT(M2668,2)&lt;&gt;"33"))),"x","")</f>
        <v/>
      </c>
      <c r="Y2668" s="39" t="str">
        <f>IF(AND(OR(LEFT(TH!L2668,2)="15",LEFT(TH!M2668,2)="15"),'152-CT'!$J$8=TH!F2668),"x","")</f>
        <v/>
      </c>
      <c r="Z2668" s="39" t="str">
        <f>IF(AND(OR(LEFT(TH!L2668,2)="15",LEFT(TH!M2668,2)="15"),TK!$E$7=TH!F2668),"x","")</f>
        <v/>
      </c>
      <c r="AA2668" s="39" t="str">
        <f>IF(AND(B2668&lt;=NKC!$N$8,B2668&gt;=NKC!$M$8),"x","")</f>
        <v/>
      </c>
      <c r="AB2668" s="821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13"/>
        <v/>
      </c>
      <c r="C2669" s="191"/>
      <c r="D2669" s="191"/>
      <c r="E2669" s="191"/>
      <c r="F2669" s="192"/>
      <c r="G2669" s="468"/>
      <c r="H2669" s="193"/>
      <c r="I2669" s="256"/>
      <c r="J2669" s="256"/>
      <c r="K2669" s="56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902" t="str">
        <f>IF(AND('341-CT'!$E$9=H2669,OR(LEFT(L2669,3)=$O$7,LEFT(M2669,3)=$O$7)),"x","")</f>
        <v/>
      </c>
      <c r="P2669" s="39" t="str">
        <f>IF(AND($B2669&gt;='111'!$N$11,$B2669&lt;='111'!$O$11,OR($L2669=$P$7,$M2669=$P$7)),"x","")</f>
        <v/>
      </c>
      <c r="Q2669" s="39" t="str">
        <f>IF(AND($L2669=$P$7,$B2669&lt;'111'!$N$11),"x","")</f>
        <v/>
      </c>
      <c r="R2669" s="39" t="str">
        <f>IF(AND($M2669=$P$7,$B2669&lt;'111'!$N$11),"x","")</f>
        <v/>
      </c>
      <c r="S2669" s="39" t="str">
        <f>IF(ISERROR(FIND('112'!$M$9,G2669,1)),"",IF((AND(FIND('112'!$M$9,G2669,1)&gt;=1,$B2669&gt;='112'!$N$8,$B2669&lt;='112'!$O$8,OR($L2669='112'!$I$6,$M2669='112'!$I$6))),"x",""))</f>
        <v/>
      </c>
      <c r="T2669" s="39" t="str">
        <f>IF(ISERROR(FIND('112'!$M$9,G2669,1)),"",IF((AND(LEFT(G2669,2)=LEFT('112'!$M$9,2),B2669&lt;'112'!$N$8,$L2669='112'!$I$6)),"x",""))</f>
        <v/>
      </c>
      <c r="U2669" s="39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39" t="str">
        <f>IF(OR(TH!L2669=TH!$W$7,M2669=TH!$W$7),"x","")</f>
        <v/>
      </c>
      <c r="X2669" s="39" t="str">
        <f>IF(AND(B2669&gt;='IN-NX'!$P$3,B2669&lt;='IN-NX'!$Q$3,'IN-NX'!$D$7=D2669,OR(LEFT(L2669,2)="15",AND(LEFT(M2669,2)&lt;&gt;"15",LEFT(M2669,2)&lt;&gt;"33"))),"x","")</f>
        <v/>
      </c>
      <c r="Y2669" s="39" t="str">
        <f>IF(AND(OR(LEFT(TH!L2669,2)="15",LEFT(TH!M2669,2)="15"),'152-CT'!$J$8=TH!F2669),"x","")</f>
        <v/>
      </c>
      <c r="Z2669" s="39" t="str">
        <f>IF(AND(OR(LEFT(TH!L2669,2)="15",LEFT(TH!M2669,2)="15"),TK!$E$7=TH!F2669),"x","")</f>
        <v/>
      </c>
      <c r="AA2669" s="39" t="str">
        <f>IF(AND(B2669&lt;=NKC!$N$8,B2669&gt;=NKC!$M$8),"x","")</f>
        <v/>
      </c>
      <c r="AB2669" s="821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13"/>
        <v/>
      </c>
      <c r="C2670" s="191"/>
      <c r="D2670" s="191"/>
      <c r="E2670" s="191"/>
      <c r="F2670" s="192"/>
      <c r="G2670" s="468"/>
      <c r="H2670" s="193"/>
      <c r="I2670" s="256"/>
      <c r="J2670" s="256"/>
      <c r="K2670" s="568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902" t="str">
        <f>IF(AND('341-CT'!$E$9=H2670,OR(LEFT(L2670,3)=$O$7,LEFT(M2670,3)=$O$7)),"x","")</f>
        <v/>
      </c>
      <c r="P2670" s="39" t="str">
        <f>IF(AND($B2670&gt;='111'!$N$11,$B2670&lt;='111'!$O$11,OR($L2670=$P$7,$M2670=$P$7)),"x","")</f>
        <v/>
      </c>
      <c r="Q2670" s="39" t="str">
        <f>IF(AND($L2670=$P$7,$B2670&lt;'111'!$N$11),"x","")</f>
        <v/>
      </c>
      <c r="R2670" s="39" t="str">
        <f>IF(AND($M2670=$P$7,$B2670&lt;'111'!$N$11),"x","")</f>
        <v/>
      </c>
      <c r="S2670" s="39" t="str">
        <f>IF(ISERROR(FIND('112'!$M$9,G2670,1)),"",IF((AND(FIND('112'!$M$9,G2670,1)&gt;=1,$B2670&gt;='112'!$N$8,$B2670&lt;='112'!$O$8,OR($L2670='112'!$I$6,$M2670='112'!$I$6))),"x",""))</f>
        <v/>
      </c>
      <c r="T2670" s="39" t="str">
        <f>IF(ISERROR(FIND('112'!$M$9,G2670,1)),"",IF((AND(LEFT(G2670,2)=LEFT('112'!$M$9,2),B2670&lt;'112'!$N$8,$L2670='112'!$I$6)),"x",""))</f>
        <v/>
      </c>
      <c r="U2670" s="39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39" t="str">
        <f>IF(OR(TH!L2670=TH!$W$7,M2670=TH!$W$7),"x","")</f>
        <v/>
      </c>
      <c r="X2670" s="39" t="str">
        <f>IF(AND(B2670&gt;='IN-NX'!$P$3,B2670&lt;='IN-NX'!$Q$3,'IN-NX'!$D$7=D2670,OR(LEFT(L2670,2)="15",AND(LEFT(M2670,2)&lt;&gt;"15",LEFT(M2670,2)&lt;&gt;"33"))),"x","")</f>
        <v/>
      </c>
      <c r="Y2670" s="39" t="str">
        <f>IF(AND(OR(LEFT(TH!L2670,2)="15",LEFT(TH!M2670,2)="15"),'152-CT'!$J$8=TH!F2670),"x","")</f>
        <v/>
      </c>
      <c r="Z2670" s="39" t="str">
        <f>IF(AND(OR(LEFT(TH!L2670,2)="15",LEFT(TH!M2670,2)="15"),TK!$E$7=TH!F2670),"x","")</f>
        <v/>
      </c>
      <c r="AA2670" s="39" t="str">
        <f>IF(AND(B2670&lt;=NKC!$N$8,B2670&gt;=NKC!$M$8),"x","")</f>
        <v/>
      </c>
      <c r="AB2670" s="821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13"/>
        <v/>
      </c>
      <c r="C2671" s="191"/>
      <c r="D2671" s="191"/>
      <c r="E2671" s="191"/>
      <c r="F2671" s="192"/>
      <c r="G2671" s="468"/>
      <c r="H2671" s="193"/>
      <c r="I2671" s="256"/>
      <c r="J2671" s="256"/>
      <c r="K2671" s="568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902" t="str">
        <f>IF(AND('341-CT'!$E$9=H2671,OR(LEFT(L2671,3)=$O$7,LEFT(M2671,3)=$O$7)),"x","")</f>
        <v/>
      </c>
      <c r="P2671" s="39" t="str">
        <f>IF(AND($B2671&gt;='111'!$N$11,$B2671&lt;='111'!$O$11,OR($L2671=$P$7,$M2671=$P$7)),"x","")</f>
        <v/>
      </c>
      <c r="Q2671" s="39" t="str">
        <f>IF(AND($L2671=$P$7,$B2671&lt;'111'!$N$11),"x","")</f>
        <v/>
      </c>
      <c r="R2671" s="39" t="str">
        <f>IF(AND($M2671=$P$7,$B2671&lt;'111'!$N$11),"x","")</f>
        <v/>
      </c>
      <c r="S2671" s="39" t="str">
        <f>IF(ISERROR(FIND('112'!$M$9,G2671,1)),"",IF((AND(FIND('112'!$M$9,G2671,1)&gt;=1,$B2671&gt;='112'!$N$8,$B2671&lt;='112'!$O$8,OR($L2671='112'!$I$6,$M2671='112'!$I$6))),"x",""))</f>
        <v/>
      </c>
      <c r="T2671" s="39" t="str">
        <f>IF(ISERROR(FIND('112'!$M$9,G2671,1)),"",IF((AND(LEFT(G2671,2)=LEFT('112'!$M$9,2),B2671&lt;'112'!$N$8,$L2671='112'!$I$6)),"x",""))</f>
        <v/>
      </c>
      <c r="U2671" s="39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39" t="str">
        <f>IF(OR(TH!L2671=TH!$W$7,M2671=TH!$W$7),"x","")</f>
        <v/>
      </c>
      <c r="X2671" s="39" t="str">
        <f>IF(AND(B2671&gt;='IN-NX'!$P$3,B2671&lt;='IN-NX'!$Q$3,'IN-NX'!$D$7=D2671,OR(LEFT(L2671,2)="15",AND(LEFT(M2671,2)&lt;&gt;"15",LEFT(M2671,2)&lt;&gt;"33"))),"x","")</f>
        <v/>
      </c>
      <c r="Y2671" s="39" t="str">
        <f>IF(AND(OR(LEFT(TH!L2671,2)="15",LEFT(TH!M2671,2)="15"),'152-CT'!$J$8=TH!F2671),"x","")</f>
        <v/>
      </c>
      <c r="Z2671" s="39" t="str">
        <f>IF(AND(OR(LEFT(TH!L2671,2)="15",LEFT(TH!M2671,2)="15"),TK!$E$7=TH!F2671),"x","")</f>
        <v/>
      </c>
      <c r="AA2671" s="39" t="str">
        <f>IF(AND(B2671&lt;=NKC!$N$8,B2671&gt;=NKC!$M$8),"x","")</f>
        <v/>
      </c>
      <c r="AB2671" s="821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13"/>
        <v/>
      </c>
      <c r="C2672" s="191"/>
      <c r="D2672" s="191"/>
      <c r="E2672" s="191"/>
      <c r="F2672" s="192"/>
      <c r="G2672" s="468"/>
      <c r="H2672" s="193"/>
      <c r="I2672" s="256"/>
      <c r="J2672" s="256"/>
      <c r="K2672" s="568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902" t="str">
        <f>IF(AND('341-CT'!$E$9=H2672,OR(LEFT(L2672,3)=$O$7,LEFT(M2672,3)=$O$7)),"x","")</f>
        <v/>
      </c>
      <c r="P2672" s="39" t="str">
        <f>IF(AND($B2672&gt;='111'!$N$11,$B2672&lt;='111'!$O$11,OR($L2672=$P$7,$M2672=$P$7)),"x","")</f>
        <v/>
      </c>
      <c r="Q2672" s="39" t="str">
        <f>IF(AND($L2672=$P$7,$B2672&lt;'111'!$N$11),"x","")</f>
        <v/>
      </c>
      <c r="R2672" s="39" t="str">
        <f>IF(AND($M2672=$P$7,$B2672&lt;'111'!$N$11),"x","")</f>
        <v/>
      </c>
      <c r="S2672" s="39" t="str">
        <f>IF(ISERROR(FIND('112'!$M$9,G2672,1)),"",IF((AND(FIND('112'!$M$9,G2672,1)&gt;=1,$B2672&gt;='112'!$N$8,$B2672&lt;='112'!$O$8,OR($L2672='112'!$I$6,$M2672='112'!$I$6))),"x",""))</f>
        <v/>
      </c>
      <c r="T2672" s="39" t="str">
        <f>IF(ISERROR(FIND('112'!$M$9,G2672,1)),"",IF((AND(LEFT(G2672,2)=LEFT('112'!$M$9,2),B2672&lt;'112'!$N$8,$L2672='112'!$I$6)),"x",""))</f>
        <v/>
      </c>
      <c r="U2672" s="39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39" t="str">
        <f>IF(OR(TH!L2672=TH!$W$7,M2672=TH!$W$7),"x","")</f>
        <v/>
      </c>
      <c r="X2672" s="39" t="str">
        <f>IF(AND(B2672&gt;='IN-NX'!$P$3,B2672&lt;='IN-NX'!$Q$3,'IN-NX'!$D$7=D2672,OR(LEFT(L2672,2)="15",AND(LEFT(M2672,2)&lt;&gt;"15",LEFT(M2672,2)&lt;&gt;"33"))),"x","")</f>
        <v/>
      </c>
      <c r="Y2672" s="39" t="str">
        <f>IF(AND(OR(LEFT(TH!L2672,2)="15",LEFT(TH!M2672,2)="15"),'152-CT'!$J$8=TH!F2672),"x","")</f>
        <v/>
      </c>
      <c r="Z2672" s="39" t="str">
        <f>IF(AND(OR(LEFT(TH!L2672,2)="15",LEFT(TH!M2672,2)="15"),TK!$E$7=TH!F2672),"x","")</f>
        <v/>
      </c>
      <c r="AA2672" s="39" t="str">
        <f>IF(AND(B2672&lt;=NKC!$N$8,B2672&gt;=NKC!$M$8),"x","")</f>
        <v/>
      </c>
      <c r="AB2672" s="821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13"/>
        <v/>
      </c>
      <c r="C2673" s="191"/>
      <c r="D2673" s="191"/>
      <c r="E2673" s="191"/>
      <c r="F2673" s="192"/>
      <c r="G2673" s="468"/>
      <c r="H2673" s="193"/>
      <c r="I2673" s="256"/>
      <c r="J2673" s="256"/>
      <c r="K2673" s="568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902" t="str">
        <f>IF(AND('341-CT'!$E$9=H2673,OR(LEFT(L2673,3)=$O$7,LEFT(M2673,3)=$O$7)),"x","")</f>
        <v/>
      </c>
      <c r="P2673" s="39" t="str">
        <f>IF(AND($B2673&gt;='111'!$N$11,$B2673&lt;='111'!$O$11,OR($L2673=$P$7,$M2673=$P$7)),"x","")</f>
        <v/>
      </c>
      <c r="Q2673" s="39" t="str">
        <f>IF(AND($L2673=$P$7,$B2673&lt;'111'!$N$11),"x","")</f>
        <v/>
      </c>
      <c r="R2673" s="39" t="str">
        <f>IF(AND($M2673=$P$7,$B2673&lt;'111'!$N$11),"x","")</f>
        <v/>
      </c>
      <c r="S2673" s="39" t="str">
        <f>IF(ISERROR(FIND('112'!$M$9,G2673,1)),"",IF((AND(FIND('112'!$M$9,G2673,1)&gt;=1,$B2673&gt;='112'!$N$8,$B2673&lt;='112'!$O$8,OR($L2673='112'!$I$6,$M2673='112'!$I$6))),"x",""))</f>
        <v/>
      </c>
      <c r="T2673" s="39" t="str">
        <f>IF(ISERROR(FIND('112'!$M$9,G2673,1)),"",IF((AND(LEFT(G2673,2)=LEFT('112'!$M$9,2),B2673&lt;'112'!$N$8,$L2673='112'!$I$6)),"x",""))</f>
        <v/>
      </c>
      <c r="U2673" s="39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39" t="str">
        <f>IF(OR(TH!L2673=TH!$W$7,M2673=TH!$W$7),"x","")</f>
        <v/>
      </c>
      <c r="X2673" s="39" t="str">
        <f>IF(AND(B2673&gt;='IN-NX'!$P$3,B2673&lt;='IN-NX'!$Q$3,'IN-NX'!$D$7=D2673,OR(LEFT(L2673,2)="15",AND(LEFT(M2673,2)&lt;&gt;"15",LEFT(M2673,2)&lt;&gt;"33"))),"x","")</f>
        <v/>
      </c>
      <c r="Y2673" s="39" t="str">
        <f>IF(AND(OR(LEFT(TH!L2673,2)="15",LEFT(TH!M2673,2)="15"),'152-CT'!$J$8=TH!F2673),"x","")</f>
        <v/>
      </c>
      <c r="Z2673" s="39" t="str">
        <f>IF(AND(OR(LEFT(TH!L2673,2)="15",LEFT(TH!M2673,2)="15"),TK!$E$7=TH!F2673),"x","")</f>
        <v/>
      </c>
      <c r="AA2673" s="39" t="str">
        <f>IF(AND(B2673&lt;=NKC!$N$8,B2673&gt;=NKC!$M$8),"x","")</f>
        <v/>
      </c>
      <c r="AB2673" s="821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13"/>
        <v/>
      </c>
      <c r="C2674" s="191"/>
      <c r="D2674" s="191"/>
      <c r="E2674" s="191"/>
      <c r="F2674" s="192"/>
      <c r="G2674" s="468"/>
      <c r="H2674" s="193"/>
      <c r="I2674" s="256"/>
      <c r="J2674" s="256"/>
      <c r="K2674" s="568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902" t="str">
        <f>IF(AND('341-CT'!$E$9=H2674,OR(LEFT(L2674,3)=$O$7,LEFT(M2674,3)=$O$7)),"x","")</f>
        <v/>
      </c>
      <c r="P2674" s="39" t="str">
        <f>IF(AND($B2674&gt;='111'!$N$11,$B2674&lt;='111'!$O$11,OR($L2674=$P$7,$M2674=$P$7)),"x","")</f>
        <v/>
      </c>
      <c r="Q2674" s="39" t="str">
        <f>IF(AND($L2674=$P$7,$B2674&lt;'111'!$N$11),"x","")</f>
        <v/>
      </c>
      <c r="R2674" s="39" t="str">
        <f>IF(AND($M2674=$P$7,$B2674&lt;'111'!$N$11),"x","")</f>
        <v/>
      </c>
      <c r="S2674" s="39" t="str">
        <f>IF(ISERROR(FIND('112'!$M$9,G2674,1)),"",IF((AND(FIND('112'!$M$9,G2674,1)&gt;=1,$B2674&gt;='112'!$N$8,$B2674&lt;='112'!$O$8,OR($L2674='112'!$I$6,$M2674='112'!$I$6))),"x",""))</f>
        <v/>
      </c>
      <c r="T2674" s="39" t="str">
        <f>IF(ISERROR(FIND('112'!$M$9,G2674,1)),"",IF((AND(LEFT(G2674,2)=LEFT('112'!$M$9,2),B2674&lt;'112'!$N$8,$L2674='112'!$I$6)),"x",""))</f>
        <v/>
      </c>
      <c r="U2674" s="39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39" t="str">
        <f>IF(OR(TH!L2674=TH!$W$7,M2674=TH!$W$7),"x","")</f>
        <v/>
      </c>
      <c r="X2674" s="39" t="str">
        <f>IF(AND(B2674&gt;='IN-NX'!$P$3,B2674&lt;='IN-NX'!$Q$3,'IN-NX'!$D$7=D2674,OR(LEFT(L2674,2)="15",AND(LEFT(M2674,2)&lt;&gt;"15",LEFT(M2674,2)&lt;&gt;"33"))),"x","")</f>
        <v/>
      </c>
      <c r="Y2674" s="39" t="str">
        <f>IF(AND(OR(LEFT(TH!L2674,2)="15",LEFT(TH!M2674,2)="15"),'152-CT'!$J$8=TH!F2674),"x","")</f>
        <v/>
      </c>
      <c r="Z2674" s="39" t="str">
        <f>IF(AND(OR(LEFT(TH!L2674,2)="15",LEFT(TH!M2674,2)="15"),TK!$E$7=TH!F2674),"x","")</f>
        <v/>
      </c>
      <c r="AA2674" s="39" t="str">
        <f>IF(AND(B2674&lt;=NKC!$N$8,B2674&gt;=NKC!$M$8),"x","")</f>
        <v/>
      </c>
      <c r="AB2674" s="821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13"/>
        <v/>
      </c>
      <c r="C2675" s="191"/>
      <c r="D2675" s="191"/>
      <c r="E2675" s="191"/>
      <c r="F2675" s="192"/>
      <c r="G2675" s="468"/>
      <c r="H2675" s="193"/>
      <c r="I2675" s="256"/>
      <c r="J2675" s="256"/>
      <c r="K2675" s="568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902" t="str">
        <f>IF(AND('341-CT'!$E$9=H2675,OR(LEFT(L2675,3)=$O$7,LEFT(M2675,3)=$O$7)),"x","")</f>
        <v/>
      </c>
      <c r="P2675" s="39" t="str">
        <f>IF(AND($B2675&gt;='111'!$N$11,$B2675&lt;='111'!$O$11,OR($L2675=$P$7,$M2675=$P$7)),"x","")</f>
        <v/>
      </c>
      <c r="Q2675" s="39" t="str">
        <f>IF(AND($L2675=$P$7,$B2675&lt;'111'!$N$11),"x","")</f>
        <v/>
      </c>
      <c r="R2675" s="39" t="str">
        <f>IF(AND($M2675=$P$7,$B2675&lt;'111'!$N$11),"x","")</f>
        <v/>
      </c>
      <c r="S2675" s="39" t="str">
        <f>IF(ISERROR(FIND('112'!$M$9,G2675,1)),"",IF((AND(FIND('112'!$M$9,G2675,1)&gt;=1,$B2675&gt;='112'!$N$8,$B2675&lt;='112'!$O$8,OR($L2675='112'!$I$6,$M2675='112'!$I$6))),"x",""))</f>
        <v/>
      </c>
      <c r="T2675" s="39" t="str">
        <f>IF(ISERROR(FIND('112'!$M$9,G2675,1)),"",IF((AND(LEFT(G2675,2)=LEFT('112'!$M$9,2),B2675&lt;'112'!$N$8,$L2675='112'!$I$6)),"x",""))</f>
        <v/>
      </c>
      <c r="U2675" s="39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39" t="str">
        <f>IF(OR(TH!L2675=TH!$W$7,M2675=TH!$W$7),"x","")</f>
        <v/>
      </c>
      <c r="X2675" s="39" t="str">
        <f>IF(AND(B2675&gt;='IN-NX'!$P$3,B2675&lt;='IN-NX'!$Q$3,'IN-NX'!$D$7=D2675,OR(LEFT(L2675,2)="15",AND(LEFT(M2675,2)&lt;&gt;"15",LEFT(M2675,2)&lt;&gt;"33"))),"x","")</f>
        <v/>
      </c>
      <c r="Y2675" s="39" t="str">
        <f>IF(AND(OR(LEFT(TH!L2675,2)="15",LEFT(TH!M2675,2)="15"),'152-CT'!$J$8=TH!F2675),"x","")</f>
        <v/>
      </c>
      <c r="Z2675" s="39" t="str">
        <f>IF(AND(OR(LEFT(TH!L2675,2)="15",LEFT(TH!M2675,2)="15"),TK!$E$7=TH!F2675),"x","")</f>
        <v/>
      </c>
      <c r="AA2675" s="39" t="str">
        <f>IF(AND(B2675&lt;=NKC!$N$8,B2675&gt;=NKC!$M$8),"x","")</f>
        <v/>
      </c>
      <c r="AB2675" s="821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13"/>
        <v/>
      </c>
      <c r="C2676" s="191"/>
      <c r="D2676" s="191"/>
      <c r="E2676" s="191"/>
      <c r="F2676" s="192"/>
      <c r="G2676" s="468"/>
      <c r="H2676" s="193"/>
      <c r="I2676" s="256"/>
      <c r="J2676" s="256"/>
      <c r="K2676" s="568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902" t="str">
        <f>IF(AND('341-CT'!$E$9=H2676,OR(LEFT(L2676,3)=$O$7,LEFT(M2676,3)=$O$7)),"x","")</f>
        <v/>
      </c>
      <c r="P2676" s="39" t="str">
        <f>IF(AND($B2676&gt;='111'!$N$11,$B2676&lt;='111'!$O$11,OR($L2676=$P$7,$M2676=$P$7)),"x","")</f>
        <v/>
      </c>
      <c r="Q2676" s="39" t="str">
        <f>IF(AND($L2676=$P$7,$B2676&lt;'111'!$N$11),"x","")</f>
        <v/>
      </c>
      <c r="R2676" s="39" t="str">
        <f>IF(AND($M2676=$P$7,$B2676&lt;'111'!$N$11),"x","")</f>
        <v/>
      </c>
      <c r="S2676" s="39" t="str">
        <f>IF(ISERROR(FIND('112'!$M$9,G2676,1)),"",IF((AND(FIND('112'!$M$9,G2676,1)&gt;=1,$B2676&gt;='112'!$N$8,$B2676&lt;='112'!$O$8,OR($L2676='112'!$I$6,$M2676='112'!$I$6))),"x",""))</f>
        <v/>
      </c>
      <c r="T2676" s="39" t="str">
        <f>IF(ISERROR(FIND('112'!$M$9,G2676,1)),"",IF((AND(LEFT(G2676,2)=LEFT('112'!$M$9,2),B2676&lt;'112'!$N$8,$L2676='112'!$I$6)),"x",""))</f>
        <v/>
      </c>
      <c r="U2676" s="39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39" t="str">
        <f>IF(OR(TH!L2676=TH!$W$7,M2676=TH!$W$7),"x","")</f>
        <v/>
      </c>
      <c r="X2676" s="39" t="str">
        <f>IF(AND(B2676&gt;='IN-NX'!$P$3,B2676&lt;='IN-NX'!$Q$3,'IN-NX'!$D$7=D2676,OR(LEFT(L2676,2)="15",AND(LEFT(M2676,2)&lt;&gt;"15",LEFT(M2676,2)&lt;&gt;"33"))),"x","")</f>
        <v/>
      </c>
      <c r="Y2676" s="39" t="str">
        <f>IF(AND(OR(LEFT(TH!L2676,2)="15",LEFT(TH!M2676,2)="15"),'152-CT'!$J$8=TH!F2676),"x","")</f>
        <v/>
      </c>
      <c r="Z2676" s="39" t="str">
        <f>IF(AND(OR(LEFT(TH!L2676,2)="15",LEFT(TH!M2676,2)="15"),TK!$E$7=TH!F2676),"x","")</f>
        <v/>
      </c>
      <c r="AA2676" s="39" t="str">
        <f>IF(AND(B2676&lt;=NKC!$N$8,B2676&gt;=NKC!$M$8),"x","")</f>
        <v/>
      </c>
      <c r="AB2676" s="821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13"/>
        <v/>
      </c>
      <c r="C2677" s="191"/>
      <c r="D2677" s="191"/>
      <c r="E2677" s="191"/>
      <c r="F2677" s="192"/>
      <c r="G2677" s="468"/>
      <c r="H2677" s="193"/>
      <c r="I2677" s="256"/>
      <c r="J2677" s="256"/>
      <c r="K2677" s="568"/>
      <c r="L2677" s="194"/>
      <c r="M2677" s="194"/>
      <c r="N2677" s="39" t="str">
        <f>IF(AND('331-CT'!$E$7=TH!H2677,OR(L2677="331",M2677="331")),"331",IF(AND(OR(L2677="131",M2677="131"),H2677='131-CT'!$E$7),"131",""))</f>
        <v/>
      </c>
      <c r="O2677" s="902" t="str">
        <f>IF(AND('341-CT'!$E$9=H2677,OR(LEFT(L2677,3)=$O$7,LEFT(M2677,3)=$O$7)),"x","")</f>
        <v/>
      </c>
      <c r="P2677" s="39" t="str">
        <f>IF(AND($B2677&gt;='111'!$N$11,$B2677&lt;='111'!$O$11,OR($L2677=$P$7,$M2677=$P$7)),"x","")</f>
        <v/>
      </c>
      <c r="Q2677" s="39" t="str">
        <f>IF(AND($L2677=$P$7,$B2677&lt;'111'!$N$11),"x","")</f>
        <v/>
      </c>
      <c r="R2677" s="39" t="str">
        <f>IF(AND($M2677=$P$7,$B2677&lt;'111'!$N$11),"x","")</f>
        <v/>
      </c>
      <c r="S2677" s="39" t="str">
        <f>IF(ISERROR(FIND('112'!$M$9,G2677,1)),"",IF((AND(FIND('112'!$M$9,G2677,1)&gt;=1,$B2677&gt;='112'!$N$8,$B2677&lt;='112'!$O$8,OR($L2677='112'!$I$6,$M2677='112'!$I$6))),"x",""))</f>
        <v/>
      </c>
      <c r="T2677" s="39" t="str">
        <f>IF(ISERROR(FIND('112'!$M$9,G2677,1)),"",IF((AND(LEFT(G2677,2)=LEFT('112'!$M$9,2),B2677&lt;'112'!$N$8,$L2677='112'!$I$6)),"x",""))</f>
        <v/>
      </c>
      <c r="U2677" s="39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39" t="str">
        <f>IF(OR(TH!L2677=TH!$W$7,M2677=TH!$W$7),"x","")</f>
        <v/>
      </c>
      <c r="X2677" s="39" t="str">
        <f>IF(AND(B2677&gt;='IN-NX'!$P$3,B2677&lt;='IN-NX'!$Q$3,'IN-NX'!$D$7=D2677,OR(LEFT(L2677,2)="15",AND(LEFT(M2677,2)&lt;&gt;"15",LEFT(M2677,2)&lt;&gt;"33"))),"x","")</f>
        <v/>
      </c>
      <c r="Y2677" s="39" t="str">
        <f>IF(AND(OR(LEFT(TH!L2677,2)="15",LEFT(TH!M2677,2)="15"),'152-CT'!$J$8=TH!F2677),"x","")</f>
        <v/>
      </c>
      <c r="Z2677" s="39" t="str">
        <f>IF(AND(OR(LEFT(TH!L2677,2)="15",LEFT(TH!M2677,2)="15"),TK!$E$7=TH!F2677),"x","")</f>
        <v/>
      </c>
      <c r="AA2677" s="39" t="str">
        <f>IF(AND(B2677&lt;=NKC!$N$8,B2677&gt;=NKC!$M$8),"x","")</f>
        <v/>
      </c>
      <c r="AB2677" s="821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13"/>
        <v/>
      </c>
      <c r="C2678" s="191"/>
      <c r="D2678" s="191"/>
      <c r="E2678" s="191"/>
      <c r="F2678" s="192"/>
      <c r="G2678" s="468"/>
      <c r="H2678" s="193"/>
      <c r="I2678" s="256"/>
      <c r="J2678" s="256"/>
      <c r="K2678" s="568"/>
      <c r="L2678" s="194"/>
      <c r="M2678" s="194"/>
      <c r="N2678" s="39" t="str">
        <f>IF(AND('331-CT'!$E$7=TH!H2678,OR(L2678="331",M2678="331")),"331",IF(AND(OR(L2678="131",M2678="131"),H2678='131-CT'!$E$7),"131",""))</f>
        <v/>
      </c>
      <c r="O2678" s="902" t="str">
        <f>IF(AND('341-CT'!$E$9=H2678,OR(LEFT(L2678,3)=$O$7,LEFT(M2678,3)=$O$7)),"x","")</f>
        <v/>
      </c>
      <c r="P2678" s="39" t="str">
        <f>IF(AND($B2678&gt;='111'!$N$11,$B2678&lt;='111'!$O$11,OR($L2678=$P$7,$M2678=$P$7)),"x","")</f>
        <v/>
      </c>
      <c r="Q2678" s="39" t="str">
        <f>IF(AND($L2678=$P$7,$B2678&lt;'111'!$N$11),"x","")</f>
        <v/>
      </c>
      <c r="R2678" s="39" t="str">
        <f>IF(AND($M2678=$P$7,$B2678&lt;'111'!$N$11),"x","")</f>
        <v/>
      </c>
      <c r="S2678" s="39" t="str">
        <f>IF(ISERROR(FIND('112'!$M$9,G2678,1)),"",IF((AND(FIND('112'!$M$9,G2678,1)&gt;=1,$B2678&gt;='112'!$N$8,$B2678&lt;='112'!$O$8,OR($L2678='112'!$I$6,$M2678='112'!$I$6))),"x",""))</f>
        <v/>
      </c>
      <c r="T2678" s="39" t="str">
        <f>IF(ISERROR(FIND('112'!$M$9,G2678,1)),"",IF((AND(LEFT(G2678,2)=LEFT('112'!$M$9,2),B2678&lt;'112'!$N$8,$L2678='112'!$I$6)),"x",""))</f>
        <v/>
      </c>
      <c r="U2678" s="39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39" t="str">
        <f>IF(OR(TH!L2678=TH!$W$7,M2678=TH!$W$7),"x","")</f>
        <v/>
      </c>
      <c r="X2678" s="39" t="str">
        <f>IF(AND(B2678&gt;='IN-NX'!$P$3,B2678&lt;='IN-NX'!$Q$3,'IN-NX'!$D$7=D2678,OR(LEFT(L2678,2)="15",AND(LEFT(M2678,2)&lt;&gt;"15",LEFT(M2678,2)&lt;&gt;"33"))),"x","")</f>
        <v/>
      </c>
      <c r="Y2678" s="39" t="str">
        <f>IF(AND(OR(LEFT(TH!L2678,2)="15",LEFT(TH!M2678,2)="15"),'152-CT'!$J$8=TH!F2678),"x","")</f>
        <v/>
      </c>
      <c r="Z2678" s="39" t="str">
        <f>IF(AND(OR(LEFT(TH!L2678,2)="15",LEFT(TH!M2678,2)="15"),TK!$E$7=TH!F2678),"x","")</f>
        <v/>
      </c>
      <c r="AA2678" s="39" t="str">
        <f>IF(AND(B2678&lt;=NKC!$N$8,B2678&gt;=NKC!$M$8),"x","")</f>
        <v/>
      </c>
      <c r="AB2678" s="821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13"/>
        <v/>
      </c>
      <c r="C2679" s="191"/>
      <c r="D2679" s="191"/>
      <c r="E2679" s="191"/>
      <c r="F2679" s="192"/>
      <c r="G2679" s="468"/>
      <c r="H2679" s="193"/>
      <c r="I2679" s="256"/>
      <c r="J2679" s="256"/>
      <c r="K2679" s="568"/>
      <c r="L2679" s="194"/>
      <c r="M2679" s="194"/>
      <c r="N2679" s="39" t="str">
        <f>IF(AND('331-CT'!$E$7=TH!H2679,OR(L2679="331",M2679="331")),"331",IF(AND(OR(L2679="131",M2679="131"),H2679='131-CT'!$E$7),"131",""))</f>
        <v/>
      </c>
      <c r="O2679" s="902" t="str">
        <f>IF(AND('341-CT'!$E$9=H2679,OR(LEFT(L2679,3)=$O$7,LEFT(M2679,3)=$O$7)),"x","")</f>
        <v/>
      </c>
      <c r="P2679" s="39" t="str">
        <f>IF(AND($B2679&gt;='111'!$N$11,$B2679&lt;='111'!$O$11,OR($L2679=$P$7,$M2679=$P$7)),"x","")</f>
        <v/>
      </c>
      <c r="Q2679" s="39" t="str">
        <f>IF(AND($L2679=$P$7,$B2679&lt;'111'!$N$11),"x","")</f>
        <v/>
      </c>
      <c r="R2679" s="39" t="str">
        <f>IF(AND($M2679=$P$7,$B2679&lt;'111'!$N$11),"x","")</f>
        <v/>
      </c>
      <c r="S2679" s="39" t="str">
        <f>IF(ISERROR(FIND('112'!$M$9,G2679,1)),"",IF((AND(FIND('112'!$M$9,G2679,1)&gt;=1,$B2679&gt;='112'!$N$8,$B2679&lt;='112'!$O$8,OR($L2679='112'!$I$6,$M2679='112'!$I$6))),"x",""))</f>
        <v/>
      </c>
      <c r="T2679" s="39" t="str">
        <f>IF(ISERROR(FIND('112'!$M$9,G2679,1)),"",IF((AND(LEFT(G2679,2)=LEFT('112'!$M$9,2),B2679&lt;'112'!$N$8,$L2679='112'!$I$6)),"x",""))</f>
        <v/>
      </c>
      <c r="U2679" s="39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39" t="str">
        <f>IF(OR(TH!L2679=TH!$W$7,M2679=TH!$W$7),"x","")</f>
        <v/>
      </c>
      <c r="X2679" s="39" t="str">
        <f>IF(AND(B2679&gt;='IN-NX'!$P$3,B2679&lt;='IN-NX'!$Q$3,'IN-NX'!$D$7=D2679,OR(LEFT(L2679,2)="15",AND(LEFT(M2679,2)&lt;&gt;"15",LEFT(M2679,2)&lt;&gt;"33"))),"x","")</f>
        <v/>
      </c>
      <c r="Y2679" s="39" t="str">
        <f>IF(AND(OR(LEFT(TH!L2679,2)="15",LEFT(TH!M2679,2)="15"),'152-CT'!$J$8=TH!F2679),"x","")</f>
        <v/>
      </c>
      <c r="Z2679" s="39" t="str">
        <f>IF(AND(OR(LEFT(TH!L2679,2)="15",LEFT(TH!M2679,2)="15"),TK!$E$7=TH!F2679),"x","")</f>
        <v/>
      </c>
      <c r="AA2679" s="39" t="str">
        <f>IF(AND(B2679&lt;=NKC!$N$8,B2679&gt;=NKC!$M$8),"x","")</f>
        <v/>
      </c>
      <c r="AB2679" s="821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13"/>
        <v/>
      </c>
      <c r="C2680" s="191"/>
      <c r="D2680" s="191"/>
      <c r="E2680" s="191"/>
      <c r="F2680" s="192"/>
      <c r="G2680" s="468"/>
      <c r="H2680" s="193"/>
      <c r="I2680" s="256"/>
      <c r="J2680" s="256"/>
      <c r="K2680" s="568"/>
      <c r="L2680" s="194"/>
      <c r="M2680" s="194"/>
      <c r="N2680" s="39" t="str">
        <f>IF(AND('331-CT'!$E$7=TH!H2680,OR(L2680="331",M2680="331")),"331",IF(AND(OR(L2680="131",M2680="131"),H2680='131-CT'!$E$7),"131",""))</f>
        <v/>
      </c>
      <c r="O2680" s="902" t="str">
        <f>IF(AND('341-CT'!$E$9=H2680,OR(LEFT(L2680,3)=$O$7,LEFT(M2680,3)=$O$7)),"x","")</f>
        <v/>
      </c>
      <c r="P2680" s="39" t="str">
        <f>IF(AND($B2680&gt;='111'!$N$11,$B2680&lt;='111'!$O$11,OR($L2680=$P$7,$M2680=$P$7)),"x","")</f>
        <v/>
      </c>
      <c r="Q2680" s="39" t="str">
        <f>IF(AND($L2680=$P$7,$B2680&lt;'111'!$N$11),"x","")</f>
        <v/>
      </c>
      <c r="R2680" s="39" t="str">
        <f>IF(AND($M2680=$P$7,$B2680&lt;'111'!$N$11),"x","")</f>
        <v/>
      </c>
      <c r="S2680" s="39" t="str">
        <f>IF(ISERROR(FIND('112'!$M$9,G2680,1)),"",IF((AND(FIND('112'!$M$9,G2680,1)&gt;=1,$B2680&gt;='112'!$N$8,$B2680&lt;='112'!$O$8,OR($L2680='112'!$I$6,$M2680='112'!$I$6))),"x",""))</f>
        <v/>
      </c>
      <c r="T2680" s="39" t="str">
        <f>IF(ISERROR(FIND('112'!$M$9,G2680,1)),"",IF((AND(LEFT(G2680,2)=LEFT('112'!$M$9,2),B2680&lt;'112'!$N$8,$L2680='112'!$I$6)),"x",""))</f>
        <v/>
      </c>
      <c r="U2680" s="39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39" t="str">
        <f>IF(OR(TH!L2680=TH!$W$7,M2680=TH!$W$7),"x","")</f>
        <v/>
      </c>
      <c r="X2680" s="39" t="str">
        <f>IF(AND(B2680&gt;='IN-NX'!$P$3,B2680&lt;='IN-NX'!$Q$3,'IN-NX'!$D$7=D2680,OR(LEFT(L2680,2)="15",AND(LEFT(M2680,2)&lt;&gt;"15",LEFT(M2680,2)&lt;&gt;"33"))),"x","")</f>
        <v/>
      </c>
      <c r="Y2680" s="39" t="str">
        <f>IF(AND(OR(LEFT(TH!L2680,2)="15",LEFT(TH!M2680,2)="15"),'152-CT'!$J$8=TH!F2680),"x","")</f>
        <v/>
      </c>
      <c r="Z2680" s="39" t="str">
        <f>IF(AND(OR(LEFT(TH!L2680,2)="15",LEFT(TH!M2680,2)="15"),TK!$E$7=TH!F2680),"x","")</f>
        <v/>
      </c>
      <c r="AA2680" s="39" t="str">
        <f>IF(AND(B2680&lt;=NKC!$N$8,B2680&gt;=NKC!$M$8),"x","")</f>
        <v/>
      </c>
      <c r="AB2680" s="821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ref="B2681:B2744" si="114">IF(C2681&lt;&gt;"",MONTH(C2681),"")</f>
        <v/>
      </c>
      <c r="C2681" s="191"/>
      <c r="D2681" s="191"/>
      <c r="E2681" s="191"/>
      <c r="F2681" s="192"/>
      <c r="G2681" s="468"/>
      <c r="H2681" s="193"/>
      <c r="I2681" s="256"/>
      <c r="J2681" s="256"/>
      <c r="K2681" s="568"/>
      <c r="L2681" s="194"/>
      <c r="M2681" s="194"/>
      <c r="N2681" s="39" t="str">
        <f>IF(AND('331-CT'!$E$7=TH!H2681,OR(L2681="331",M2681="331")),"331",IF(AND(OR(L2681="131",M2681="131"),H2681='131-CT'!$E$7),"131",""))</f>
        <v/>
      </c>
      <c r="O2681" s="902" t="str">
        <f>IF(AND('341-CT'!$E$9=H2681,OR(LEFT(L2681,3)=$O$7,LEFT(M2681,3)=$O$7)),"x","")</f>
        <v/>
      </c>
      <c r="P2681" s="39" t="str">
        <f>IF(AND($B2681&gt;='111'!$N$11,$B2681&lt;='111'!$O$11,OR($L2681=$P$7,$M2681=$P$7)),"x","")</f>
        <v/>
      </c>
      <c r="Q2681" s="39" t="str">
        <f>IF(AND($L2681=$P$7,$B2681&lt;'111'!$N$11),"x","")</f>
        <v/>
      </c>
      <c r="R2681" s="39" t="str">
        <f>IF(AND($M2681=$P$7,$B2681&lt;'111'!$N$11),"x","")</f>
        <v/>
      </c>
      <c r="S2681" s="39" t="str">
        <f>IF(ISERROR(FIND('112'!$M$9,G2681,1)),"",IF((AND(FIND('112'!$M$9,G2681,1)&gt;=1,$B2681&gt;='112'!$N$8,$B2681&lt;='112'!$O$8,OR($L2681='112'!$I$6,$M2681='112'!$I$6))),"x",""))</f>
        <v/>
      </c>
      <c r="T2681" s="39" t="str">
        <f>IF(ISERROR(FIND('112'!$M$9,G2681,1)),"",IF((AND(LEFT(G2681,2)=LEFT('112'!$M$9,2),B2681&lt;'112'!$N$8,$L2681='112'!$I$6)),"x",""))</f>
        <v/>
      </c>
      <c r="U2681" s="39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39" t="str">
        <f>IF(OR(TH!L2681=TH!$W$7,M2681=TH!$W$7),"x","")</f>
        <v/>
      </c>
      <c r="X2681" s="39" t="str">
        <f>IF(AND(B2681&gt;='IN-NX'!$P$3,B2681&lt;='IN-NX'!$Q$3,'IN-NX'!$D$7=D2681,OR(LEFT(L2681,2)="15",AND(LEFT(M2681,2)&lt;&gt;"15",LEFT(M2681,2)&lt;&gt;"33"))),"x","")</f>
        <v/>
      </c>
      <c r="Y2681" s="39" t="str">
        <f>IF(AND(OR(LEFT(TH!L2681,2)="15",LEFT(TH!M2681,2)="15"),'152-CT'!$J$8=TH!F2681),"x","")</f>
        <v/>
      </c>
      <c r="Z2681" s="39" t="str">
        <f>IF(AND(OR(LEFT(TH!L2681,2)="15",LEFT(TH!M2681,2)="15"),TK!$E$7=TH!F2681),"x","")</f>
        <v/>
      </c>
      <c r="AA2681" s="39" t="str">
        <f>IF(AND(B2681&lt;=NKC!$N$8,B2681&gt;=NKC!$M$8),"x","")</f>
        <v/>
      </c>
      <c r="AB2681" s="821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14"/>
        <v/>
      </c>
      <c r="C2682" s="191"/>
      <c r="D2682" s="191"/>
      <c r="E2682" s="191"/>
      <c r="F2682" s="192"/>
      <c r="G2682" s="468"/>
      <c r="H2682" s="193"/>
      <c r="I2682" s="256"/>
      <c r="J2682" s="256"/>
      <c r="K2682" s="568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902" t="str">
        <f>IF(AND('341-CT'!$E$9=H2682,OR(LEFT(L2682,3)=$O$7,LEFT(M2682,3)=$O$7)),"x","")</f>
        <v/>
      </c>
      <c r="P2682" s="39" t="str">
        <f>IF(AND($B2682&gt;='111'!$N$11,$B2682&lt;='111'!$O$11,OR($L2682=$P$7,$M2682=$P$7)),"x","")</f>
        <v/>
      </c>
      <c r="Q2682" s="39" t="str">
        <f>IF(AND($L2682=$P$7,$B2682&lt;'111'!$N$11),"x","")</f>
        <v/>
      </c>
      <c r="R2682" s="39" t="str">
        <f>IF(AND($M2682=$P$7,$B2682&lt;'111'!$N$11),"x","")</f>
        <v/>
      </c>
      <c r="S2682" s="39" t="str">
        <f>IF(ISERROR(FIND('112'!$M$9,G2682,1)),"",IF((AND(FIND('112'!$M$9,G2682,1)&gt;=1,$B2682&gt;='112'!$N$8,$B2682&lt;='112'!$O$8,OR($L2682='112'!$I$6,$M2682='112'!$I$6))),"x",""))</f>
        <v/>
      </c>
      <c r="T2682" s="39" t="str">
        <f>IF(ISERROR(FIND('112'!$M$9,G2682,1)),"",IF((AND(LEFT(G2682,2)=LEFT('112'!$M$9,2),B2682&lt;'112'!$N$8,$L2682='112'!$I$6)),"x",""))</f>
        <v/>
      </c>
      <c r="U2682" s="39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39" t="str">
        <f>IF(OR(TH!L2682=TH!$W$7,M2682=TH!$W$7),"x","")</f>
        <v/>
      </c>
      <c r="X2682" s="39" t="str">
        <f>IF(AND(B2682&gt;='IN-NX'!$P$3,B2682&lt;='IN-NX'!$Q$3,'IN-NX'!$D$7=D2682,OR(LEFT(L2682,2)="15",AND(LEFT(M2682,2)&lt;&gt;"15",LEFT(M2682,2)&lt;&gt;"33"))),"x","")</f>
        <v/>
      </c>
      <c r="Y2682" s="39" t="str">
        <f>IF(AND(OR(LEFT(TH!L2682,2)="15",LEFT(TH!M2682,2)="15"),'152-CT'!$J$8=TH!F2682),"x","")</f>
        <v/>
      </c>
      <c r="Z2682" s="39" t="str">
        <f>IF(AND(OR(LEFT(TH!L2682,2)="15",LEFT(TH!M2682,2)="15"),TK!$E$7=TH!F2682),"x","")</f>
        <v/>
      </c>
      <c r="AA2682" s="39" t="str">
        <f>IF(AND(B2682&lt;=NKC!$N$8,B2682&gt;=NKC!$M$8),"x","")</f>
        <v/>
      </c>
      <c r="AB2682" s="821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14"/>
        <v/>
      </c>
      <c r="C2683" s="191"/>
      <c r="D2683" s="191"/>
      <c r="E2683" s="191"/>
      <c r="F2683" s="192"/>
      <c r="G2683" s="468"/>
      <c r="H2683" s="193"/>
      <c r="I2683" s="256"/>
      <c r="J2683" s="256"/>
      <c r="K2683" s="568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902" t="str">
        <f>IF(AND('341-CT'!$E$9=H2683,OR(LEFT(L2683,3)=$O$7,LEFT(M2683,3)=$O$7)),"x","")</f>
        <v/>
      </c>
      <c r="P2683" s="39" t="str">
        <f>IF(AND($B2683&gt;='111'!$N$11,$B2683&lt;='111'!$O$11,OR($L2683=$P$7,$M2683=$P$7)),"x","")</f>
        <v/>
      </c>
      <c r="Q2683" s="39" t="str">
        <f>IF(AND($L2683=$P$7,$B2683&lt;'111'!$N$11),"x","")</f>
        <v/>
      </c>
      <c r="R2683" s="39" t="str">
        <f>IF(AND($M2683=$P$7,$B2683&lt;'111'!$N$11),"x","")</f>
        <v/>
      </c>
      <c r="S2683" s="39" t="str">
        <f>IF(ISERROR(FIND('112'!$M$9,G2683,1)),"",IF((AND(FIND('112'!$M$9,G2683,1)&gt;=1,$B2683&gt;='112'!$N$8,$B2683&lt;='112'!$O$8,OR($L2683='112'!$I$6,$M2683='112'!$I$6))),"x",""))</f>
        <v/>
      </c>
      <c r="T2683" s="39" t="str">
        <f>IF(ISERROR(FIND('112'!$M$9,G2683,1)),"",IF((AND(LEFT(G2683,2)=LEFT('112'!$M$9,2),B2683&lt;'112'!$N$8,$L2683='112'!$I$6)),"x",""))</f>
        <v/>
      </c>
      <c r="U2683" s="39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39" t="str">
        <f>IF(OR(TH!L2683=TH!$W$7,M2683=TH!$W$7),"x","")</f>
        <v/>
      </c>
      <c r="X2683" s="39" t="str">
        <f>IF(AND(B2683&gt;='IN-NX'!$P$3,B2683&lt;='IN-NX'!$Q$3,'IN-NX'!$D$7=D2683,OR(LEFT(L2683,2)="15",AND(LEFT(M2683,2)&lt;&gt;"15",LEFT(M2683,2)&lt;&gt;"33"))),"x","")</f>
        <v/>
      </c>
      <c r="Y2683" s="39" t="str">
        <f>IF(AND(OR(LEFT(TH!L2683,2)="15",LEFT(TH!M2683,2)="15"),'152-CT'!$J$8=TH!F2683),"x","")</f>
        <v/>
      </c>
      <c r="Z2683" s="39" t="str">
        <f>IF(AND(OR(LEFT(TH!L2683,2)="15",LEFT(TH!M2683,2)="15"),TK!$E$7=TH!F2683),"x","")</f>
        <v/>
      </c>
      <c r="AA2683" s="39" t="str">
        <f>IF(AND(B2683&lt;=NKC!$N$8,B2683&gt;=NKC!$M$8),"x","")</f>
        <v/>
      </c>
      <c r="AB2683" s="821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14"/>
        <v/>
      </c>
      <c r="C2684" s="191"/>
      <c r="D2684" s="191"/>
      <c r="E2684" s="191"/>
      <c r="F2684" s="192"/>
      <c r="G2684" s="468"/>
      <c r="H2684" s="193"/>
      <c r="I2684" s="256"/>
      <c r="J2684" s="256"/>
      <c r="K2684" s="568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902" t="str">
        <f>IF(AND('341-CT'!$E$9=H2684,OR(LEFT(L2684,3)=$O$7,LEFT(M2684,3)=$O$7)),"x","")</f>
        <v/>
      </c>
      <c r="P2684" s="39" t="str">
        <f>IF(AND($B2684&gt;='111'!$N$11,$B2684&lt;='111'!$O$11,OR($L2684=$P$7,$M2684=$P$7)),"x","")</f>
        <v/>
      </c>
      <c r="Q2684" s="39" t="str">
        <f>IF(AND($L2684=$P$7,$B2684&lt;'111'!$N$11),"x","")</f>
        <v/>
      </c>
      <c r="R2684" s="39" t="str">
        <f>IF(AND($M2684=$P$7,$B2684&lt;'111'!$N$11),"x","")</f>
        <v/>
      </c>
      <c r="S2684" s="39" t="str">
        <f>IF(ISERROR(FIND('112'!$M$9,G2684,1)),"",IF((AND(FIND('112'!$M$9,G2684,1)&gt;=1,$B2684&gt;='112'!$N$8,$B2684&lt;='112'!$O$8,OR($L2684='112'!$I$6,$M2684='112'!$I$6))),"x",""))</f>
        <v/>
      </c>
      <c r="T2684" s="39" t="str">
        <f>IF(ISERROR(FIND('112'!$M$9,G2684,1)),"",IF((AND(LEFT(G2684,2)=LEFT('112'!$M$9,2),B2684&lt;'112'!$N$8,$L2684='112'!$I$6)),"x",""))</f>
        <v/>
      </c>
      <c r="U2684" s="39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39" t="str">
        <f>IF(OR(TH!L2684=TH!$W$7,M2684=TH!$W$7),"x","")</f>
        <v/>
      </c>
      <c r="X2684" s="39" t="str">
        <f>IF(AND(B2684&gt;='IN-NX'!$P$3,B2684&lt;='IN-NX'!$Q$3,'IN-NX'!$D$7=D2684,OR(LEFT(L2684,2)="15",AND(LEFT(M2684,2)&lt;&gt;"15",LEFT(M2684,2)&lt;&gt;"33"))),"x","")</f>
        <v/>
      </c>
      <c r="Y2684" s="39" t="str">
        <f>IF(AND(OR(LEFT(TH!L2684,2)="15",LEFT(TH!M2684,2)="15"),'152-CT'!$J$8=TH!F2684),"x","")</f>
        <v/>
      </c>
      <c r="Z2684" s="39" t="str">
        <f>IF(AND(OR(LEFT(TH!L2684,2)="15",LEFT(TH!M2684,2)="15"),TK!$E$7=TH!F2684),"x","")</f>
        <v/>
      </c>
      <c r="AA2684" s="39" t="str">
        <f>IF(AND(B2684&lt;=NKC!$N$8,B2684&gt;=NKC!$M$8),"x","")</f>
        <v/>
      </c>
      <c r="AB2684" s="821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14"/>
        <v/>
      </c>
      <c r="C2685" s="191"/>
      <c r="D2685" s="191"/>
      <c r="E2685" s="191"/>
      <c r="F2685" s="192"/>
      <c r="G2685" s="468"/>
      <c r="H2685" s="193"/>
      <c r="I2685" s="256"/>
      <c r="J2685" s="256"/>
      <c r="K2685" s="568"/>
      <c r="L2685" s="194"/>
      <c r="M2685" s="194"/>
      <c r="N2685" s="39" t="str">
        <f>IF(AND('331-CT'!$E$7=TH!H2685,OR(L2685="331",M2685="331")),"331",IF(AND(OR(L2685="131",M2685="131"),H2685='131-CT'!$E$7),"131",""))</f>
        <v/>
      </c>
      <c r="O2685" s="902" t="str">
        <f>IF(AND('341-CT'!$E$9=H2685,OR(LEFT(L2685,3)=$O$7,LEFT(M2685,3)=$O$7)),"x","")</f>
        <v/>
      </c>
      <c r="P2685" s="39" t="str">
        <f>IF(AND($B2685&gt;='111'!$N$11,$B2685&lt;='111'!$O$11,OR($L2685=$P$7,$M2685=$P$7)),"x","")</f>
        <v/>
      </c>
      <c r="Q2685" s="39" t="str">
        <f>IF(AND($L2685=$P$7,$B2685&lt;'111'!$N$11),"x","")</f>
        <v/>
      </c>
      <c r="R2685" s="39" t="str">
        <f>IF(AND($M2685=$P$7,$B2685&lt;'111'!$N$11),"x","")</f>
        <v/>
      </c>
      <c r="S2685" s="39" t="str">
        <f>IF(ISERROR(FIND('112'!$M$9,G2685,1)),"",IF((AND(FIND('112'!$M$9,G2685,1)&gt;=1,$B2685&gt;='112'!$N$8,$B2685&lt;='112'!$O$8,OR($L2685='112'!$I$6,$M2685='112'!$I$6))),"x",""))</f>
        <v/>
      </c>
      <c r="T2685" s="39" t="str">
        <f>IF(ISERROR(FIND('112'!$M$9,G2685,1)),"",IF((AND(LEFT(G2685,2)=LEFT('112'!$M$9,2),B2685&lt;'112'!$N$8,$L2685='112'!$I$6)),"x",""))</f>
        <v/>
      </c>
      <c r="U2685" s="39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39" t="str">
        <f>IF(OR(TH!L2685=TH!$W$7,M2685=TH!$W$7),"x","")</f>
        <v/>
      </c>
      <c r="X2685" s="39" t="str">
        <f>IF(AND(B2685&gt;='IN-NX'!$P$3,B2685&lt;='IN-NX'!$Q$3,'IN-NX'!$D$7=D2685,OR(LEFT(L2685,2)="15",AND(LEFT(M2685,2)&lt;&gt;"15",LEFT(M2685,2)&lt;&gt;"33"))),"x","")</f>
        <v/>
      </c>
      <c r="Y2685" s="39" t="str">
        <f>IF(AND(OR(LEFT(TH!L2685,2)="15",LEFT(TH!M2685,2)="15"),'152-CT'!$J$8=TH!F2685),"x","")</f>
        <v/>
      </c>
      <c r="Z2685" s="39" t="str">
        <f>IF(AND(OR(LEFT(TH!L2685,2)="15",LEFT(TH!M2685,2)="15"),TK!$E$7=TH!F2685),"x","")</f>
        <v/>
      </c>
      <c r="AA2685" s="39" t="str">
        <f>IF(AND(B2685&lt;=NKC!$N$8,B2685&gt;=NKC!$M$8),"x","")</f>
        <v/>
      </c>
      <c r="AB2685" s="821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14"/>
        <v/>
      </c>
      <c r="C2686" s="191"/>
      <c r="D2686" s="191"/>
      <c r="E2686" s="191"/>
      <c r="F2686" s="192"/>
      <c r="G2686" s="468"/>
      <c r="H2686" s="193"/>
      <c r="I2686" s="256"/>
      <c r="J2686" s="256"/>
      <c r="K2686" s="568"/>
      <c r="L2686" s="194"/>
      <c r="M2686" s="194"/>
      <c r="N2686" s="39" t="str">
        <f>IF(AND('331-CT'!$E$7=TH!H2686,OR(L2686="331",M2686="331")),"331",IF(AND(OR(L2686="131",M2686="131"),H2686='131-CT'!$E$7),"131",""))</f>
        <v/>
      </c>
      <c r="O2686" s="902" t="str">
        <f>IF(AND('341-CT'!$E$9=H2686,OR(LEFT(L2686,3)=$O$7,LEFT(M2686,3)=$O$7)),"x","")</f>
        <v/>
      </c>
      <c r="P2686" s="39" t="str">
        <f>IF(AND($B2686&gt;='111'!$N$11,$B2686&lt;='111'!$O$11,OR($L2686=$P$7,$M2686=$P$7)),"x","")</f>
        <v/>
      </c>
      <c r="Q2686" s="39" t="str">
        <f>IF(AND($L2686=$P$7,$B2686&lt;'111'!$N$11),"x","")</f>
        <v/>
      </c>
      <c r="R2686" s="39" t="str">
        <f>IF(AND($M2686=$P$7,$B2686&lt;'111'!$N$11),"x","")</f>
        <v/>
      </c>
      <c r="S2686" s="39" t="str">
        <f>IF(ISERROR(FIND('112'!$M$9,G2686,1)),"",IF((AND(FIND('112'!$M$9,G2686,1)&gt;=1,$B2686&gt;='112'!$N$8,$B2686&lt;='112'!$O$8,OR($L2686='112'!$I$6,$M2686='112'!$I$6))),"x",""))</f>
        <v/>
      </c>
      <c r="T2686" s="39" t="str">
        <f>IF(ISERROR(FIND('112'!$M$9,G2686,1)),"",IF((AND(LEFT(G2686,2)=LEFT('112'!$M$9,2),B2686&lt;'112'!$N$8,$L2686='112'!$I$6)),"x",""))</f>
        <v/>
      </c>
      <c r="U2686" s="39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39" t="str">
        <f>IF(OR(TH!L2686=TH!$W$7,M2686=TH!$W$7),"x","")</f>
        <v/>
      </c>
      <c r="X2686" s="39" t="str">
        <f>IF(AND(B2686&gt;='IN-NX'!$P$3,B2686&lt;='IN-NX'!$Q$3,'IN-NX'!$D$7=D2686,OR(LEFT(L2686,2)="15",AND(LEFT(M2686,2)&lt;&gt;"15",LEFT(M2686,2)&lt;&gt;"33"))),"x","")</f>
        <v/>
      </c>
      <c r="Y2686" s="39" t="str">
        <f>IF(AND(OR(LEFT(TH!L2686,2)="15",LEFT(TH!M2686,2)="15"),'152-CT'!$J$8=TH!F2686),"x","")</f>
        <v/>
      </c>
      <c r="Z2686" s="39" t="str">
        <f>IF(AND(OR(LEFT(TH!L2686,2)="15",LEFT(TH!M2686,2)="15"),TK!$E$7=TH!F2686),"x","")</f>
        <v/>
      </c>
      <c r="AA2686" s="39" t="str">
        <f>IF(AND(B2686&lt;=NKC!$N$8,B2686&gt;=NKC!$M$8),"x","")</f>
        <v/>
      </c>
      <c r="AB2686" s="821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14"/>
        <v/>
      </c>
      <c r="C2687" s="191"/>
      <c r="D2687" s="191"/>
      <c r="E2687" s="191"/>
      <c r="F2687" s="192"/>
      <c r="G2687" s="468"/>
      <c r="H2687" s="193"/>
      <c r="I2687" s="256"/>
      <c r="J2687" s="256"/>
      <c r="K2687" s="568"/>
      <c r="L2687" s="194"/>
      <c r="M2687" s="194"/>
      <c r="N2687" s="39" t="str">
        <f>IF(AND('331-CT'!$E$7=TH!H2687,OR(L2687="331",M2687="331")),"331",IF(AND(OR(L2687="131",M2687="131"),H2687='131-CT'!$E$7),"131",""))</f>
        <v/>
      </c>
      <c r="O2687" s="902" t="str">
        <f>IF(AND('341-CT'!$E$9=H2687,OR(LEFT(L2687,3)=$O$7,LEFT(M2687,3)=$O$7)),"x","")</f>
        <v/>
      </c>
      <c r="P2687" s="39" t="str">
        <f>IF(AND($B2687&gt;='111'!$N$11,$B2687&lt;='111'!$O$11,OR($L2687=$P$7,$M2687=$P$7)),"x","")</f>
        <v/>
      </c>
      <c r="Q2687" s="39" t="str">
        <f>IF(AND($L2687=$P$7,$B2687&lt;'111'!$N$11),"x","")</f>
        <v/>
      </c>
      <c r="R2687" s="39" t="str">
        <f>IF(AND($M2687=$P$7,$B2687&lt;'111'!$N$11),"x","")</f>
        <v/>
      </c>
      <c r="S2687" s="39" t="str">
        <f>IF(ISERROR(FIND('112'!$M$9,G2687,1)),"",IF((AND(FIND('112'!$M$9,G2687,1)&gt;=1,$B2687&gt;='112'!$N$8,$B2687&lt;='112'!$O$8,OR($L2687='112'!$I$6,$M2687='112'!$I$6))),"x",""))</f>
        <v/>
      </c>
      <c r="T2687" s="39" t="str">
        <f>IF(ISERROR(FIND('112'!$M$9,G2687,1)),"",IF((AND(LEFT(G2687,2)=LEFT('112'!$M$9,2),B2687&lt;'112'!$N$8,$L2687='112'!$I$6)),"x",""))</f>
        <v/>
      </c>
      <c r="U2687" s="39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39" t="str">
        <f>IF(OR(TH!L2687=TH!$W$7,M2687=TH!$W$7),"x","")</f>
        <v/>
      </c>
      <c r="X2687" s="39" t="str">
        <f>IF(AND(B2687&gt;='IN-NX'!$P$3,B2687&lt;='IN-NX'!$Q$3,'IN-NX'!$D$7=D2687,OR(LEFT(L2687,2)="15",AND(LEFT(M2687,2)&lt;&gt;"15",LEFT(M2687,2)&lt;&gt;"33"))),"x","")</f>
        <v/>
      </c>
      <c r="Y2687" s="39" t="str">
        <f>IF(AND(OR(LEFT(TH!L2687,2)="15",LEFT(TH!M2687,2)="15"),'152-CT'!$J$8=TH!F2687),"x","")</f>
        <v/>
      </c>
      <c r="Z2687" s="39" t="str">
        <f>IF(AND(OR(LEFT(TH!L2687,2)="15",LEFT(TH!M2687,2)="15"),TK!$E$7=TH!F2687),"x","")</f>
        <v/>
      </c>
      <c r="AA2687" s="39" t="str">
        <f>IF(AND(B2687&lt;=NKC!$N$8,B2687&gt;=NKC!$M$8),"x","")</f>
        <v/>
      </c>
      <c r="AB2687" s="821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14"/>
        <v/>
      </c>
      <c r="C2688" s="191"/>
      <c r="D2688" s="191"/>
      <c r="E2688" s="191"/>
      <c r="F2688" s="192"/>
      <c r="G2688" s="468"/>
      <c r="H2688" s="193"/>
      <c r="I2688" s="256"/>
      <c r="J2688" s="256"/>
      <c r="K2688" s="568"/>
      <c r="L2688" s="194"/>
      <c r="M2688" s="194"/>
      <c r="N2688" s="39" t="str">
        <f>IF(AND('331-CT'!$E$7=TH!H2688,OR(L2688="331",M2688="331")),"331",IF(AND(OR(L2688="131",M2688="131"),H2688='131-CT'!$E$7),"131",""))</f>
        <v/>
      </c>
      <c r="O2688" s="902" t="str">
        <f>IF(AND('341-CT'!$E$9=H2688,OR(LEFT(L2688,3)=$O$7,LEFT(M2688,3)=$O$7)),"x","")</f>
        <v/>
      </c>
      <c r="P2688" s="39" t="str">
        <f>IF(AND($B2688&gt;='111'!$N$11,$B2688&lt;='111'!$O$11,OR($L2688=$P$7,$M2688=$P$7)),"x","")</f>
        <v/>
      </c>
      <c r="Q2688" s="39" t="str">
        <f>IF(AND($L2688=$P$7,$B2688&lt;'111'!$N$11),"x","")</f>
        <v/>
      </c>
      <c r="R2688" s="39" t="str">
        <f>IF(AND($M2688=$P$7,$B2688&lt;'111'!$N$11),"x","")</f>
        <v/>
      </c>
      <c r="S2688" s="39" t="str">
        <f>IF(ISERROR(FIND('112'!$M$9,G2688,1)),"",IF((AND(FIND('112'!$M$9,G2688,1)&gt;=1,$B2688&gt;='112'!$N$8,$B2688&lt;='112'!$O$8,OR($L2688='112'!$I$6,$M2688='112'!$I$6))),"x",""))</f>
        <v/>
      </c>
      <c r="T2688" s="39" t="str">
        <f>IF(ISERROR(FIND('112'!$M$9,G2688,1)),"",IF((AND(LEFT(G2688,2)=LEFT('112'!$M$9,2),B2688&lt;'112'!$N$8,$L2688='112'!$I$6)),"x",""))</f>
        <v/>
      </c>
      <c r="U2688" s="39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39" t="str">
        <f>IF(OR(TH!L2688=TH!$W$7,M2688=TH!$W$7),"x","")</f>
        <v/>
      </c>
      <c r="X2688" s="39" t="str">
        <f>IF(AND(B2688&gt;='IN-NX'!$P$3,B2688&lt;='IN-NX'!$Q$3,'IN-NX'!$D$7=D2688,OR(LEFT(L2688,2)="15",AND(LEFT(M2688,2)&lt;&gt;"15",LEFT(M2688,2)&lt;&gt;"33"))),"x","")</f>
        <v/>
      </c>
      <c r="Y2688" s="39" t="str">
        <f>IF(AND(OR(LEFT(TH!L2688,2)="15",LEFT(TH!M2688,2)="15"),'152-CT'!$J$8=TH!F2688),"x","")</f>
        <v/>
      </c>
      <c r="Z2688" s="39" t="str">
        <f>IF(AND(OR(LEFT(TH!L2688,2)="15",LEFT(TH!M2688,2)="15"),TK!$E$7=TH!F2688),"x","")</f>
        <v/>
      </c>
      <c r="AA2688" s="39" t="str">
        <f>IF(AND(B2688&lt;=NKC!$N$8,B2688&gt;=NKC!$M$8),"x","")</f>
        <v/>
      </c>
      <c r="AB2688" s="821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14"/>
        <v/>
      </c>
      <c r="C2689" s="191"/>
      <c r="D2689" s="191"/>
      <c r="E2689" s="191"/>
      <c r="F2689" s="192"/>
      <c r="G2689" s="468"/>
      <c r="H2689" s="193"/>
      <c r="I2689" s="256"/>
      <c r="J2689" s="256"/>
      <c r="K2689" s="568"/>
      <c r="L2689" s="194"/>
      <c r="M2689" s="194"/>
      <c r="N2689" s="39" t="str">
        <f>IF(AND('331-CT'!$E$7=TH!H2689,OR(L2689="331",M2689="331")),"331",IF(AND(OR(L2689="131",M2689="131"),H2689='131-CT'!$E$7),"131",""))</f>
        <v/>
      </c>
      <c r="O2689" s="902" t="str">
        <f>IF(AND('341-CT'!$E$9=H2689,OR(LEFT(L2689,3)=$O$7,LEFT(M2689,3)=$O$7)),"x","")</f>
        <v/>
      </c>
      <c r="P2689" s="39" t="str">
        <f>IF(AND($B2689&gt;='111'!$N$11,$B2689&lt;='111'!$O$11,OR($L2689=$P$7,$M2689=$P$7)),"x","")</f>
        <v/>
      </c>
      <c r="Q2689" s="39" t="str">
        <f>IF(AND($L2689=$P$7,$B2689&lt;'111'!$N$11),"x","")</f>
        <v/>
      </c>
      <c r="R2689" s="39" t="str">
        <f>IF(AND($M2689=$P$7,$B2689&lt;'111'!$N$11),"x","")</f>
        <v/>
      </c>
      <c r="S2689" s="39" t="str">
        <f>IF(ISERROR(FIND('112'!$M$9,G2689,1)),"",IF((AND(FIND('112'!$M$9,G2689,1)&gt;=1,$B2689&gt;='112'!$N$8,$B2689&lt;='112'!$O$8,OR($L2689='112'!$I$6,$M2689='112'!$I$6))),"x",""))</f>
        <v/>
      </c>
      <c r="T2689" s="39" t="str">
        <f>IF(ISERROR(FIND('112'!$M$9,G2689,1)),"",IF((AND(LEFT(G2689,2)=LEFT('112'!$M$9,2),B2689&lt;'112'!$N$8,$L2689='112'!$I$6)),"x",""))</f>
        <v/>
      </c>
      <c r="U2689" s="39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39" t="str">
        <f>IF(OR(TH!L2689=TH!$W$7,M2689=TH!$W$7),"x","")</f>
        <v/>
      </c>
      <c r="X2689" s="39" t="str">
        <f>IF(AND(B2689&gt;='IN-NX'!$P$3,B2689&lt;='IN-NX'!$Q$3,'IN-NX'!$D$7=D2689,OR(LEFT(L2689,2)="15",AND(LEFT(M2689,2)&lt;&gt;"15",LEFT(M2689,2)&lt;&gt;"33"))),"x","")</f>
        <v/>
      </c>
      <c r="Y2689" s="39" t="str">
        <f>IF(AND(OR(LEFT(TH!L2689,2)="15",LEFT(TH!M2689,2)="15"),'152-CT'!$J$8=TH!F2689),"x","")</f>
        <v/>
      </c>
      <c r="Z2689" s="39" t="str">
        <f>IF(AND(OR(LEFT(TH!L2689,2)="15",LEFT(TH!M2689,2)="15"),TK!$E$7=TH!F2689),"x","")</f>
        <v/>
      </c>
      <c r="AA2689" s="39" t="str">
        <f>IF(AND(B2689&lt;=NKC!$N$8,B2689&gt;=NKC!$M$8),"x","")</f>
        <v/>
      </c>
      <c r="AB2689" s="821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14"/>
        <v/>
      </c>
      <c r="C2690" s="191"/>
      <c r="D2690" s="191"/>
      <c r="E2690" s="191"/>
      <c r="F2690" s="192"/>
      <c r="G2690" s="468"/>
      <c r="H2690" s="193"/>
      <c r="I2690" s="256"/>
      <c r="J2690" s="256"/>
      <c r="K2690" s="568"/>
      <c r="L2690" s="194"/>
      <c r="M2690" s="194"/>
      <c r="N2690" s="39" t="str">
        <f>IF(AND('331-CT'!$E$7=TH!H2690,OR(L2690="331",M2690="331")),"331",IF(AND(OR(L2690="131",M2690="131"),H2690='131-CT'!$E$7),"131",""))</f>
        <v/>
      </c>
      <c r="O2690" s="902" t="str">
        <f>IF(AND('341-CT'!$E$9=H2690,OR(LEFT(L2690,3)=$O$7,LEFT(M2690,3)=$O$7)),"x","")</f>
        <v/>
      </c>
      <c r="P2690" s="39" t="str">
        <f>IF(AND($B2690&gt;='111'!$N$11,$B2690&lt;='111'!$O$11,OR($L2690=$P$7,$M2690=$P$7)),"x","")</f>
        <v/>
      </c>
      <c r="Q2690" s="39" t="str">
        <f>IF(AND($L2690=$P$7,$B2690&lt;'111'!$N$11),"x","")</f>
        <v/>
      </c>
      <c r="R2690" s="39" t="str">
        <f>IF(AND($M2690=$P$7,$B2690&lt;'111'!$N$11),"x","")</f>
        <v/>
      </c>
      <c r="S2690" s="39" t="str">
        <f>IF(ISERROR(FIND('112'!$M$9,G2690,1)),"",IF((AND(FIND('112'!$M$9,G2690,1)&gt;=1,$B2690&gt;='112'!$N$8,$B2690&lt;='112'!$O$8,OR($L2690='112'!$I$6,$M2690='112'!$I$6))),"x",""))</f>
        <v/>
      </c>
      <c r="T2690" s="39" t="str">
        <f>IF(ISERROR(FIND('112'!$M$9,G2690,1)),"",IF((AND(LEFT(G2690,2)=LEFT('112'!$M$9,2),B2690&lt;'112'!$N$8,$L2690='112'!$I$6)),"x",""))</f>
        <v/>
      </c>
      <c r="U2690" s="39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39" t="str">
        <f>IF(OR(TH!L2690=TH!$W$7,M2690=TH!$W$7),"x","")</f>
        <v/>
      </c>
      <c r="X2690" s="39" t="str">
        <f>IF(AND(B2690&gt;='IN-NX'!$P$3,B2690&lt;='IN-NX'!$Q$3,'IN-NX'!$D$7=D2690,OR(LEFT(L2690,2)="15",AND(LEFT(M2690,2)&lt;&gt;"15",LEFT(M2690,2)&lt;&gt;"33"))),"x","")</f>
        <v/>
      </c>
      <c r="Y2690" s="39" t="str">
        <f>IF(AND(OR(LEFT(TH!L2690,2)="15",LEFT(TH!M2690,2)="15"),'152-CT'!$J$8=TH!F2690),"x","")</f>
        <v/>
      </c>
      <c r="Z2690" s="39" t="str">
        <f>IF(AND(OR(LEFT(TH!L2690,2)="15",LEFT(TH!M2690,2)="15"),TK!$E$7=TH!F2690),"x","")</f>
        <v/>
      </c>
      <c r="AA2690" s="39" t="str">
        <f>IF(AND(B2690&lt;=NKC!$N$8,B2690&gt;=NKC!$M$8),"x","")</f>
        <v/>
      </c>
      <c r="AB2690" s="821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14"/>
        <v/>
      </c>
      <c r="C2691" s="191"/>
      <c r="D2691" s="191"/>
      <c r="E2691" s="191"/>
      <c r="F2691" s="192"/>
      <c r="G2691" s="468"/>
      <c r="H2691" s="193"/>
      <c r="I2691" s="256"/>
      <c r="J2691" s="256"/>
      <c r="K2691" s="568"/>
      <c r="L2691" s="194"/>
      <c r="M2691" s="194"/>
      <c r="N2691" s="39" t="str">
        <f>IF(AND('331-CT'!$E$7=TH!H2691,OR(L2691="331",M2691="331")),"331",IF(AND(OR(L2691="131",M2691="131"),H2691='131-CT'!$E$7),"131",""))</f>
        <v/>
      </c>
      <c r="O2691" s="902" t="str">
        <f>IF(AND('341-CT'!$E$9=H2691,OR(LEFT(L2691,3)=$O$7,LEFT(M2691,3)=$O$7)),"x","")</f>
        <v/>
      </c>
      <c r="P2691" s="39" t="str">
        <f>IF(AND($B2691&gt;='111'!$N$11,$B2691&lt;='111'!$O$11,OR($L2691=$P$7,$M2691=$P$7)),"x","")</f>
        <v/>
      </c>
      <c r="Q2691" s="39" t="str">
        <f>IF(AND($L2691=$P$7,$B2691&lt;'111'!$N$11),"x","")</f>
        <v/>
      </c>
      <c r="R2691" s="39" t="str">
        <f>IF(AND($M2691=$P$7,$B2691&lt;'111'!$N$11),"x","")</f>
        <v/>
      </c>
      <c r="S2691" s="39" t="str">
        <f>IF(ISERROR(FIND('112'!$M$9,G2691,1)),"",IF((AND(FIND('112'!$M$9,G2691,1)&gt;=1,$B2691&gt;='112'!$N$8,$B2691&lt;='112'!$O$8,OR($L2691='112'!$I$6,$M2691='112'!$I$6))),"x",""))</f>
        <v/>
      </c>
      <c r="T2691" s="39" t="str">
        <f>IF(ISERROR(FIND('112'!$M$9,G2691,1)),"",IF((AND(LEFT(G2691,2)=LEFT('112'!$M$9,2),B2691&lt;'112'!$N$8,$L2691='112'!$I$6)),"x",""))</f>
        <v/>
      </c>
      <c r="U2691" s="39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39" t="str">
        <f>IF(OR(TH!L2691=TH!$W$7,M2691=TH!$W$7),"x","")</f>
        <v/>
      </c>
      <c r="X2691" s="39" t="str">
        <f>IF(AND(B2691&gt;='IN-NX'!$P$3,B2691&lt;='IN-NX'!$Q$3,'IN-NX'!$D$7=D2691,OR(LEFT(L2691,2)="15",AND(LEFT(M2691,2)&lt;&gt;"15",LEFT(M2691,2)&lt;&gt;"33"))),"x","")</f>
        <v/>
      </c>
      <c r="Y2691" s="39" t="str">
        <f>IF(AND(OR(LEFT(TH!L2691,2)="15",LEFT(TH!M2691,2)="15"),'152-CT'!$J$8=TH!F2691),"x","")</f>
        <v/>
      </c>
      <c r="Z2691" s="39" t="str">
        <f>IF(AND(OR(LEFT(TH!L2691,2)="15",LEFT(TH!M2691,2)="15"),TK!$E$7=TH!F2691),"x","")</f>
        <v/>
      </c>
      <c r="AA2691" s="39" t="str">
        <f>IF(AND(B2691&lt;=NKC!$N$8,B2691&gt;=NKC!$M$8),"x","")</f>
        <v/>
      </c>
      <c r="AB2691" s="821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14"/>
        <v/>
      </c>
      <c r="C2692" s="191"/>
      <c r="D2692" s="191"/>
      <c r="E2692" s="191"/>
      <c r="F2692" s="192"/>
      <c r="G2692" s="468"/>
      <c r="H2692" s="193"/>
      <c r="I2692" s="256"/>
      <c r="J2692" s="256"/>
      <c r="K2692" s="568"/>
      <c r="L2692" s="194"/>
      <c r="M2692" s="194"/>
      <c r="N2692" s="39" t="str">
        <f>IF(AND('331-CT'!$E$7=TH!H2692,OR(L2692="331",M2692="331")),"331",IF(AND(OR(L2692="131",M2692="131"),H2692='131-CT'!$E$7),"131",""))</f>
        <v/>
      </c>
      <c r="O2692" s="902" t="str">
        <f>IF(AND('341-CT'!$E$9=H2692,OR(LEFT(L2692,3)=$O$7,LEFT(M2692,3)=$O$7)),"x","")</f>
        <v/>
      </c>
      <c r="P2692" s="39" t="str">
        <f>IF(AND($B2692&gt;='111'!$N$11,$B2692&lt;='111'!$O$11,OR($L2692=$P$7,$M2692=$P$7)),"x","")</f>
        <v/>
      </c>
      <c r="Q2692" s="39" t="str">
        <f>IF(AND($L2692=$P$7,$B2692&lt;'111'!$N$11),"x","")</f>
        <v/>
      </c>
      <c r="R2692" s="39" t="str">
        <f>IF(AND($M2692=$P$7,$B2692&lt;'111'!$N$11),"x","")</f>
        <v/>
      </c>
      <c r="S2692" s="39" t="str">
        <f>IF(ISERROR(FIND('112'!$M$9,G2692,1)),"",IF((AND(FIND('112'!$M$9,G2692,1)&gt;=1,$B2692&gt;='112'!$N$8,$B2692&lt;='112'!$O$8,OR($L2692='112'!$I$6,$M2692='112'!$I$6))),"x",""))</f>
        <v/>
      </c>
      <c r="T2692" s="39" t="str">
        <f>IF(ISERROR(FIND('112'!$M$9,G2692,1)),"",IF((AND(LEFT(G2692,2)=LEFT('112'!$M$9,2),B2692&lt;'112'!$N$8,$L2692='112'!$I$6)),"x",""))</f>
        <v/>
      </c>
      <c r="U2692" s="39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39" t="str">
        <f>IF(OR(TH!L2692=TH!$W$7,M2692=TH!$W$7),"x","")</f>
        <v/>
      </c>
      <c r="X2692" s="39" t="str">
        <f>IF(AND(B2692&gt;='IN-NX'!$P$3,B2692&lt;='IN-NX'!$Q$3,'IN-NX'!$D$7=D2692,OR(LEFT(L2692,2)="15",AND(LEFT(M2692,2)&lt;&gt;"15",LEFT(M2692,2)&lt;&gt;"33"))),"x","")</f>
        <v/>
      </c>
      <c r="Y2692" s="39" t="str">
        <f>IF(AND(OR(LEFT(TH!L2692,2)="15",LEFT(TH!M2692,2)="15"),'152-CT'!$J$8=TH!F2692),"x","")</f>
        <v/>
      </c>
      <c r="Z2692" s="39" t="str">
        <f>IF(AND(OR(LEFT(TH!L2692,2)="15",LEFT(TH!M2692,2)="15"),TK!$E$7=TH!F2692),"x","")</f>
        <v/>
      </c>
      <c r="AA2692" s="39" t="str">
        <f>IF(AND(B2692&lt;=NKC!$N$8,B2692&gt;=NKC!$M$8),"x","")</f>
        <v/>
      </c>
      <c r="AB2692" s="821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14"/>
        <v/>
      </c>
      <c r="C2693" s="191"/>
      <c r="D2693" s="191"/>
      <c r="E2693" s="191"/>
      <c r="F2693" s="192"/>
      <c r="G2693" s="468"/>
      <c r="H2693" s="193"/>
      <c r="I2693" s="256"/>
      <c r="J2693" s="256"/>
      <c r="K2693" s="568"/>
      <c r="L2693" s="194"/>
      <c r="M2693" s="194"/>
      <c r="N2693" s="39" t="str">
        <f>IF(AND('331-CT'!$E$7=TH!H2693,OR(L2693="331",M2693="331")),"331",IF(AND(OR(L2693="131",M2693="131"),H2693='131-CT'!$E$7),"131",""))</f>
        <v/>
      </c>
      <c r="O2693" s="902" t="str">
        <f>IF(AND('341-CT'!$E$9=H2693,OR(LEFT(L2693,3)=$O$7,LEFT(M2693,3)=$O$7)),"x","")</f>
        <v/>
      </c>
      <c r="P2693" s="39" t="str">
        <f>IF(AND($B2693&gt;='111'!$N$11,$B2693&lt;='111'!$O$11,OR($L2693=$P$7,$M2693=$P$7)),"x","")</f>
        <v/>
      </c>
      <c r="Q2693" s="39" t="str">
        <f>IF(AND($L2693=$P$7,$B2693&lt;'111'!$N$11),"x","")</f>
        <v/>
      </c>
      <c r="R2693" s="39" t="str">
        <f>IF(AND($M2693=$P$7,$B2693&lt;'111'!$N$11),"x","")</f>
        <v/>
      </c>
      <c r="S2693" s="39" t="str">
        <f>IF(ISERROR(FIND('112'!$M$9,G2693,1)),"",IF((AND(FIND('112'!$M$9,G2693,1)&gt;=1,$B2693&gt;='112'!$N$8,$B2693&lt;='112'!$O$8,OR($L2693='112'!$I$6,$M2693='112'!$I$6))),"x",""))</f>
        <v/>
      </c>
      <c r="T2693" s="39" t="str">
        <f>IF(ISERROR(FIND('112'!$M$9,G2693,1)),"",IF((AND(LEFT(G2693,2)=LEFT('112'!$M$9,2),B2693&lt;'112'!$N$8,$L2693='112'!$I$6)),"x",""))</f>
        <v/>
      </c>
      <c r="U2693" s="39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39" t="str">
        <f>IF(OR(TH!L2693=TH!$W$7,M2693=TH!$W$7),"x","")</f>
        <v/>
      </c>
      <c r="X2693" s="39" t="str">
        <f>IF(AND(B2693&gt;='IN-NX'!$P$3,B2693&lt;='IN-NX'!$Q$3,'IN-NX'!$D$7=D2693,OR(LEFT(L2693,2)="15",AND(LEFT(M2693,2)&lt;&gt;"15",LEFT(M2693,2)&lt;&gt;"33"))),"x","")</f>
        <v/>
      </c>
      <c r="Y2693" s="39" t="str">
        <f>IF(AND(OR(LEFT(TH!L2693,2)="15",LEFT(TH!M2693,2)="15"),'152-CT'!$J$8=TH!F2693),"x","")</f>
        <v/>
      </c>
      <c r="Z2693" s="39" t="str">
        <f>IF(AND(OR(LEFT(TH!L2693,2)="15",LEFT(TH!M2693,2)="15"),TK!$E$7=TH!F2693),"x","")</f>
        <v/>
      </c>
      <c r="AA2693" s="39" t="str">
        <f>IF(AND(B2693&lt;=NKC!$N$8,B2693&gt;=NKC!$M$8),"x","")</f>
        <v/>
      </c>
      <c r="AB2693" s="821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14"/>
        <v/>
      </c>
      <c r="C2694" s="191"/>
      <c r="D2694" s="191"/>
      <c r="E2694" s="191"/>
      <c r="F2694" s="192"/>
      <c r="G2694" s="468"/>
      <c r="H2694" s="193"/>
      <c r="I2694" s="256"/>
      <c r="J2694" s="256"/>
      <c r="K2694" s="568"/>
      <c r="L2694" s="194"/>
      <c r="M2694" s="194"/>
      <c r="N2694" s="39" t="str">
        <f>IF(AND('331-CT'!$E$7=TH!H2694,OR(L2694="331",M2694="331")),"331",IF(AND(OR(L2694="131",M2694="131"),H2694='131-CT'!$E$7),"131",""))</f>
        <v/>
      </c>
      <c r="O2694" s="902" t="str">
        <f>IF(AND('341-CT'!$E$9=H2694,OR(LEFT(L2694,3)=$O$7,LEFT(M2694,3)=$O$7)),"x","")</f>
        <v/>
      </c>
      <c r="P2694" s="39" t="str">
        <f>IF(AND($B2694&gt;='111'!$N$11,$B2694&lt;='111'!$O$11,OR($L2694=$P$7,$M2694=$P$7)),"x","")</f>
        <v/>
      </c>
      <c r="Q2694" s="39" t="str">
        <f>IF(AND($L2694=$P$7,$B2694&lt;'111'!$N$11),"x","")</f>
        <v/>
      </c>
      <c r="R2694" s="39" t="str">
        <f>IF(AND($M2694=$P$7,$B2694&lt;'111'!$N$11),"x","")</f>
        <v/>
      </c>
      <c r="S2694" s="39" t="str">
        <f>IF(ISERROR(FIND('112'!$M$9,G2694,1)),"",IF((AND(FIND('112'!$M$9,G2694,1)&gt;=1,$B2694&gt;='112'!$N$8,$B2694&lt;='112'!$O$8,OR($L2694='112'!$I$6,$M2694='112'!$I$6))),"x",""))</f>
        <v/>
      </c>
      <c r="T2694" s="39" t="str">
        <f>IF(ISERROR(FIND('112'!$M$9,G2694,1)),"",IF((AND(LEFT(G2694,2)=LEFT('112'!$M$9,2),B2694&lt;'112'!$N$8,$L2694='112'!$I$6)),"x",""))</f>
        <v/>
      </c>
      <c r="U2694" s="39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39" t="str">
        <f>IF(OR(TH!L2694=TH!$W$7,M2694=TH!$W$7),"x","")</f>
        <v/>
      </c>
      <c r="X2694" s="39" t="str">
        <f>IF(AND(B2694&gt;='IN-NX'!$P$3,B2694&lt;='IN-NX'!$Q$3,'IN-NX'!$D$7=D2694,OR(LEFT(L2694,2)="15",AND(LEFT(M2694,2)&lt;&gt;"15",LEFT(M2694,2)&lt;&gt;"33"))),"x","")</f>
        <v/>
      </c>
      <c r="Y2694" s="39" t="str">
        <f>IF(AND(OR(LEFT(TH!L2694,2)="15",LEFT(TH!M2694,2)="15"),'152-CT'!$J$8=TH!F2694),"x","")</f>
        <v/>
      </c>
      <c r="Z2694" s="39" t="str">
        <f>IF(AND(OR(LEFT(TH!L2694,2)="15",LEFT(TH!M2694,2)="15"),TK!$E$7=TH!F2694),"x","")</f>
        <v/>
      </c>
      <c r="AA2694" s="39" t="str">
        <f>IF(AND(B2694&lt;=NKC!$N$8,B2694&gt;=NKC!$M$8),"x","")</f>
        <v/>
      </c>
      <c r="AB2694" s="821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14"/>
        <v/>
      </c>
      <c r="C2695" s="191"/>
      <c r="D2695" s="191"/>
      <c r="E2695" s="191"/>
      <c r="F2695" s="192"/>
      <c r="G2695" s="468"/>
      <c r="H2695" s="193"/>
      <c r="I2695" s="256"/>
      <c r="J2695" s="256"/>
      <c r="K2695" s="568"/>
      <c r="L2695" s="194"/>
      <c r="M2695" s="194"/>
      <c r="N2695" s="39" t="str">
        <f>IF(AND('331-CT'!$E$7=TH!H2695,OR(L2695="331",M2695="331")),"331",IF(AND(OR(L2695="131",M2695="131"),H2695='131-CT'!$E$7),"131",""))</f>
        <v/>
      </c>
      <c r="O2695" s="902" t="str">
        <f>IF(AND('341-CT'!$E$9=H2695,OR(LEFT(L2695,3)=$O$7,LEFT(M2695,3)=$O$7)),"x","")</f>
        <v/>
      </c>
      <c r="P2695" s="39" t="str">
        <f>IF(AND($B2695&gt;='111'!$N$11,$B2695&lt;='111'!$O$11,OR($L2695=$P$7,$M2695=$P$7)),"x","")</f>
        <v/>
      </c>
      <c r="Q2695" s="39" t="str">
        <f>IF(AND($L2695=$P$7,$B2695&lt;'111'!$N$11),"x","")</f>
        <v/>
      </c>
      <c r="R2695" s="39" t="str">
        <f>IF(AND($M2695=$P$7,$B2695&lt;'111'!$N$11),"x","")</f>
        <v/>
      </c>
      <c r="S2695" s="39" t="str">
        <f>IF(ISERROR(FIND('112'!$M$9,G2695,1)),"",IF((AND(FIND('112'!$M$9,G2695,1)&gt;=1,$B2695&gt;='112'!$N$8,$B2695&lt;='112'!$O$8,OR($L2695='112'!$I$6,$M2695='112'!$I$6))),"x",""))</f>
        <v/>
      </c>
      <c r="T2695" s="39" t="str">
        <f>IF(ISERROR(FIND('112'!$M$9,G2695,1)),"",IF((AND(LEFT(G2695,2)=LEFT('112'!$M$9,2),B2695&lt;'112'!$N$8,$L2695='112'!$I$6)),"x",""))</f>
        <v/>
      </c>
      <c r="U2695" s="39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39" t="str">
        <f>IF(OR(TH!L2695=TH!$W$7,M2695=TH!$W$7),"x","")</f>
        <v/>
      </c>
      <c r="X2695" s="39" t="str">
        <f>IF(AND(B2695&gt;='IN-NX'!$P$3,B2695&lt;='IN-NX'!$Q$3,'IN-NX'!$D$7=D2695,OR(LEFT(L2695,2)="15",AND(LEFT(M2695,2)&lt;&gt;"15",LEFT(M2695,2)&lt;&gt;"33"))),"x","")</f>
        <v/>
      </c>
      <c r="Y2695" s="39" t="str">
        <f>IF(AND(OR(LEFT(TH!L2695,2)="15",LEFT(TH!M2695,2)="15"),'152-CT'!$J$8=TH!F2695),"x","")</f>
        <v/>
      </c>
      <c r="Z2695" s="39" t="str">
        <f>IF(AND(OR(LEFT(TH!L2695,2)="15",LEFT(TH!M2695,2)="15"),TK!$E$7=TH!F2695),"x","")</f>
        <v/>
      </c>
      <c r="AA2695" s="39" t="str">
        <f>IF(AND(B2695&lt;=NKC!$N$8,B2695&gt;=NKC!$M$8),"x","")</f>
        <v/>
      </c>
      <c r="AB2695" s="821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14"/>
        <v/>
      </c>
      <c r="C2696" s="191"/>
      <c r="D2696" s="191"/>
      <c r="E2696" s="191"/>
      <c r="F2696" s="192"/>
      <c r="G2696" s="468"/>
      <c r="H2696" s="193"/>
      <c r="I2696" s="256"/>
      <c r="J2696" s="256"/>
      <c r="K2696" s="568"/>
      <c r="L2696" s="194"/>
      <c r="M2696" s="194"/>
      <c r="N2696" s="39" t="str">
        <f>IF(AND('331-CT'!$E$7=TH!H2696,OR(L2696="331",M2696="331")),"331",IF(AND(OR(L2696="131",M2696="131"),H2696='131-CT'!$E$7),"131",""))</f>
        <v/>
      </c>
      <c r="O2696" s="902" t="str">
        <f>IF(AND('341-CT'!$E$9=H2696,OR(LEFT(L2696,3)=$O$7,LEFT(M2696,3)=$O$7)),"x","")</f>
        <v/>
      </c>
      <c r="P2696" s="39" t="str">
        <f>IF(AND($B2696&gt;='111'!$N$11,$B2696&lt;='111'!$O$11,OR($L2696=$P$7,$M2696=$P$7)),"x","")</f>
        <v/>
      </c>
      <c r="Q2696" s="39" t="str">
        <f>IF(AND($L2696=$P$7,$B2696&lt;'111'!$N$11),"x","")</f>
        <v/>
      </c>
      <c r="R2696" s="39" t="str">
        <f>IF(AND($M2696=$P$7,$B2696&lt;'111'!$N$11),"x","")</f>
        <v/>
      </c>
      <c r="S2696" s="39" t="str">
        <f>IF(ISERROR(FIND('112'!$M$9,G2696,1)),"",IF((AND(FIND('112'!$M$9,G2696,1)&gt;=1,$B2696&gt;='112'!$N$8,$B2696&lt;='112'!$O$8,OR($L2696='112'!$I$6,$M2696='112'!$I$6))),"x",""))</f>
        <v/>
      </c>
      <c r="T2696" s="39" t="str">
        <f>IF(ISERROR(FIND('112'!$M$9,G2696,1)),"",IF((AND(LEFT(G2696,2)=LEFT('112'!$M$9,2),B2696&lt;'112'!$N$8,$L2696='112'!$I$6)),"x",""))</f>
        <v/>
      </c>
      <c r="U2696" s="39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39" t="str">
        <f>IF(OR(TH!L2696=TH!$W$7,M2696=TH!$W$7),"x","")</f>
        <v/>
      </c>
      <c r="X2696" s="39" t="str">
        <f>IF(AND(B2696&gt;='IN-NX'!$P$3,B2696&lt;='IN-NX'!$Q$3,'IN-NX'!$D$7=D2696,OR(LEFT(L2696,2)="15",AND(LEFT(M2696,2)&lt;&gt;"15",LEFT(M2696,2)&lt;&gt;"33"))),"x","")</f>
        <v/>
      </c>
      <c r="Y2696" s="39" t="str">
        <f>IF(AND(OR(LEFT(TH!L2696,2)="15",LEFT(TH!M2696,2)="15"),'152-CT'!$J$8=TH!F2696),"x","")</f>
        <v/>
      </c>
      <c r="Z2696" s="39" t="str">
        <f>IF(AND(OR(LEFT(TH!L2696,2)="15",LEFT(TH!M2696,2)="15"),TK!$E$7=TH!F2696),"x","")</f>
        <v/>
      </c>
      <c r="AA2696" s="39" t="str">
        <f>IF(AND(B2696&lt;=NKC!$N$8,B2696&gt;=NKC!$M$8),"x","")</f>
        <v/>
      </c>
      <c r="AB2696" s="821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14"/>
        <v/>
      </c>
      <c r="C2697" s="191"/>
      <c r="D2697" s="191"/>
      <c r="E2697" s="191"/>
      <c r="F2697" s="192"/>
      <c r="G2697" s="468"/>
      <c r="H2697" s="193"/>
      <c r="I2697" s="256"/>
      <c r="J2697" s="256"/>
      <c r="K2697" s="568"/>
      <c r="L2697" s="194"/>
      <c r="M2697" s="194"/>
      <c r="N2697" s="39" t="str">
        <f>IF(AND('331-CT'!$E$7=TH!H2697,OR(L2697="331",M2697="331")),"331",IF(AND(OR(L2697="131",M2697="131"),H2697='131-CT'!$E$7),"131",""))</f>
        <v/>
      </c>
      <c r="O2697" s="902" t="str">
        <f>IF(AND('341-CT'!$E$9=H2697,OR(LEFT(L2697,3)=$O$7,LEFT(M2697,3)=$O$7)),"x","")</f>
        <v/>
      </c>
      <c r="P2697" s="39" t="str">
        <f>IF(AND($B2697&gt;='111'!$N$11,$B2697&lt;='111'!$O$11,OR($L2697=$P$7,$M2697=$P$7)),"x","")</f>
        <v/>
      </c>
      <c r="Q2697" s="39" t="str">
        <f>IF(AND($L2697=$P$7,$B2697&lt;'111'!$N$11),"x","")</f>
        <v/>
      </c>
      <c r="R2697" s="39" t="str">
        <f>IF(AND($M2697=$P$7,$B2697&lt;'111'!$N$11),"x","")</f>
        <v/>
      </c>
      <c r="S2697" s="39" t="str">
        <f>IF(ISERROR(FIND('112'!$M$9,G2697,1)),"",IF((AND(FIND('112'!$M$9,G2697,1)&gt;=1,$B2697&gt;='112'!$N$8,$B2697&lt;='112'!$O$8,OR($L2697='112'!$I$6,$M2697='112'!$I$6))),"x",""))</f>
        <v/>
      </c>
      <c r="T2697" s="39" t="str">
        <f>IF(ISERROR(FIND('112'!$M$9,G2697,1)),"",IF((AND(LEFT(G2697,2)=LEFT('112'!$M$9,2),B2697&lt;'112'!$N$8,$L2697='112'!$I$6)),"x",""))</f>
        <v/>
      </c>
      <c r="U2697" s="39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39" t="str">
        <f>IF(OR(TH!L2697=TH!$W$7,M2697=TH!$W$7),"x","")</f>
        <v/>
      </c>
      <c r="X2697" s="39" t="str">
        <f>IF(AND(B2697&gt;='IN-NX'!$P$3,B2697&lt;='IN-NX'!$Q$3,'IN-NX'!$D$7=D2697,OR(LEFT(L2697,2)="15",AND(LEFT(M2697,2)&lt;&gt;"15",LEFT(M2697,2)&lt;&gt;"33"))),"x","")</f>
        <v/>
      </c>
      <c r="Y2697" s="39" t="str">
        <f>IF(AND(OR(LEFT(TH!L2697,2)="15",LEFT(TH!M2697,2)="15"),'152-CT'!$J$8=TH!F2697),"x","")</f>
        <v/>
      </c>
      <c r="Z2697" s="39" t="str">
        <f>IF(AND(OR(LEFT(TH!L2697,2)="15",LEFT(TH!M2697,2)="15"),TK!$E$7=TH!F2697),"x","")</f>
        <v/>
      </c>
      <c r="AA2697" s="39" t="str">
        <f>IF(AND(B2697&lt;=NKC!$N$8,B2697&gt;=NKC!$M$8),"x","")</f>
        <v/>
      </c>
      <c r="AB2697" s="821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14"/>
        <v/>
      </c>
      <c r="C2698" s="191"/>
      <c r="D2698" s="191"/>
      <c r="E2698" s="191"/>
      <c r="F2698" s="192"/>
      <c r="G2698" s="468"/>
      <c r="H2698" s="193"/>
      <c r="I2698" s="256"/>
      <c r="J2698" s="256"/>
      <c r="K2698" s="568"/>
      <c r="L2698" s="194"/>
      <c r="M2698" s="194"/>
      <c r="N2698" s="39" t="str">
        <f>IF(AND('331-CT'!$E$7=TH!H2698,OR(L2698="331",M2698="331")),"331",IF(AND(OR(L2698="131",M2698="131"),H2698='131-CT'!$E$7),"131",""))</f>
        <v/>
      </c>
      <c r="O2698" s="902" t="str">
        <f>IF(AND('341-CT'!$E$9=H2698,OR(LEFT(L2698,3)=$O$7,LEFT(M2698,3)=$O$7)),"x","")</f>
        <v/>
      </c>
      <c r="P2698" s="39" t="str">
        <f>IF(AND($B2698&gt;='111'!$N$11,$B2698&lt;='111'!$O$11,OR($L2698=$P$7,$M2698=$P$7)),"x","")</f>
        <v/>
      </c>
      <c r="Q2698" s="39" t="str">
        <f>IF(AND($L2698=$P$7,$B2698&lt;'111'!$N$11),"x","")</f>
        <v/>
      </c>
      <c r="R2698" s="39" t="str">
        <f>IF(AND($M2698=$P$7,$B2698&lt;'111'!$N$11),"x","")</f>
        <v/>
      </c>
      <c r="S2698" s="39" t="str">
        <f>IF(ISERROR(FIND('112'!$M$9,G2698,1)),"",IF((AND(FIND('112'!$M$9,G2698,1)&gt;=1,$B2698&gt;='112'!$N$8,$B2698&lt;='112'!$O$8,OR($L2698='112'!$I$6,$M2698='112'!$I$6))),"x",""))</f>
        <v/>
      </c>
      <c r="T2698" s="39" t="str">
        <f>IF(ISERROR(FIND('112'!$M$9,G2698,1)),"",IF((AND(LEFT(G2698,2)=LEFT('112'!$M$9,2),B2698&lt;'112'!$N$8,$L2698='112'!$I$6)),"x",""))</f>
        <v/>
      </c>
      <c r="U2698" s="39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39" t="str">
        <f>IF(OR(TH!L2698=TH!$W$7,M2698=TH!$W$7),"x","")</f>
        <v/>
      </c>
      <c r="X2698" s="39" t="str">
        <f>IF(AND(B2698&gt;='IN-NX'!$P$3,B2698&lt;='IN-NX'!$Q$3,'IN-NX'!$D$7=D2698,OR(LEFT(L2698,2)="15",AND(LEFT(M2698,2)&lt;&gt;"15",LEFT(M2698,2)&lt;&gt;"33"))),"x","")</f>
        <v/>
      </c>
      <c r="Y2698" s="39" t="str">
        <f>IF(AND(OR(LEFT(TH!L2698,2)="15",LEFT(TH!M2698,2)="15"),'152-CT'!$J$8=TH!F2698),"x","")</f>
        <v/>
      </c>
      <c r="Z2698" s="39" t="str">
        <f>IF(AND(OR(LEFT(TH!L2698,2)="15",LEFT(TH!M2698,2)="15"),TK!$E$7=TH!F2698),"x","")</f>
        <v/>
      </c>
      <c r="AA2698" s="39" t="str">
        <f>IF(AND(B2698&lt;=NKC!$N$8,B2698&gt;=NKC!$M$8),"x","")</f>
        <v/>
      </c>
      <c r="AB2698" s="821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14"/>
        <v/>
      </c>
      <c r="C2699" s="191"/>
      <c r="D2699" s="191"/>
      <c r="E2699" s="191"/>
      <c r="F2699" s="192"/>
      <c r="G2699" s="468"/>
      <c r="H2699" s="193"/>
      <c r="I2699" s="256"/>
      <c r="J2699" s="256"/>
      <c r="K2699" s="568"/>
      <c r="L2699" s="194"/>
      <c r="M2699" s="194"/>
      <c r="N2699" s="39" t="str">
        <f>IF(AND('331-CT'!$E$7=TH!H2699,OR(L2699="331",M2699="331")),"331",IF(AND(OR(L2699="131",M2699="131"),H2699='131-CT'!$E$7),"131",""))</f>
        <v/>
      </c>
      <c r="O2699" s="902" t="str">
        <f>IF(AND('341-CT'!$E$9=H2699,OR(LEFT(L2699,3)=$O$7,LEFT(M2699,3)=$O$7)),"x","")</f>
        <v/>
      </c>
      <c r="P2699" s="39" t="str">
        <f>IF(AND($B2699&gt;='111'!$N$11,$B2699&lt;='111'!$O$11,OR($L2699=$P$7,$M2699=$P$7)),"x","")</f>
        <v/>
      </c>
      <c r="Q2699" s="39" t="str">
        <f>IF(AND($L2699=$P$7,$B2699&lt;'111'!$N$11),"x","")</f>
        <v/>
      </c>
      <c r="R2699" s="39" t="str">
        <f>IF(AND($M2699=$P$7,$B2699&lt;'111'!$N$11),"x","")</f>
        <v/>
      </c>
      <c r="S2699" s="39" t="str">
        <f>IF(ISERROR(FIND('112'!$M$9,G2699,1)),"",IF((AND(FIND('112'!$M$9,G2699,1)&gt;=1,$B2699&gt;='112'!$N$8,$B2699&lt;='112'!$O$8,OR($L2699='112'!$I$6,$M2699='112'!$I$6))),"x",""))</f>
        <v/>
      </c>
      <c r="T2699" s="39" t="str">
        <f>IF(ISERROR(FIND('112'!$M$9,G2699,1)),"",IF((AND(LEFT(G2699,2)=LEFT('112'!$M$9,2),B2699&lt;'112'!$N$8,$L2699='112'!$I$6)),"x",""))</f>
        <v/>
      </c>
      <c r="U2699" s="39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39" t="str">
        <f>IF(OR(TH!L2699=TH!$W$7,M2699=TH!$W$7),"x","")</f>
        <v/>
      </c>
      <c r="X2699" s="39" t="str">
        <f>IF(AND(B2699&gt;='IN-NX'!$P$3,B2699&lt;='IN-NX'!$Q$3,'IN-NX'!$D$7=D2699,OR(LEFT(L2699,2)="15",AND(LEFT(M2699,2)&lt;&gt;"15",LEFT(M2699,2)&lt;&gt;"33"))),"x","")</f>
        <v/>
      </c>
      <c r="Y2699" s="39" t="str">
        <f>IF(AND(OR(LEFT(TH!L2699,2)="15",LEFT(TH!M2699,2)="15"),'152-CT'!$J$8=TH!F2699),"x","")</f>
        <v/>
      </c>
      <c r="Z2699" s="39" t="str">
        <f>IF(AND(OR(LEFT(TH!L2699,2)="15",LEFT(TH!M2699,2)="15"),TK!$E$7=TH!F2699),"x","")</f>
        <v/>
      </c>
      <c r="AA2699" s="39" t="str">
        <f>IF(AND(B2699&lt;=NKC!$N$8,B2699&gt;=NKC!$M$8),"x","")</f>
        <v/>
      </c>
      <c r="AB2699" s="821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14"/>
        <v/>
      </c>
      <c r="C2700" s="191"/>
      <c r="D2700" s="191"/>
      <c r="E2700" s="191"/>
      <c r="F2700" s="192"/>
      <c r="G2700" s="468"/>
      <c r="H2700" s="193"/>
      <c r="I2700" s="256"/>
      <c r="J2700" s="256"/>
      <c r="K2700" s="568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902" t="str">
        <f>IF(AND('341-CT'!$E$9=H2700,OR(LEFT(L2700,3)=$O$7,LEFT(M2700,3)=$O$7)),"x","")</f>
        <v/>
      </c>
      <c r="P2700" s="39" t="str">
        <f>IF(AND($B2700&gt;='111'!$N$11,$B2700&lt;='111'!$O$11,OR($L2700=$P$7,$M2700=$P$7)),"x","")</f>
        <v/>
      </c>
      <c r="Q2700" s="39" t="str">
        <f>IF(AND($L2700=$P$7,$B2700&lt;'111'!$N$11),"x","")</f>
        <v/>
      </c>
      <c r="R2700" s="39" t="str">
        <f>IF(AND($M2700=$P$7,$B2700&lt;'111'!$N$11),"x","")</f>
        <v/>
      </c>
      <c r="S2700" s="39" t="str">
        <f>IF(ISERROR(FIND('112'!$M$9,G2700,1)),"",IF((AND(FIND('112'!$M$9,G2700,1)&gt;=1,$B2700&gt;='112'!$N$8,$B2700&lt;='112'!$O$8,OR($L2700='112'!$I$6,$M2700='112'!$I$6))),"x",""))</f>
        <v/>
      </c>
      <c r="T2700" s="39" t="str">
        <f>IF(ISERROR(FIND('112'!$M$9,G2700,1)),"",IF((AND(LEFT(G2700,2)=LEFT('112'!$M$9,2),B2700&lt;'112'!$N$8,$L2700='112'!$I$6)),"x",""))</f>
        <v/>
      </c>
      <c r="U2700" s="39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39" t="str">
        <f>IF(OR(TH!L2700=TH!$W$7,M2700=TH!$W$7),"x","")</f>
        <v/>
      </c>
      <c r="X2700" s="39" t="str">
        <f>IF(AND(B2700&gt;='IN-NX'!$P$3,B2700&lt;='IN-NX'!$Q$3,'IN-NX'!$D$7=D2700,OR(LEFT(L2700,2)="15",AND(LEFT(M2700,2)&lt;&gt;"15",LEFT(M2700,2)&lt;&gt;"33"))),"x","")</f>
        <v/>
      </c>
      <c r="Y2700" s="39" t="str">
        <f>IF(AND(OR(LEFT(TH!L2700,2)="15",LEFT(TH!M2700,2)="15"),'152-CT'!$J$8=TH!F2700),"x","")</f>
        <v/>
      </c>
      <c r="Z2700" s="39" t="str">
        <f>IF(AND(OR(LEFT(TH!L2700,2)="15",LEFT(TH!M2700,2)="15"),TK!$E$7=TH!F2700),"x","")</f>
        <v/>
      </c>
      <c r="AA2700" s="39" t="str">
        <f>IF(AND(B2700&lt;=NKC!$N$8,B2700&gt;=NKC!$M$8),"x","")</f>
        <v/>
      </c>
      <c r="AB2700" s="821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14"/>
        <v/>
      </c>
      <c r="C2701" s="191"/>
      <c r="D2701" s="191"/>
      <c r="E2701" s="191"/>
      <c r="F2701" s="192"/>
      <c r="G2701" s="468"/>
      <c r="H2701" s="193"/>
      <c r="I2701" s="256"/>
      <c r="J2701" s="256"/>
      <c r="K2701" s="568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902" t="str">
        <f>IF(AND('341-CT'!$E$9=H2701,OR(LEFT(L2701,3)=$O$7,LEFT(M2701,3)=$O$7)),"x","")</f>
        <v/>
      </c>
      <c r="P2701" s="39" t="str">
        <f>IF(AND($B2701&gt;='111'!$N$11,$B2701&lt;='111'!$O$11,OR($L2701=$P$7,$M2701=$P$7)),"x","")</f>
        <v/>
      </c>
      <c r="Q2701" s="39" t="str">
        <f>IF(AND($L2701=$P$7,$B2701&lt;'111'!$N$11),"x","")</f>
        <v/>
      </c>
      <c r="R2701" s="39" t="str">
        <f>IF(AND($M2701=$P$7,$B2701&lt;'111'!$N$11),"x","")</f>
        <v/>
      </c>
      <c r="S2701" s="39" t="str">
        <f>IF(ISERROR(FIND('112'!$M$9,G2701,1)),"",IF((AND(FIND('112'!$M$9,G2701,1)&gt;=1,$B2701&gt;='112'!$N$8,$B2701&lt;='112'!$O$8,OR($L2701='112'!$I$6,$M2701='112'!$I$6))),"x",""))</f>
        <v/>
      </c>
      <c r="T2701" s="39" t="str">
        <f>IF(ISERROR(FIND('112'!$M$9,G2701,1)),"",IF((AND(LEFT(G2701,2)=LEFT('112'!$M$9,2),B2701&lt;'112'!$N$8,$L2701='112'!$I$6)),"x",""))</f>
        <v/>
      </c>
      <c r="U2701" s="39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39" t="str">
        <f>IF(OR(TH!L2701=TH!$W$7,M2701=TH!$W$7),"x","")</f>
        <v/>
      </c>
      <c r="X2701" s="39" t="str">
        <f>IF(AND(B2701&gt;='IN-NX'!$P$3,B2701&lt;='IN-NX'!$Q$3,'IN-NX'!$D$7=D2701,OR(LEFT(L2701,2)="15",AND(LEFT(M2701,2)&lt;&gt;"15",LEFT(M2701,2)&lt;&gt;"33"))),"x","")</f>
        <v/>
      </c>
      <c r="Y2701" s="39" t="str">
        <f>IF(AND(OR(LEFT(TH!L2701,2)="15",LEFT(TH!M2701,2)="15"),'152-CT'!$J$8=TH!F2701),"x","")</f>
        <v/>
      </c>
      <c r="Z2701" s="39" t="str">
        <f>IF(AND(OR(LEFT(TH!L2701,2)="15",LEFT(TH!M2701,2)="15"),TK!$E$7=TH!F2701),"x","")</f>
        <v/>
      </c>
      <c r="AA2701" s="39" t="str">
        <f>IF(AND(B2701&lt;=NKC!$N$8,B2701&gt;=NKC!$M$8),"x","")</f>
        <v/>
      </c>
      <c r="AB2701" s="821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14"/>
        <v/>
      </c>
      <c r="C2702" s="191"/>
      <c r="D2702" s="191"/>
      <c r="E2702" s="191"/>
      <c r="F2702" s="192"/>
      <c r="G2702" s="468"/>
      <c r="H2702" s="193"/>
      <c r="I2702" s="256"/>
      <c r="J2702" s="256"/>
      <c r="K2702" s="568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902" t="str">
        <f>IF(AND('341-CT'!$E$9=H2702,OR(LEFT(L2702,3)=$O$7,LEFT(M2702,3)=$O$7)),"x","")</f>
        <v/>
      </c>
      <c r="P2702" s="39" t="str">
        <f>IF(AND($B2702&gt;='111'!$N$11,$B2702&lt;='111'!$O$11,OR($L2702=$P$7,$M2702=$P$7)),"x","")</f>
        <v/>
      </c>
      <c r="Q2702" s="39" t="str">
        <f>IF(AND($L2702=$P$7,$B2702&lt;'111'!$N$11),"x","")</f>
        <v/>
      </c>
      <c r="R2702" s="39" t="str">
        <f>IF(AND($M2702=$P$7,$B2702&lt;'111'!$N$11),"x","")</f>
        <v/>
      </c>
      <c r="S2702" s="39" t="str">
        <f>IF(ISERROR(FIND('112'!$M$9,G2702,1)),"",IF((AND(FIND('112'!$M$9,G2702,1)&gt;=1,$B2702&gt;='112'!$N$8,$B2702&lt;='112'!$O$8,OR($L2702='112'!$I$6,$M2702='112'!$I$6))),"x",""))</f>
        <v/>
      </c>
      <c r="T2702" s="39" t="str">
        <f>IF(ISERROR(FIND('112'!$M$9,G2702,1)),"",IF((AND(LEFT(G2702,2)=LEFT('112'!$M$9,2),B2702&lt;'112'!$N$8,$L2702='112'!$I$6)),"x",""))</f>
        <v/>
      </c>
      <c r="U2702" s="39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39" t="str">
        <f>IF(OR(TH!L2702=TH!$W$7,M2702=TH!$W$7),"x","")</f>
        <v/>
      </c>
      <c r="X2702" s="39" t="str">
        <f>IF(AND(B2702&gt;='IN-NX'!$P$3,B2702&lt;='IN-NX'!$Q$3,'IN-NX'!$D$7=D2702,OR(LEFT(L2702,2)="15",AND(LEFT(M2702,2)&lt;&gt;"15",LEFT(M2702,2)&lt;&gt;"33"))),"x","")</f>
        <v/>
      </c>
      <c r="Y2702" s="39" t="str">
        <f>IF(AND(OR(LEFT(TH!L2702,2)="15",LEFT(TH!M2702,2)="15"),'152-CT'!$J$8=TH!F2702),"x","")</f>
        <v/>
      </c>
      <c r="Z2702" s="39" t="str">
        <f>IF(AND(OR(LEFT(TH!L2702,2)="15",LEFT(TH!M2702,2)="15"),TK!$E$7=TH!F2702),"x","")</f>
        <v/>
      </c>
      <c r="AA2702" s="39" t="str">
        <f>IF(AND(B2702&lt;=NKC!$N$8,B2702&gt;=NKC!$M$8),"x","")</f>
        <v/>
      </c>
      <c r="AB2702" s="821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14"/>
        <v/>
      </c>
      <c r="C2703" s="191"/>
      <c r="D2703" s="191"/>
      <c r="E2703" s="191"/>
      <c r="F2703" s="192"/>
      <c r="G2703" s="468"/>
      <c r="H2703" s="193"/>
      <c r="I2703" s="256"/>
      <c r="J2703" s="256"/>
      <c r="K2703" s="568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902" t="str">
        <f>IF(AND('341-CT'!$E$9=H2703,OR(LEFT(L2703,3)=$O$7,LEFT(M2703,3)=$O$7)),"x","")</f>
        <v/>
      </c>
      <c r="P2703" s="39" t="str">
        <f>IF(AND($B2703&gt;='111'!$N$11,$B2703&lt;='111'!$O$11,OR($L2703=$P$7,$M2703=$P$7)),"x","")</f>
        <v/>
      </c>
      <c r="Q2703" s="39" t="str">
        <f>IF(AND($L2703=$P$7,$B2703&lt;'111'!$N$11),"x","")</f>
        <v/>
      </c>
      <c r="R2703" s="39" t="str">
        <f>IF(AND($M2703=$P$7,$B2703&lt;'111'!$N$11),"x","")</f>
        <v/>
      </c>
      <c r="S2703" s="39" t="str">
        <f>IF(ISERROR(FIND('112'!$M$9,G2703,1)),"",IF((AND(FIND('112'!$M$9,G2703,1)&gt;=1,$B2703&gt;='112'!$N$8,$B2703&lt;='112'!$O$8,OR($L2703='112'!$I$6,$M2703='112'!$I$6))),"x",""))</f>
        <v/>
      </c>
      <c r="T2703" s="39" t="str">
        <f>IF(ISERROR(FIND('112'!$M$9,G2703,1)),"",IF((AND(LEFT(G2703,2)=LEFT('112'!$M$9,2),B2703&lt;'112'!$N$8,$L2703='112'!$I$6)),"x",""))</f>
        <v/>
      </c>
      <c r="U2703" s="39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39" t="str">
        <f>IF(OR(TH!L2703=TH!$W$7,M2703=TH!$W$7),"x","")</f>
        <v/>
      </c>
      <c r="X2703" s="39" t="str">
        <f>IF(AND(B2703&gt;='IN-NX'!$P$3,B2703&lt;='IN-NX'!$Q$3,'IN-NX'!$D$7=D2703,OR(LEFT(L2703,2)="15",AND(LEFT(M2703,2)&lt;&gt;"15",LEFT(M2703,2)&lt;&gt;"33"))),"x","")</f>
        <v/>
      </c>
      <c r="Y2703" s="39" t="str">
        <f>IF(AND(OR(LEFT(TH!L2703,2)="15",LEFT(TH!M2703,2)="15"),'152-CT'!$J$8=TH!F2703),"x","")</f>
        <v/>
      </c>
      <c r="Z2703" s="39" t="str">
        <f>IF(AND(OR(LEFT(TH!L2703,2)="15",LEFT(TH!M2703,2)="15"),TK!$E$7=TH!F2703),"x","")</f>
        <v/>
      </c>
      <c r="AA2703" s="39" t="str">
        <f>IF(AND(B2703&lt;=NKC!$N$8,B2703&gt;=NKC!$M$8),"x","")</f>
        <v/>
      </c>
      <c r="AB2703" s="821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14"/>
        <v/>
      </c>
      <c r="C2704" s="191"/>
      <c r="D2704" s="191"/>
      <c r="E2704" s="191"/>
      <c r="F2704" s="192"/>
      <c r="G2704" s="468"/>
      <c r="H2704" s="193"/>
      <c r="I2704" s="256"/>
      <c r="J2704" s="256"/>
      <c r="K2704" s="568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902" t="str">
        <f>IF(AND('341-CT'!$E$9=H2704,OR(LEFT(L2704,3)=$O$7,LEFT(M2704,3)=$O$7)),"x","")</f>
        <v/>
      </c>
      <c r="P2704" s="39" t="str">
        <f>IF(AND($B2704&gt;='111'!$N$11,$B2704&lt;='111'!$O$11,OR($L2704=$P$7,$M2704=$P$7)),"x","")</f>
        <v/>
      </c>
      <c r="Q2704" s="39" t="str">
        <f>IF(AND($L2704=$P$7,$B2704&lt;'111'!$N$11),"x","")</f>
        <v/>
      </c>
      <c r="R2704" s="39" t="str">
        <f>IF(AND($M2704=$P$7,$B2704&lt;'111'!$N$11),"x","")</f>
        <v/>
      </c>
      <c r="S2704" s="39" t="str">
        <f>IF(ISERROR(FIND('112'!$M$9,G2704,1)),"",IF((AND(FIND('112'!$M$9,G2704,1)&gt;=1,$B2704&gt;='112'!$N$8,$B2704&lt;='112'!$O$8,OR($L2704='112'!$I$6,$M2704='112'!$I$6))),"x",""))</f>
        <v/>
      </c>
      <c r="T2704" s="39" t="str">
        <f>IF(ISERROR(FIND('112'!$M$9,G2704,1)),"",IF((AND(LEFT(G2704,2)=LEFT('112'!$M$9,2),B2704&lt;'112'!$N$8,$L2704='112'!$I$6)),"x",""))</f>
        <v/>
      </c>
      <c r="U2704" s="39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39" t="str">
        <f>IF(OR(TH!L2704=TH!$W$7,M2704=TH!$W$7),"x","")</f>
        <v/>
      </c>
      <c r="X2704" s="39" t="str">
        <f>IF(AND(B2704&gt;='IN-NX'!$P$3,B2704&lt;='IN-NX'!$Q$3,'IN-NX'!$D$7=D2704,OR(LEFT(L2704,2)="15",AND(LEFT(M2704,2)&lt;&gt;"15",LEFT(M2704,2)&lt;&gt;"33"))),"x","")</f>
        <v/>
      </c>
      <c r="Y2704" s="39" t="str">
        <f>IF(AND(OR(LEFT(TH!L2704,2)="15",LEFT(TH!M2704,2)="15"),'152-CT'!$J$8=TH!F2704),"x","")</f>
        <v/>
      </c>
      <c r="Z2704" s="39" t="str">
        <f>IF(AND(OR(LEFT(TH!L2704,2)="15",LEFT(TH!M2704,2)="15"),TK!$E$7=TH!F2704),"x","")</f>
        <v/>
      </c>
      <c r="AA2704" s="39" t="str">
        <f>IF(AND(B2704&lt;=NKC!$N$8,B2704&gt;=NKC!$M$8),"x","")</f>
        <v/>
      </c>
      <c r="AB2704" s="821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14"/>
        <v/>
      </c>
      <c r="C2705" s="191"/>
      <c r="D2705" s="191"/>
      <c r="E2705" s="191"/>
      <c r="F2705" s="192"/>
      <c r="G2705" s="468"/>
      <c r="H2705" s="193"/>
      <c r="I2705" s="256"/>
      <c r="J2705" s="256"/>
      <c r="K2705" s="568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902" t="str">
        <f>IF(AND('341-CT'!$E$9=H2705,OR(LEFT(L2705,3)=$O$7,LEFT(M2705,3)=$O$7)),"x","")</f>
        <v/>
      </c>
      <c r="P2705" s="39" t="str">
        <f>IF(AND($B2705&gt;='111'!$N$11,$B2705&lt;='111'!$O$11,OR($L2705=$P$7,$M2705=$P$7)),"x","")</f>
        <v/>
      </c>
      <c r="Q2705" s="39" t="str">
        <f>IF(AND($L2705=$P$7,$B2705&lt;'111'!$N$11),"x","")</f>
        <v/>
      </c>
      <c r="R2705" s="39" t="str">
        <f>IF(AND($M2705=$P$7,$B2705&lt;'111'!$N$11),"x","")</f>
        <v/>
      </c>
      <c r="S2705" s="39" t="str">
        <f>IF(ISERROR(FIND('112'!$M$9,G2705,1)),"",IF((AND(FIND('112'!$M$9,G2705,1)&gt;=1,$B2705&gt;='112'!$N$8,$B2705&lt;='112'!$O$8,OR($L2705='112'!$I$6,$M2705='112'!$I$6))),"x",""))</f>
        <v/>
      </c>
      <c r="T2705" s="39" t="str">
        <f>IF(ISERROR(FIND('112'!$M$9,G2705,1)),"",IF((AND(LEFT(G2705,2)=LEFT('112'!$M$9,2),B2705&lt;'112'!$N$8,$L2705='112'!$I$6)),"x",""))</f>
        <v/>
      </c>
      <c r="U2705" s="39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39" t="str">
        <f>IF(OR(TH!L2705=TH!$W$7,M2705=TH!$W$7),"x","")</f>
        <v/>
      </c>
      <c r="X2705" s="39" t="str">
        <f>IF(AND(B2705&gt;='IN-NX'!$P$3,B2705&lt;='IN-NX'!$Q$3,'IN-NX'!$D$7=D2705,OR(LEFT(L2705,2)="15",AND(LEFT(M2705,2)&lt;&gt;"15",LEFT(M2705,2)&lt;&gt;"33"))),"x","")</f>
        <v/>
      </c>
      <c r="Y2705" s="39" t="str">
        <f>IF(AND(OR(LEFT(TH!L2705,2)="15",LEFT(TH!M2705,2)="15"),'152-CT'!$J$8=TH!F2705),"x","")</f>
        <v/>
      </c>
      <c r="Z2705" s="39" t="str">
        <f>IF(AND(OR(LEFT(TH!L2705,2)="15",LEFT(TH!M2705,2)="15"),TK!$E$7=TH!F2705),"x","")</f>
        <v/>
      </c>
      <c r="AA2705" s="39" t="str">
        <f>IF(AND(B2705&lt;=NKC!$N$8,B2705&gt;=NKC!$M$8),"x","")</f>
        <v/>
      </c>
      <c r="AB2705" s="821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14"/>
        <v/>
      </c>
      <c r="C2706" s="191"/>
      <c r="D2706" s="191"/>
      <c r="E2706" s="191"/>
      <c r="F2706" s="192"/>
      <c r="G2706" s="468"/>
      <c r="H2706" s="193"/>
      <c r="I2706" s="256"/>
      <c r="J2706" s="256"/>
      <c r="K2706" s="568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902" t="str">
        <f>IF(AND('341-CT'!$E$9=H2706,OR(LEFT(L2706,3)=$O$7,LEFT(M2706,3)=$O$7)),"x","")</f>
        <v/>
      </c>
      <c r="P2706" s="39" t="str">
        <f>IF(AND($B2706&gt;='111'!$N$11,$B2706&lt;='111'!$O$11,OR($L2706=$P$7,$M2706=$P$7)),"x","")</f>
        <v/>
      </c>
      <c r="Q2706" s="39" t="str">
        <f>IF(AND($L2706=$P$7,$B2706&lt;'111'!$N$11),"x","")</f>
        <v/>
      </c>
      <c r="R2706" s="39" t="str">
        <f>IF(AND($M2706=$P$7,$B2706&lt;'111'!$N$11),"x","")</f>
        <v/>
      </c>
      <c r="S2706" s="39" t="str">
        <f>IF(ISERROR(FIND('112'!$M$9,G2706,1)),"",IF((AND(FIND('112'!$M$9,G2706,1)&gt;=1,$B2706&gt;='112'!$N$8,$B2706&lt;='112'!$O$8,OR($L2706='112'!$I$6,$M2706='112'!$I$6))),"x",""))</f>
        <v/>
      </c>
      <c r="T2706" s="39" t="str">
        <f>IF(ISERROR(FIND('112'!$M$9,G2706,1)),"",IF((AND(LEFT(G2706,2)=LEFT('112'!$M$9,2),B2706&lt;'112'!$N$8,$L2706='112'!$I$6)),"x",""))</f>
        <v/>
      </c>
      <c r="U2706" s="39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39" t="str">
        <f>IF(OR(TH!L2706=TH!$W$7,M2706=TH!$W$7),"x","")</f>
        <v/>
      </c>
      <c r="X2706" s="39" t="str">
        <f>IF(AND(B2706&gt;='IN-NX'!$P$3,B2706&lt;='IN-NX'!$Q$3,'IN-NX'!$D$7=D2706,OR(LEFT(L2706,2)="15",AND(LEFT(M2706,2)&lt;&gt;"15",LEFT(M2706,2)&lt;&gt;"33"))),"x","")</f>
        <v/>
      </c>
      <c r="Y2706" s="39" t="str">
        <f>IF(AND(OR(LEFT(TH!L2706,2)="15",LEFT(TH!M2706,2)="15"),'152-CT'!$J$8=TH!F2706),"x","")</f>
        <v/>
      </c>
      <c r="Z2706" s="39" t="str">
        <f>IF(AND(OR(LEFT(TH!L2706,2)="15",LEFT(TH!M2706,2)="15"),TK!$E$7=TH!F2706),"x","")</f>
        <v/>
      </c>
      <c r="AA2706" s="39" t="str">
        <f>IF(AND(B2706&lt;=NKC!$N$8,B2706&gt;=NKC!$M$8),"x","")</f>
        <v/>
      </c>
      <c r="AB2706" s="821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14"/>
        <v/>
      </c>
      <c r="C2707" s="191"/>
      <c r="D2707" s="191"/>
      <c r="E2707" s="191"/>
      <c r="F2707" s="192"/>
      <c r="G2707" s="468"/>
      <c r="H2707" s="193"/>
      <c r="I2707" s="256"/>
      <c r="J2707" s="256"/>
      <c r="K2707" s="568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902" t="str">
        <f>IF(AND('341-CT'!$E$9=H2707,OR(LEFT(L2707,3)=$O$7,LEFT(M2707,3)=$O$7)),"x","")</f>
        <v/>
      </c>
      <c r="P2707" s="39" t="str">
        <f>IF(AND($B2707&gt;='111'!$N$11,$B2707&lt;='111'!$O$11,OR($L2707=$P$7,$M2707=$P$7)),"x","")</f>
        <v/>
      </c>
      <c r="Q2707" s="39" t="str">
        <f>IF(AND($L2707=$P$7,$B2707&lt;'111'!$N$11),"x","")</f>
        <v/>
      </c>
      <c r="R2707" s="39" t="str">
        <f>IF(AND($M2707=$P$7,$B2707&lt;'111'!$N$11),"x","")</f>
        <v/>
      </c>
      <c r="S2707" s="39" t="str">
        <f>IF(ISERROR(FIND('112'!$M$9,G2707,1)),"",IF((AND(FIND('112'!$M$9,G2707,1)&gt;=1,$B2707&gt;='112'!$N$8,$B2707&lt;='112'!$O$8,OR($L2707='112'!$I$6,$M2707='112'!$I$6))),"x",""))</f>
        <v/>
      </c>
      <c r="T2707" s="39" t="str">
        <f>IF(ISERROR(FIND('112'!$M$9,G2707,1)),"",IF((AND(LEFT(G2707,2)=LEFT('112'!$M$9,2),B2707&lt;'112'!$N$8,$L2707='112'!$I$6)),"x",""))</f>
        <v/>
      </c>
      <c r="U2707" s="39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39" t="str">
        <f>IF(OR(TH!L2707=TH!$W$7,M2707=TH!$W$7),"x","")</f>
        <v/>
      </c>
      <c r="X2707" s="39" t="str">
        <f>IF(AND(B2707&gt;='IN-NX'!$P$3,B2707&lt;='IN-NX'!$Q$3,'IN-NX'!$D$7=D2707,OR(LEFT(L2707,2)="15",AND(LEFT(M2707,2)&lt;&gt;"15",LEFT(M2707,2)&lt;&gt;"33"))),"x","")</f>
        <v/>
      </c>
      <c r="Y2707" s="39" t="str">
        <f>IF(AND(OR(LEFT(TH!L2707,2)="15",LEFT(TH!M2707,2)="15"),'152-CT'!$J$8=TH!F2707),"x","")</f>
        <v/>
      </c>
      <c r="Z2707" s="39" t="str">
        <f>IF(AND(OR(LEFT(TH!L2707,2)="15",LEFT(TH!M2707,2)="15"),TK!$E$7=TH!F2707),"x","")</f>
        <v/>
      </c>
      <c r="AA2707" s="39" t="str">
        <f>IF(AND(B2707&lt;=NKC!$N$8,B2707&gt;=NKC!$M$8),"x","")</f>
        <v/>
      </c>
      <c r="AB2707" s="821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14"/>
        <v/>
      </c>
      <c r="C2708" s="191"/>
      <c r="D2708" s="191"/>
      <c r="E2708" s="191"/>
      <c r="F2708" s="192"/>
      <c r="G2708" s="468"/>
      <c r="H2708" s="193"/>
      <c r="I2708" s="256"/>
      <c r="J2708" s="256"/>
      <c r="K2708" s="568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902" t="str">
        <f>IF(AND('341-CT'!$E$9=H2708,OR(LEFT(L2708,3)=$O$7,LEFT(M2708,3)=$O$7)),"x","")</f>
        <v/>
      </c>
      <c r="P2708" s="39" t="str">
        <f>IF(AND($B2708&gt;='111'!$N$11,$B2708&lt;='111'!$O$11,OR($L2708=$P$7,$M2708=$P$7)),"x","")</f>
        <v/>
      </c>
      <c r="Q2708" s="39" t="str">
        <f>IF(AND($L2708=$P$7,$B2708&lt;'111'!$N$11),"x","")</f>
        <v/>
      </c>
      <c r="R2708" s="39" t="str">
        <f>IF(AND($M2708=$P$7,$B2708&lt;'111'!$N$11),"x","")</f>
        <v/>
      </c>
      <c r="S2708" s="39" t="str">
        <f>IF(ISERROR(FIND('112'!$M$9,G2708,1)),"",IF((AND(FIND('112'!$M$9,G2708,1)&gt;=1,$B2708&gt;='112'!$N$8,$B2708&lt;='112'!$O$8,OR($L2708='112'!$I$6,$M2708='112'!$I$6))),"x",""))</f>
        <v/>
      </c>
      <c r="T2708" s="39" t="str">
        <f>IF(ISERROR(FIND('112'!$M$9,G2708,1)),"",IF((AND(LEFT(G2708,2)=LEFT('112'!$M$9,2),B2708&lt;'112'!$N$8,$L2708='112'!$I$6)),"x",""))</f>
        <v/>
      </c>
      <c r="U2708" s="39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39" t="str">
        <f>IF(OR(TH!L2708=TH!$W$7,M2708=TH!$W$7),"x","")</f>
        <v/>
      </c>
      <c r="X2708" s="39" t="str">
        <f>IF(AND(B2708&gt;='IN-NX'!$P$3,B2708&lt;='IN-NX'!$Q$3,'IN-NX'!$D$7=D2708,OR(LEFT(L2708,2)="15",AND(LEFT(M2708,2)&lt;&gt;"15",LEFT(M2708,2)&lt;&gt;"33"))),"x","")</f>
        <v/>
      </c>
      <c r="Y2708" s="39" t="str">
        <f>IF(AND(OR(LEFT(TH!L2708,2)="15",LEFT(TH!M2708,2)="15"),'152-CT'!$J$8=TH!F2708),"x","")</f>
        <v/>
      </c>
      <c r="Z2708" s="39" t="str">
        <f>IF(AND(OR(LEFT(TH!L2708,2)="15",LEFT(TH!M2708,2)="15"),TK!$E$7=TH!F2708),"x","")</f>
        <v/>
      </c>
      <c r="AA2708" s="39" t="str">
        <f>IF(AND(B2708&lt;=NKC!$N$8,B2708&gt;=NKC!$M$8),"x","")</f>
        <v/>
      </c>
      <c r="AB2708" s="821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14"/>
        <v/>
      </c>
      <c r="C2709" s="191"/>
      <c r="D2709" s="191"/>
      <c r="E2709" s="191"/>
      <c r="F2709" s="192"/>
      <c r="G2709" s="468"/>
      <c r="H2709" s="193"/>
      <c r="I2709" s="256"/>
      <c r="J2709" s="256"/>
      <c r="K2709" s="568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902" t="str">
        <f>IF(AND('341-CT'!$E$9=H2709,OR(LEFT(L2709,3)=$O$7,LEFT(M2709,3)=$O$7)),"x","")</f>
        <v/>
      </c>
      <c r="P2709" s="39" t="str">
        <f>IF(AND($B2709&gt;='111'!$N$11,$B2709&lt;='111'!$O$11,OR($L2709=$P$7,$M2709=$P$7)),"x","")</f>
        <v/>
      </c>
      <c r="Q2709" s="39" t="str">
        <f>IF(AND($L2709=$P$7,$B2709&lt;'111'!$N$11),"x","")</f>
        <v/>
      </c>
      <c r="R2709" s="39" t="str">
        <f>IF(AND($M2709=$P$7,$B2709&lt;'111'!$N$11),"x","")</f>
        <v/>
      </c>
      <c r="S2709" s="39" t="str">
        <f>IF(ISERROR(FIND('112'!$M$9,G2709,1)),"",IF((AND(FIND('112'!$M$9,G2709,1)&gt;=1,$B2709&gt;='112'!$N$8,$B2709&lt;='112'!$O$8,OR($L2709='112'!$I$6,$M2709='112'!$I$6))),"x",""))</f>
        <v/>
      </c>
      <c r="T2709" s="39" t="str">
        <f>IF(ISERROR(FIND('112'!$M$9,G2709,1)),"",IF((AND(LEFT(G2709,2)=LEFT('112'!$M$9,2),B2709&lt;'112'!$N$8,$L2709='112'!$I$6)),"x",""))</f>
        <v/>
      </c>
      <c r="U2709" s="39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39" t="str">
        <f>IF(OR(TH!L2709=TH!$W$7,M2709=TH!$W$7),"x","")</f>
        <v/>
      </c>
      <c r="X2709" s="39" t="str">
        <f>IF(AND(B2709&gt;='IN-NX'!$P$3,B2709&lt;='IN-NX'!$Q$3,'IN-NX'!$D$7=D2709,OR(LEFT(L2709,2)="15",AND(LEFT(M2709,2)&lt;&gt;"15",LEFT(M2709,2)&lt;&gt;"33"))),"x","")</f>
        <v/>
      </c>
      <c r="Y2709" s="39" t="str">
        <f>IF(AND(OR(LEFT(TH!L2709,2)="15",LEFT(TH!M2709,2)="15"),'152-CT'!$J$8=TH!F2709),"x","")</f>
        <v/>
      </c>
      <c r="Z2709" s="39" t="str">
        <f>IF(AND(OR(LEFT(TH!L2709,2)="15",LEFT(TH!M2709,2)="15"),TK!$E$7=TH!F2709),"x","")</f>
        <v/>
      </c>
      <c r="AA2709" s="39" t="str">
        <f>IF(AND(B2709&lt;=NKC!$N$8,B2709&gt;=NKC!$M$8),"x","")</f>
        <v/>
      </c>
      <c r="AB2709" s="821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14"/>
        <v/>
      </c>
      <c r="C2710" s="191"/>
      <c r="D2710" s="191"/>
      <c r="E2710" s="191"/>
      <c r="F2710" s="192"/>
      <c r="G2710" s="468"/>
      <c r="H2710" s="193"/>
      <c r="I2710" s="256"/>
      <c r="J2710" s="256"/>
      <c r="K2710" s="568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902" t="str">
        <f>IF(AND('341-CT'!$E$9=H2710,OR(LEFT(L2710,3)=$O$7,LEFT(M2710,3)=$O$7)),"x","")</f>
        <v/>
      </c>
      <c r="P2710" s="39" t="str">
        <f>IF(AND($B2710&gt;='111'!$N$11,$B2710&lt;='111'!$O$11,OR($L2710=$P$7,$M2710=$P$7)),"x","")</f>
        <v/>
      </c>
      <c r="Q2710" s="39" t="str">
        <f>IF(AND($L2710=$P$7,$B2710&lt;'111'!$N$11),"x","")</f>
        <v/>
      </c>
      <c r="R2710" s="39" t="str">
        <f>IF(AND($M2710=$P$7,$B2710&lt;'111'!$N$11),"x","")</f>
        <v/>
      </c>
      <c r="S2710" s="39" t="str">
        <f>IF(ISERROR(FIND('112'!$M$9,G2710,1)),"",IF((AND(FIND('112'!$M$9,G2710,1)&gt;=1,$B2710&gt;='112'!$N$8,$B2710&lt;='112'!$O$8,OR($L2710='112'!$I$6,$M2710='112'!$I$6))),"x",""))</f>
        <v/>
      </c>
      <c r="T2710" s="39" t="str">
        <f>IF(ISERROR(FIND('112'!$M$9,G2710,1)),"",IF((AND(LEFT(G2710,2)=LEFT('112'!$M$9,2),B2710&lt;'112'!$N$8,$L2710='112'!$I$6)),"x",""))</f>
        <v/>
      </c>
      <c r="U2710" s="39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39" t="str">
        <f>IF(OR(TH!L2710=TH!$W$7,M2710=TH!$W$7),"x","")</f>
        <v/>
      </c>
      <c r="X2710" s="39" t="str">
        <f>IF(AND(B2710&gt;='IN-NX'!$P$3,B2710&lt;='IN-NX'!$Q$3,'IN-NX'!$D$7=D2710,OR(LEFT(L2710,2)="15",AND(LEFT(M2710,2)&lt;&gt;"15",LEFT(M2710,2)&lt;&gt;"33"))),"x","")</f>
        <v/>
      </c>
      <c r="Y2710" s="39" t="str">
        <f>IF(AND(OR(LEFT(TH!L2710,2)="15",LEFT(TH!M2710,2)="15"),'152-CT'!$J$8=TH!F2710),"x","")</f>
        <v/>
      </c>
      <c r="Z2710" s="39" t="str">
        <f>IF(AND(OR(LEFT(TH!L2710,2)="15",LEFT(TH!M2710,2)="15"),TK!$E$7=TH!F2710),"x","")</f>
        <v/>
      </c>
      <c r="AA2710" s="39" t="str">
        <f>IF(AND(B2710&lt;=NKC!$N$8,B2710&gt;=NKC!$M$8),"x","")</f>
        <v/>
      </c>
      <c r="AB2710" s="821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14"/>
        <v/>
      </c>
      <c r="C2711" s="191"/>
      <c r="D2711" s="37"/>
      <c r="E2711" s="191"/>
      <c r="F2711" s="40"/>
      <c r="G2711" s="40"/>
      <c r="H2711" s="7"/>
      <c r="I2711" s="256"/>
      <c r="J2711" s="256"/>
      <c r="K2711" s="568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902" t="str">
        <f>IF(AND('341-CT'!$E$9=H2711,OR(LEFT(L2711,3)=$O$7,LEFT(M2711,3)=$O$7)),"x","")</f>
        <v/>
      </c>
      <c r="P2711" s="39" t="str">
        <f>IF(AND($B2711&gt;='111'!$N$11,$B2711&lt;='111'!$O$11,OR($L2711=$P$7,$M2711=$P$7)),"x","")</f>
        <v/>
      </c>
      <c r="Q2711" s="39" t="str">
        <f>IF(AND($L2711=$P$7,$B2711&lt;'111'!$N$11),"x","")</f>
        <v/>
      </c>
      <c r="R2711" s="39" t="str">
        <f>IF(AND($M2711=$P$7,$B2711&lt;'111'!$N$11),"x","")</f>
        <v/>
      </c>
      <c r="S2711" s="39" t="str">
        <f>IF(ISERROR(FIND('112'!$M$9,G2711,1)),"",IF((AND(FIND('112'!$M$9,G2711,1)&gt;=1,$B2711&gt;='112'!$N$8,$B2711&lt;='112'!$O$8,OR($L2711='112'!$I$6,$M2711='112'!$I$6))),"x",""))</f>
        <v/>
      </c>
      <c r="T2711" s="39" t="str">
        <f>IF(ISERROR(FIND('112'!$M$9,G2711,1)),"",IF((AND(LEFT(G2711,2)=LEFT('112'!$M$9,2),B2711&lt;'112'!$N$8,$L2711='112'!$I$6)),"x",""))</f>
        <v/>
      </c>
      <c r="U2711" s="39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39" t="str">
        <f>IF(OR(TH!L2711=TH!$W$7,M2711=TH!$W$7),"x","")</f>
        <v/>
      </c>
      <c r="X2711" s="39" t="str">
        <f>IF(AND(B2711&gt;='IN-NX'!$P$3,B2711&lt;='IN-NX'!$Q$3,'IN-NX'!$D$7=D2711,OR(LEFT(L2711,2)="15",AND(LEFT(M2711,2)&lt;&gt;"15",LEFT(M2711,2)&lt;&gt;"33"))),"x","")</f>
        <v/>
      </c>
      <c r="Y2711" s="39" t="str">
        <f>IF(AND(OR(LEFT(TH!L2711,2)="15",LEFT(TH!M2711,2)="15"),'152-CT'!$J$8=TH!F2711),"x","")</f>
        <v/>
      </c>
      <c r="Z2711" s="39" t="str">
        <f>IF(AND(OR(LEFT(TH!L2711,2)="15",LEFT(TH!M2711,2)="15"),TK!$E$7=TH!F2711),"x","")</f>
        <v/>
      </c>
      <c r="AA2711" s="39" t="str">
        <f>IF(AND(B2711&lt;=NKC!$N$8,B2711&gt;=NKC!$M$8),"x","")</f>
        <v/>
      </c>
      <c r="AB2711" s="821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14"/>
        <v/>
      </c>
      <c r="C2712" s="191"/>
      <c r="D2712" s="37"/>
      <c r="E2712" s="191"/>
      <c r="F2712" s="40"/>
      <c r="G2712" s="40"/>
      <c r="H2712" s="7"/>
      <c r="I2712" s="256"/>
      <c r="J2712" s="256"/>
      <c r="K2712" s="568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902" t="str">
        <f>IF(AND('341-CT'!$E$9=H2712,OR(LEFT(L2712,3)=$O$7,LEFT(M2712,3)=$O$7)),"x","")</f>
        <v/>
      </c>
      <c r="P2712" s="39" t="str">
        <f>IF(AND($B2712&gt;='111'!$N$11,$B2712&lt;='111'!$O$11,OR($L2712=$P$7,$M2712=$P$7)),"x","")</f>
        <v/>
      </c>
      <c r="Q2712" s="39" t="str">
        <f>IF(AND($L2712=$P$7,$B2712&lt;'111'!$N$11),"x","")</f>
        <v/>
      </c>
      <c r="R2712" s="39" t="str">
        <f>IF(AND($M2712=$P$7,$B2712&lt;'111'!$N$11),"x","")</f>
        <v/>
      </c>
      <c r="S2712" s="39" t="str">
        <f>IF(ISERROR(FIND('112'!$M$9,G2712,1)),"",IF((AND(FIND('112'!$M$9,G2712,1)&gt;=1,$B2712&gt;='112'!$N$8,$B2712&lt;='112'!$O$8,OR($L2712='112'!$I$6,$M2712='112'!$I$6))),"x",""))</f>
        <v/>
      </c>
      <c r="T2712" s="39" t="str">
        <f>IF(ISERROR(FIND('112'!$M$9,G2712,1)),"",IF((AND(LEFT(G2712,2)=LEFT('112'!$M$9,2),B2712&lt;'112'!$N$8,$L2712='112'!$I$6)),"x",""))</f>
        <v/>
      </c>
      <c r="U2712" s="39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39" t="str">
        <f>IF(OR(TH!L2712=TH!$W$7,M2712=TH!$W$7),"x","")</f>
        <v/>
      </c>
      <c r="X2712" s="39" t="str">
        <f>IF(AND(B2712&gt;='IN-NX'!$P$3,B2712&lt;='IN-NX'!$Q$3,'IN-NX'!$D$7=D2712,OR(LEFT(L2712,2)="15",AND(LEFT(M2712,2)&lt;&gt;"15",LEFT(M2712,2)&lt;&gt;"33"))),"x","")</f>
        <v/>
      </c>
      <c r="Y2712" s="39" t="str">
        <f>IF(AND(OR(LEFT(TH!L2712,2)="15",LEFT(TH!M2712,2)="15"),'152-CT'!$J$8=TH!F2712),"x","")</f>
        <v/>
      </c>
      <c r="Z2712" s="39" t="str">
        <f>IF(AND(OR(LEFT(TH!L2712,2)="15",LEFT(TH!M2712,2)="15"),TK!$E$7=TH!F2712),"x","")</f>
        <v/>
      </c>
      <c r="AA2712" s="39" t="str">
        <f>IF(AND(B2712&lt;=NKC!$N$8,B2712&gt;=NKC!$M$8),"x","")</f>
        <v/>
      </c>
      <c r="AB2712" s="821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14"/>
        <v/>
      </c>
      <c r="C2713" s="191"/>
      <c r="D2713" s="37"/>
      <c r="E2713" s="191"/>
      <c r="F2713" s="40"/>
      <c r="G2713" s="40"/>
      <c r="H2713" s="7"/>
      <c r="I2713" s="256"/>
      <c r="J2713" s="256"/>
      <c r="K2713" s="568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902" t="str">
        <f>IF(AND('341-CT'!$E$9=H2713,OR(LEFT(L2713,3)=$O$7,LEFT(M2713,3)=$O$7)),"x","")</f>
        <v/>
      </c>
      <c r="P2713" s="39" t="str">
        <f>IF(AND($B2713&gt;='111'!$N$11,$B2713&lt;='111'!$O$11,OR($L2713=$P$7,$M2713=$P$7)),"x","")</f>
        <v/>
      </c>
      <c r="Q2713" s="39" t="str">
        <f>IF(AND($L2713=$P$7,$B2713&lt;'111'!$N$11),"x","")</f>
        <v/>
      </c>
      <c r="R2713" s="39" t="str">
        <f>IF(AND($M2713=$P$7,$B2713&lt;'111'!$N$11),"x","")</f>
        <v/>
      </c>
      <c r="S2713" s="39" t="str">
        <f>IF(ISERROR(FIND('112'!$M$9,G2713,1)),"",IF((AND(FIND('112'!$M$9,G2713,1)&gt;=1,$B2713&gt;='112'!$N$8,$B2713&lt;='112'!$O$8,OR($L2713='112'!$I$6,$M2713='112'!$I$6))),"x",""))</f>
        <v/>
      </c>
      <c r="T2713" s="39" t="str">
        <f>IF(ISERROR(FIND('112'!$M$9,G2713,1)),"",IF((AND(LEFT(G2713,2)=LEFT('112'!$M$9,2),B2713&lt;'112'!$N$8,$L2713='112'!$I$6)),"x",""))</f>
        <v/>
      </c>
      <c r="U2713" s="39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39" t="str">
        <f>IF(OR(TH!L2713=TH!$W$7,M2713=TH!$W$7),"x","")</f>
        <v/>
      </c>
      <c r="X2713" s="39" t="str">
        <f>IF(AND(B2713&gt;='IN-NX'!$P$3,B2713&lt;='IN-NX'!$Q$3,'IN-NX'!$D$7=D2713,OR(LEFT(L2713,2)="15",AND(LEFT(M2713,2)&lt;&gt;"15",LEFT(M2713,2)&lt;&gt;"33"))),"x","")</f>
        <v/>
      </c>
      <c r="Y2713" s="39" t="str">
        <f>IF(AND(OR(LEFT(TH!L2713,2)="15",LEFT(TH!M2713,2)="15"),'152-CT'!$J$8=TH!F2713),"x","")</f>
        <v/>
      </c>
      <c r="Z2713" s="39" t="str">
        <f>IF(AND(OR(LEFT(TH!L2713,2)="15",LEFT(TH!M2713,2)="15"),TK!$E$7=TH!F2713),"x","")</f>
        <v/>
      </c>
      <c r="AA2713" s="39" t="str">
        <f>IF(AND(B2713&lt;=NKC!$N$8,B2713&gt;=NKC!$M$8),"x","")</f>
        <v/>
      </c>
      <c r="AB2713" s="821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14"/>
        <v/>
      </c>
      <c r="C2714" s="191"/>
      <c r="D2714" s="37"/>
      <c r="E2714" s="191"/>
      <c r="F2714" s="40"/>
      <c r="G2714" s="40"/>
      <c r="H2714" s="7"/>
      <c r="I2714" s="256"/>
      <c r="J2714" s="256"/>
      <c r="K2714" s="568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902" t="str">
        <f>IF(AND('341-CT'!$E$9=H2714,OR(LEFT(L2714,3)=$O$7,LEFT(M2714,3)=$O$7)),"x","")</f>
        <v/>
      </c>
      <c r="P2714" s="39" t="str">
        <f>IF(AND($B2714&gt;='111'!$N$11,$B2714&lt;='111'!$O$11,OR($L2714=$P$7,$M2714=$P$7)),"x","")</f>
        <v/>
      </c>
      <c r="Q2714" s="39" t="str">
        <f>IF(AND($L2714=$P$7,$B2714&lt;'111'!$N$11),"x","")</f>
        <v/>
      </c>
      <c r="R2714" s="39" t="str">
        <f>IF(AND($M2714=$P$7,$B2714&lt;'111'!$N$11),"x","")</f>
        <v/>
      </c>
      <c r="S2714" s="39" t="str">
        <f>IF(ISERROR(FIND('112'!$M$9,G2714,1)),"",IF((AND(FIND('112'!$M$9,G2714,1)&gt;=1,$B2714&gt;='112'!$N$8,$B2714&lt;='112'!$O$8,OR($L2714='112'!$I$6,$M2714='112'!$I$6))),"x",""))</f>
        <v/>
      </c>
      <c r="T2714" s="39" t="str">
        <f>IF(ISERROR(FIND('112'!$M$9,G2714,1)),"",IF((AND(LEFT(G2714,2)=LEFT('112'!$M$9,2),B2714&lt;'112'!$N$8,$L2714='112'!$I$6)),"x",""))</f>
        <v/>
      </c>
      <c r="U2714" s="39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39" t="str">
        <f>IF(OR(TH!L2714=TH!$W$7,M2714=TH!$W$7),"x","")</f>
        <v/>
      </c>
      <c r="X2714" s="39" t="str">
        <f>IF(AND(B2714&gt;='IN-NX'!$P$3,B2714&lt;='IN-NX'!$Q$3,'IN-NX'!$D$7=D2714,OR(LEFT(L2714,2)="15",AND(LEFT(M2714,2)&lt;&gt;"15",LEFT(M2714,2)&lt;&gt;"33"))),"x","")</f>
        <v/>
      </c>
      <c r="Y2714" s="39" t="str">
        <f>IF(AND(OR(LEFT(TH!L2714,2)="15",LEFT(TH!M2714,2)="15"),'152-CT'!$J$8=TH!F2714),"x","")</f>
        <v/>
      </c>
      <c r="Z2714" s="39" t="str">
        <f>IF(AND(OR(LEFT(TH!L2714,2)="15",LEFT(TH!M2714,2)="15"),TK!$E$7=TH!F2714),"x","")</f>
        <v/>
      </c>
      <c r="AA2714" s="39" t="str">
        <f>IF(AND(B2714&lt;=NKC!$N$8,B2714&gt;=NKC!$M$8),"x","")</f>
        <v/>
      </c>
      <c r="AB2714" s="821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14"/>
        <v/>
      </c>
      <c r="C2715" s="191"/>
      <c r="D2715" s="37"/>
      <c r="E2715" s="191"/>
      <c r="F2715" s="40"/>
      <c r="G2715" s="40"/>
      <c r="H2715" s="7"/>
      <c r="I2715" s="256"/>
      <c r="J2715" s="256"/>
      <c r="K2715" s="568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902" t="str">
        <f>IF(AND('341-CT'!$E$9=H2715,OR(LEFT(L2715,3)=$O$7,LEFT(M2715,3)=$O$7)),"x","")</f>
        <v/>
      </c>
      <c r="P2715" s="39" t="str">
        <f>IF(AND($B2715&gt;='111'!$N$11,$B2715&lt;='111'!$O$11,OR($L2715=$P$7,$M2715=$P$7)),"x","")</f>
        <v/>
      </c>
      <c r="Q2715" s="39" t="str">
        <f>IF(AND($L2715=$P$7,$B2715&lt;'111'!$N$11),"x","")</f>
        <v/>
      </c>
      <c r="R2715" s="39" t="str">
        <f>IF(AND($M2715=$P$7,$B2715&lt;'111'!$N$11),"x","")</f>
        <v/>
      </c>
      <c r="S2715" s="39" t="str">
        <f>IF(ISERROR(FIND('112'!$M$9,G2715,1)),"",IF((AND(FIND('112'!$M$9,G2715,1)&gt;=1,$B2715&gt;='112'!$N$8,$B2715&lt;='112'!$O$8,OR($L2715='112'!$I$6,$M2715='112'!$I$6))),"x",""))</f>
        <v/>
      </c>
      <c r="T2715" s="39" t="str">
        <f>IF(ISERROR(FIND('112'!$M$9,G2715,1)),"",IF((AND(LEFT(G2715,2)=LEFT('112'!$M$9,2),B2715&lt;'112'!$N$8,$L2715='112'!$I$6)),"x",""))</f>
        <v/>
      </c>
      <c r="U2715" s="39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39" t="str">
        <f>IF(OR(TH!L2715=TH!$W$7,M2715=TH!$W$7),"x","")</f>
        <v/>
      </c>
      <c r="X2715" s="39" t="str">
        <f>IF(AND(B2715&gt;='IN-NX'!$P$3,B2715&lt;='IN-NX'!$Q$3,'IN-NX'!$D$7=D2715,OR(LEFT(L2715,2)="15",AND(LEFT(M2715,2)&lt;&gt;"15",LEFT(M2715,2)&lt;&gt;"33"))),"x","")</f>
        <v/>
      </c>
      <c r="Y2715" s="39" t="str">
        <f>IF(AND(OR(LEFT(TH!L2715,2)="15",LEFT(TH!M2715,2)="15"),'152-CT'!$J$8=TH!F2715),"x","")</f>
        <v/>
      </c>
      <c r="Z2715" s="39" t="str">
        <f>IF(AND(OR(LEFT(TH!L2715,2)="15",LEFT(TH!M2715,2)="15"),TK!$E$7=TH!F2715),"x","")</f>
        <v/>
      </c>
      <c r="AA2715" s="39" t="str">
        <f>IF(AND(B2715&lt;=NKC!$N$8,B2715&gt;=NKC!$M$8),"x","")</f>
        <v/>
      </c>
      <c r="AB2715" s="821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14"/>
        <v/>
      </c>
      <c r="C2716" s="191"/>
      <c r="D2716" s="37"/>
      <c r="E2716" s="191"/>
      <c r="F2716" s="40"/>
      <c r="G2716" s="40"/>
      <c r="H2716" s="7"/>
      <c r="I2716" s="256"/>
      <c r="J2716" s="256"/>
      <c r="K2716" s="568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902" t="str">
        <f>IF(AND('341-CT'!$E$9=H2716,OR(LEFT(L2716,3)=$O$7,LEFT(M2716,3)=$O$7)),"x","")</f>
        <v/>
      </c>
      <c r="P2716" s="39" t="str">
        <f>IF(AND($B2716&gt;='111'!$N$11,$B2716&lt;='111'!$O$11,OR($L2716=$P$7,$M2716=$P$7)),"x","")</f>
        <v/>
      </c>
      <c r="Q2716" s="39" t="str">
        <f>IF(AND($L2716=$P$7,$B2716&lt;'111'!$N$11),"x","")</f>
        <v/>
      </c>
      <c r="R2716" s="39" t="str">
        <f>IF(AND($M2716=$P$7,$B2716&lt;'111'!$N$11),"x","")</f>
        <v/>
      </c>
      <c r="S2716" s="39" t="str">
        <f>IF(ISERROR(FIND('112'!$M$9,G2716,1)),"",IF((AND(FIND('112'!$M$9,G2716,1)&gt;=1,$B2716&gt;='112'!$N$8,$B2716&lt;='112'!$O$8,OR($L2716='112'!$I$6,$M2716='112'!$I$6))),"x",""))</f>
        <v/>
      </c>
      <c r="T2716" s="39" t="str">
        <f>IF(ISERROR(FIND('112'!$M$9,G2716,1)),"",IF((AND(LEFT(G2716,2)=LEFT('112'!$M$9,2),B2716&lt;'112'!$N$8,$L2716='112'!$I$6)),"x",""))</f>
        <v/>
      </c>
      <c r="U2716" s="39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39" t="str">
        <f>IF(OR(TH!L2716=TH!$W$7,M2716=TH!$W$7),"x","")</f>
        <v/>
      </c>
      <c r="X2716" s="39" t="str">
        <f>IF(AND(B2716&gt;='IN-NX'!$P$3,B2716&lt;='IN-NX'!$Q$3,'IN-NX'!$D$7=D2716,OR(LEFT(L2716,2)="15",AND(LEFT(M2716,2)&lt;&gt;"15",LEFT(M2716,2)&lt;&gt;"33"))),"x","")</f>
        <v/>
      </c>
      <c r="Y2716" s="39" t="str">
        <f>IF(AND(OR(LEFT(TH!L2716,2)="15",LEFT(TH!M2716,2)="15"),'152-CT'!$J$8=TH!F2716),"x","")</f>
        <v/>
      </c>
      <c r="Z2716" s="39" t="str">
        <f>IF(AND(OR(LEFT(TH!L2716,2)="15",LEFT(TH!M2716,2)="15"),TK!$E$7=TH!F2716),"x","")</f>
        <v/>
      </c>
      <c r="AA2716" s="39" t="str">
        <f>IF(AND(B2716&lt;=NKC!$N$8,B2716&gt;=NKC!$M$8),"x","")</f>
        <v/>
      </c>
      <c r="AB2716" s="821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14"/>
        <v/>
      </c>
      <c r="C2717" s="191"/>
      <c r="D2717" s="37"/>
      <c r="E2717" s="191"/>
      <c r="F2717" s="40"/>
      <c r="G2717" s="40"/>
      <c r="H2717" s="7"/>
      <c r="I2717" s="256"/>
      <c r="J2717" s="256"/>
      <c r="K2717" s="568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902" t="str">
        <f>IF(AND('341-CT'!$E$9=H2717,OR(LEFT(L2717,3)=$O$7,LEFT(M2717,3)=$O$7)),"x","")</f>
        <v/>
      </c>
      <c r="P2717" s="39" t="str">
        <f>IF(AND($B2717&gt;='111'!$N$11,$B2717&lt;='111'!$O$11,OR($L2717=$P$7,$M2717=$P$7)),"x","")</f>
        <v/>
      </c>
      <c r="Q2717" s="39" t="str">
        <f>IF(AND($L2717=$P$7,$B2717&lt;'111'!$N$11),"x","")</f>
        <v/>
      </c>
      <c r="R2717" s="39" t="str">
        <f>IF(AND($M2717=$P$7,$B2717&lt;'111'!$N$11),"x","")</f>
        <v/>
      </c>
      <c r="S2717" s="39" t="str">
        <f>IF(ISERROR(FIND('112'!$M$9,G2717,1)),"",IF((AND(FIND('112'!$M$9,G2717,1)&gt;=1,$B2717&gt;='112'!$N$8,$B2717&lt;='112'!$O$8,OR($L2717='112'!$I$6,$M2717='112'!$I$6))),"x",""))</f>
        <v/>
      </c>
      <c r="T2717" s="39" t="str">
        <f>IF(ISERROR(FIND('112'!$M$9,G2717,1)),"",IF((AND(LEFT(G2717,2)=LEFT('112'!$M$9,2),B2717&lt;'112'!$N$8,$L2717='112'!$I$6)),"x",""))</f>
        <v/>
      </c>
      <c r="U2717" s="39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39" t="str">
        <f>IF(OR(TH!L2717=TH!$W$7,M2717=TH!$W$7),"x","")</f>
        <v/>
      </c>
      <c r="X2717" s="39" t="str">
        <f>IF(AND(B2717&gt;='IN-NX'!$P$3,B2717&lt;='IN-NX'!$Q$3,'IN-NX'!$D$7=D2717,OR(LEFT(L2717,2)="15",AND(LEFT(M2717,2)&lt;&gt;"15",LEFT(M2717,2)&lt;&gt;"33"))),"x","")</f>
        <v/>
      </c>
      <c r="Y2717" s="39" t="str">
        <f>IF(AND(OR(LEFT(TH!L2717,2)="15",LEFT(TH!M2717,2)="15"),'152-CT'!$J$8=TH!F2717),"x","")</f>
        <v/>
      </c>
      <c r="Z2717" s="39" t="str">
        <f>IF(AND(OR(LEFT(TH!L2717,2)="15",LEFT(TH!M2717,2)="15"),TK!$E$7=TH!F2717),"x","")</f>
        <v/>
      </c>
      <c r="AA2717" s="39" t="str">
        <f>IF(AND(B2717&lt;=NKC!$N$8,B2717&gt;=NKC!$M$8),"x","")</f>
        <v/>
      </c>
      <c r="AB2717" s="821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14"/>
        <v/>
      </c>
      <c r="C2718" s="191"/>
      <c r="D2718" s="37"/>
      <c r="E2718" s="191"/>
      <c r="F2718" s="40"/>
      <c r="G2718" s="40"/>
      <c r="H2718" s="7"/>
      <c r="I2718" s="256"/>
      <c r="J2718" s="256"/>
      <c r="K2718" s="568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902" t="str">
        <f>IF(AND('341-CT'!$E$9=H2718,OR(LEFT(L2718,3)=$O$7,LEFT(M2718,3)=$O$7)),"x","")</f>
        <v/>
      </c>
      <c r="P2718" s="39" t="str">
        <f>IF(AND($B2718&gt;='111'!$N$11,$B2718&lt;='111'!$O$11,OR($L2718=$P$7,$M2718=$P$7)),"x","")</f>
        <v/>
      </c>
      <c r="Q2718" s="39" t="str">
        <f>IF(AND($L2718=$P$7,$B2718&lt;'111'!$N$11),"x","")</f>
        <v/>
      </c>
      <c r="R2718" s="39" t="str">
        <f>IF(AND($M2718=$P$7,$B2718&lt;'111'!$N$11),"x","")</f>
        <v/>
      </c>
      <c r="S2718" s="39" t="str">
        <f>IF(ISERROR(FIND('112'!$M$9,G2718,1)),"",IF((AND(FIND('112'!$M$9,G2718,1)&gt;=1,$B2718&gt;='112'!$N$8,$B2718&lt;='112'!$O$8,OR($L2718='112'!$I$6,$M2718='112'!$I$6))),"x",""))</f>
        <v/>
      </c>
      <c r="T2718" s="39" t="str">
        <f>IF(ISERROR(FIND('112'!$M$9,G2718,1)),"",IF((AND(LEFT(G2718,2)=LEFT('112'!$M$9,2),B2718&lt;'112'!$N$8,$L2718='112'!$I$6)),"x",""))</f>
        <v/>
      </c>
      <c r="U2718" s="39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39" t="str">
        <f>IF(OR(TH!L2718=TH!$W$7,M2718=TH!$W$7),"x","")</f>
        <v/>
      </c>
      <c r="X2718" s="39" t="str">
        <f>IF(AND(B2718&gt;='IN-NX'!$P$3,B2718&lt;='IN-NX'!$Q$3,'IN-NX'!$D$7=D2718,OR(LEFT(L2718,2)="15",AND(LEFT(M2718,2)&lt;&gt;"15",LEFT(M2718,2)&lt;&gt;"33"))),"x","")</f>
        <v/>
      </c>
      <c r="Y2718" s="39" t="str">
        <f>IF(AND(OR(LEFT(TH!L2718,2)="15",LEFT(TH!M2718,2)="15"),'152-CT'!$J$8=TH!F2718),"x","")</f>
        <v/>
      </c>
      <c r="Z2718" s="39" t="str">
        <f>IF(AND(OR(LEFT(TH!L2718,2)="15",LEFT(TH!M2718,2)="15"),TK!$E$7=TH!F2718),"x","")</f>
        <v/>
      </c>
      <c r="AA2718" s="39" t="str">
        <f>IF(AND(B2718&lt;=NKC!$N$8,B2718&gt;=NKC!$M$8),"x","")</f>
        <v/>
      </c>
      <c r="AB2718" s="821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14"/>
        <v/>
      </c>
      <c r="C2719" s="191"/>
      <c r="D2719" s="37"/>
      <c r="E2719" s="191"/>
      <c r="F2719" s="40"/>
      <c r="G2719" s="40"/>
      <c r="H2719" s="7"/>
      <c r="I2719" s="256"/>
      <c r="J2719" s="256"/>
      <c r="K2719" s="568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902" t="str">
        <f>IF(AND('341-CT'!$E$9=H2719,OR(LEFT(L2719,3)=$O$7,LEFT(M2719,3)=$O$7)),"x","")</f>
        <v/>
      </c>
      <c r="P2719" s="39" t="str">
        <f>IF(AND($B2719&gt;='111'!$N$11,$B2719&lt;='111'!$O$11,OR($L2719=$P$7,$M2719=$P$7)),"x","")</f>
        <v/>
      </c>
      <c r="Q2719" s="39" t="str">
        <f>IF(AND($L2719=$P$7,$B2719&lt;'111'!$N$11),"x","")</f>
        <v/>
      </c>
      <c r="R2719" s="39" t="str">
        <f>IF(AND($M2719=$P$7,$B2719&lt;'111'!$N$11),"x","")</f>
        <v/>
      </c>
      <c r="S2719" s="39" t="str">
        <f>IF(ISERROR(FIND('112'!$M$9,G2719,1)),"",IF((AND(FIND('112'!$M$9,G2719,1)&gt;=1,$B2719&gt;='112'!$N$8,$B2719&lt;='112'!$O$8,OR($L2719='112'!$I$6,$M2719='112'!$I$6))),"x",""))</f>
        <v/>
      </c>
      <c r="T2719" s="39" t="str">
        <f>IF(ISERROR(FIND('112'!$M$9,G2719,1)),"",IF((AND(LEFT(G2719,2)=LEFT('112'!$M$9,2),B2719&lt;'112'!$N$8,$L2719='112'!$I$6)),"x",""))</f>
        <v/>
      </c>
      <c r="U2719" s="39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39" t="str">
        <f>IF(OR(TH!L2719=TH!$W$7,M2719=TH!$W$7),"x","")</f>
        <v/>
      </c>
      <c r="X2719" s="39" t="str">
        <f>IF(AND(B2719&gt;='IN-NX'!$P$3,B2719&lt;='IN-NX'!$Q$3,'IN-NX'!$D$7=D2719,OR(LEFT(L2719,2)="15",AND(LEFT(M2719,2)&lt;&gt;"15",LEFT(M2719,2)&lt;&gt;"33"))),"x","")</f>
        <v/>
      </c>
      <c r="Y2719" s="39" t="str">
        <f>IF(AND(OR(LEFT(TH!L2719,2)="15",LEFT(TH!M2719,2)="15"),'152-CT'!$J$8=TH!F2719),"x","")</f>
        <v/>
      </c>
      <c r="Z2719" s="39" t="str">
        <f>IF(AND(OR(LEFT(TH!L2719,2)="15",LEFT(TH!M2719,2)="15"),TK!$E$7=TH!F2719),"x","")</f>
        <v/>
      </c>
      <c r="AA2719" s="39" t="str">
        <f>IF(AND(B2719&lt;=NKC!$N$8,B2719&gt;=NKC!$M$8),"x","")</f>
        <v/>
      </c>
      <c r="AB2719" s="821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14"/>
        <v/>
      </c>
      <c r="C2720" s="191"/>
      <c r="D2720" s="37"/>
      <c r="E2720" s="191"/>
      <c r="F2720" s="40"/>
      <c r="G2720" s="40"/>
      <c r="H2720" s="7"/>
      <c r="I2720" s="256"/>
      <c r="J2720" s="256"/>
      <c r="K2720" s="568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902" t="str">
        <f>IF(AND('341-CT'!$E$9=H2720,OR(LEFT(L2720,3)=$O$7,LEFT(M2720,3)=$O$7)),"x","")</f>
        <v/>
      </c>
      <c r="P2720" s="39" t="str">
        <f>IF(AND($B2720&gt;='111'!$N$11,$B2720&lt;='111'!$O$11,OR($L2720=$P$7,$M2720=$P$7)),"x","")</f>
        <v/>
      </c>
      <c r="Q2720" s="39" t="str">
        <f>IF(AND($L2720=$P$7,$B2720&lt;'111'!$N$11),"x","")</f>
        <v/>
      </c>
      <c r="R2720" s="39" t="str">
        <f>IF(AND($M2720=$P$7,$B2720&lt;'111'!$N$11),"x","")</f>
        <v/>
      </c>
      <c r="S2720" s="39" t="str">
        <f>IF(ISERROR(FIND('112'!$M$9,G2720,1)),"",IF((AND(FIND('112'!$M$9,G2720,1)&gt;=1,$B2720&gt;='112'!$N$8,$B2720&lt;='112'!$O$8,OR($L2720='112'!$I$6,$M2720='112'!$I$6))),"x",""))</f>
        <v/>
      </c>
      <c r="T2720" s="39" t="str">
        <f>IF(ISERROR(FIND('112'!$M$9,G2720,1)),"",IF((AND(LEFT(G2720,2)=LEFT('112'!$M$9,2),B2720&lt;'112'!$N$8,$L2720='112'!$I$6)),"x",""))</f>
        <v/>
      </c>
      <c r="U2720" s="39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39" t="str">
        <f>IF(OR(TH!L2720=TH!$W$7,M2720=TH!$W$7),"x","")</f>
        <v/>
      </c>
      <c r="X2720" s="39" t="str">
        <f>IF(AND(B2720&gt;='IN-NX'!$P$3,B2720&lt;='IN-NX'!$Q$3,'IN-NX'!$D$7=D2720,OR(LEFT(L2720,2)="15",AND(LEFT(M2720,2)&lt;&gt;"15",LEFT(M2720,2)&lt;&gt;"33"))),"x","")</f>
        <v/>
      </c>
      <c r="Y2720" s="39" t="str">
        <f>IF(AND(OR(LEFT(TH!L2720,2)="15",LEFT(TH!M2720,2)="15"),'152-CT'!$J$8=TH!F2720),"x","")</f>
        <v/>
      </c>
      <c r="Z2720" s="39" t="str">
        <f>IF(AND(OR(LEFT(TH!L2720,2)="15",LEFT(TH!M2720,2)="15"),TK!$E$7=TH!F2720),"x","")</f>
        <v/>
      </c>
      <c r="AA2720" s="39" t="str">
        <f>IF(AND(B2720&lt;=NKC!$N$8,B2720&gt;=NKC!$M$8),"x","")</f>
        <v/>
      </c>
      <c r="AB2720" s="821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14"/>
        <v/>
      </c>
      <c r="C2721" s="191"/>
      <c r="D2721" s="37"/>
      <c r="E2721" s="191"/>
      <c r="F2721" s="40"/>
      <c r="G2721" s="40"/>
      <c r="H2721" s="7"/>
      <c r="I2721" s="256"/>
      <c r="J2721" s="256"/>
      <c r="K2721" s="568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902" t="str">
        <f>IF(AND('341-CT'!$E$9=H2721,OR(LEFT(L2721,3)=$O$7,LEFT(M2721,3)=$O$7)),"x","")</f>
        <v/>
      </c>
      <c r="P2721" s="39" t="str">
        <f>IF(AND($B2721&gt;='111'!$N$11,$B2721&lt;='111'!$O$11,OR($L2721=$P$7,$M2721=$P$7)),"x","")</f>
        <v/>
      </c>
      <c r="Q2721" s="39" t="str">
        <f>IF(AND($L2721=$P$7,$B2721&lt;'111'!$N$11),"x","")</f>
        <v/>
      </c>
      <c r="R2721" s="39" t="str">
        <f>IF(AND($M2721=$P$7,$B2721&lt;'111'!$N$11),"x","")</f>
        <v/>
      </c>
      <c r="S2721" s="39" t="str">
        <f>IF(ISERROR(FIND('112'!$M$9,G2721,1)),"",IF((AND(FIND('112'!$M$9,G2721,1)&gt;=1,$B2721&gt;='112'!$N$8,$B2721&lt;='112'!$O$8,OR($L2721='112'!$I$6,$M2721='112'!$I$6))),"x",""))</f>
        <v/>
      </c>
      <c r="T2721" s="39" t="str">
        <f>IF(ISERROR(FIND('112'!$M$9,G2721,1)),"",IF((AND(LEFT(G2721,2)=LEFT('112'!$M$9,2),B2721&lt;'112'!$N$8,$L2721='112'!$I$6)),"x",""))</f>
        <v/>
      </c>
      <c r="U2721" s="39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39" t="str">
        <f>IF(OR(TH!L2721=TH!$W$7,M2721=TH!$W$7),"x","")</f>
        <v/>
      </c>
      <c r="X2721" s="39" t="str">
        <f>IF(AND(B2721&gt;='IN-NX'!$P$3,B2721&lt;='IN-NX'!$Q$3,'IN-NX'!$D$7=D2721,OR(LEFT(L2721,2)="15",AND(LEFT(M2721,2)&lt;&gt;"15",LEFT(M2721,2)&lt;&gt;"33"))),"x","")</f>
        <v/>
      </c>
      <c r="Y2721" s="39" t="str">
        <f>IF(AND(OR(LEFT(TH!L2721,2)="15",LEFT(TH!M2721,2)="15"),'152-CT'!$J$8=TH!F2721),"x","")</f>
        <v/>
      </c>
      <c r="Z2721" s="39" t="str">
        <f>IF(AND(OR(LEFT(TH!L2721,2)="15",LEFT(TH!M2721,2)="15"),TK!$E$7=TH!F2721),"x","")</f>
        <v/>
      </c>
      <c r="AA2721" s="39" t="str">
        <f>IF(AND(B2721&lt;=NKC!$N$8,B2721&gt;=NKC!$M$8),"x","")</f>
        <v/>
      </c>
      <c r="AB2721" s="821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14"/>
        <v/>
      </c>
      <c r="C2722" s="191"/>
      <c r="D2722" s="37"/>
      <c r="E2722" s="191"/>
      <c r="F2722" s="40"/>
      <c r="G2722" s="40"/>
      <c r="H2722" s="7"/>
      <c r="I2722" s="256"/>
      <c r="J2722" s="256"/>
      <c r="K2722" s="568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902" t="str">
        <f>IF(AND('341-CT'!$E$9=H2722,OR(LEFT(L2722,3)=$O$7,LEFT(M2722,3)=$O$7)),"x","")</f>
        <v/>
      </c>
      <c r="P2722" s="39" t="str">
        <f>IF(AND($B2722&gt;='111'!$N$11,$B2722&lt;='111'!$O$11,OR($L2722=$P$7,$M2722=$P$7)),"x","")</f>
        <v/>
      </c>
      <c r="Q2722" s="39" t="str">
        <f>IF(AND($L2722=$P$7,$B2722&lt;'111'!$N$11),"x","")</f>
        <v/>
      </c>
      <c r="R2722" s="39" t="str">
        <f>IF(AND($M2722=$P$7,$B2722&lt;'111'!$N$11),"x","")</f>
        <v/>
      </c>
      <c r="S2722" s="39" t="str">
        <f>IF(ISERROR(FIND('112'!$M$9,G2722,1)),"",IF((AND(FIND('112'!$M$9,G2722,1)&gt;=1,$B2722&gt;='112'!$N$8,$B2722&lt;='112'!$O$8,OR($L2722='112'!$I$6,$M2722='112'!$I$6))),"x",""))</f>
        <v/>
      </c>
      <c r="T2722" s="39" t="str">
        <f>IF(ISERROR(FIND('112'!$M$9,G2722,1)),"",IF((AND(LEFT(G2722,2)=LEFT('112'!$M$9,2),B2722&lt;'112'!$N$8,$L2722='112'!$I$6)),"x",""))</f>
        <v/>
      </c>
      <c r="U2722" s="39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39" t="str">
        <f>IF(OR(TH!L2722=TH!$W$7,M2722=TH!$W$7),"x","")</f>
        <v/>
      </c>
      <c r="X2722" s="39" t="str">
        <f>IF(AND(B2722&gt;='IN-NX'!$P$3,B2722&lt;='IN-NX'!$Q$3,'IN-NX'!$D$7=D2722,OR(LEFT(L2722,2)="15",AND(LEFT(M2722,2)&lt;&gt;"15",LEFT(M2722,2)&lt;&gt;"33"))),"x","")</f>
        <v/>
      </c>
      <c r="Y2722" s="39" t="str">
        <f>IF(AND(OR(LEFT(TH!L2722,2)="15",LEFT(TH!M2722,2)="15"),'152-CT'!$J$8=TH!F2722),"x","")</f>
        <v/>
      </c>
      <c r="Z2722" s="39" t="str">
        <f>IF(AND(OR(LEFT(TH!L2722,2)="15",LEFT(TH!M2722,2)="15"),TK!$E$7=TH!F2722),"x","")</f>
        <v/>
      </c>
      <c r="AA2722" s="39" t="str">
        <f>IF(AND(B2722&lt;=NKC!$N$8,B2722&gt;=NKC!$M$8),"x","")</f>
        <v/>
      </c>
      <c r="AB2722" s="821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14"/>
        <v/>
      </c>
      <c r="C2723" s="191"/>
      <c r="D2723" s="37"/>
      <c r="E2723" s="191"/>
      <c r="F2723" s="40"/>
      <c r="G2723" s="40"/>
      <c r="H2723" s="7"/>
      <c r="I2723" s="256"/>
      <c r="J2723" s="256"/>
      <c r="K2723" s="568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902" t="str">
        <f>IF(AND('341-CT'!$E$9=H2723,OR(LEFT(L2723,3)=$O$7,LEFT(M2723,3)=$O$7)),"x","")</f>
        <v/>
      </c>
      <c r="P2723" s="39" t="str">
        <f>IF(AND($B2723&gt;='111'!$N$11,$B2723&lt;='111'!$O$11,OR($L2723=$P$7,$M2723=$P$7)),"x","")</f>
        <v/>
      </c>
      <c r="Q2723" s="39" t="str">
        <f>IF(AND($L2723=$P$7,$B2723&lt;'111'!$N$11),"x","")</f>
        <v/>
      </c>
      <c r="R2723" s="39" t="str">
        <f>IF(AND($M2723=$P$7,$B2723&lt;'111'!$N$11),"x","")</f>
        <v/>
      </c>
      <c r="S2723" s="39" t="str">
        <f>IF(ISERROR(FIND('112'!$M$9,G2723,1)),"",IF((AND(FIND('112'!$M$9,G2723,1)&gt;=1,$B2723&gt;='112'!$N$8,$B2723&lt;='112'!$O$8,OR($L2723='112'!$I$6,$M2723='112'!$I$6))),"x",""))</f>
        <v/>
      </c>
      <c r="T2723" s="39" t="str">
        <f>IF(ISERROR(FIND('112'!$M$9,G2723,1)),"",IF((AND(LEFT(G2723,2)=LEFT('112'!$M$9,2),B2723&lt;'112'!$N$8,$L2723='112'!$I$6)),"x",""))</f>
        <v/>
      </c>
      <c r="U2723" s="39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39" t="str">
        <f>IF(OR(TH!L2723=TH!$W$7,M2723=TH!$W$7),"x","")</f>
        <v/>
      </c>
      <c r="X2723" s="39" t="str">
        <f>IF(AND(B2723&gt;='IN-NX'!$P$3,B2723&lt;='IN-NX'!$Q$3,'IN-NX'!$D$7=D2723,OR(LEFT(L2723,2)="15",AND(LEFT(M2723,2)&lt;&gt;"15",LEFT(M2723,2)&lt;&gt;"33"))),"x","")</f>
        <v/>
      </c>
      <c r="Y2723" s="39" t="str">
        <f>IF(AND(OR(LEFT(TH!L2723,2)="15",LEFT(TH!M2723,2)="15"),'152-CT'!$J$8=TH!F2723),"x","")</f>
        <v/>
      </c>
      <c r="Z2723" s="39" t="str">
        <f>IF(AND(OR(LEFT(TH!L2723,2)="15",LEFT(TH!M2723,2)="15"),TK!$E$7=TH!F2723),"x","")</f>
        <v/>
      </c>
      <c r="AA2723" s="39" t="str">
        <f>IF(AND(B2723&lt;=NKC!$N$8,B2723&gt;=NKC!$M$8),"x","")</f>
        <v/>
      </c>
      <c r="AB2723" s="821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14"/>
        <v/>
      </c>
      <c r="C2724" s="191"/>
      <c r="D2724" s="37"/>
      <c r="E2724" s="191"/>
      <c r="F2724" s="40"/>
      <c r="G2724" s="40"/>
      <c r="H2724" s="7"/>
      <c r="I2724" s="256"/>
      <c r="J2724" s="256"/>
      <c r="K2724" s="568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902" t="str">
        <f>IF(AND('341-CT'!$E$9=H2724,OR(LEFT(L2724,3)=$O$7,LEFT(M2724,3)=$O$7)),"x","")</f>
        <v/>
      </c>
      <c r="P2724" s="39" t="str">
        <f>IF(AND($B2724&gt;='111'!$N$11,$B2724&lt;='111'!$O$11,OR($L2724=$P$7,$M2724=$P$7)),"x","")</f>
        <v/>
      </c>
      <c r="Q2724" s="39" t="str">
        <f>IF(AND($L2724=$P$7,$B2724&lt;'111'!$N$11),"x","")</f>
        <v/>
      </c>
      <c r="R2724" s="39" t="str">
        <f>IF(AND($M2724=$P$7,$B2724&lt;'111'!$N$11),"x","")</f>
        <v/>
      </c>
      <c r="S2724" s="39" t="str">
        <f>IF(ISERROR(FIND('112'!$M$9,G2724,1)),"",IF((AND(FIND('112'!$M$9,G2724,1)&gt;=1,$B2724&gt;='112'!$N$8,$B2724&lt;='112'!$O$8,OR($L2724='112'!$I$6,$M2724='112'!$I$6))),"x",""))</f>
        <v/>
      </c>
      <c r="T2724" s="39" t="str">
        <f>IF(ISERROR(FIND('112'!$M$9,G2724,1)),"",IF((AND(LEFT(G2724,2)=LEFT('112'!$M$9,2),B2724&lt;'112'!$N$8,$L2724='112'!$I$6)),"x",""))</f>
        <v/>
      </c>
      <c r="U2724" s="39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39" t="str">
        <f>IF(OR(TH!L2724=TH!$W$7,M2724=TH!$W$7),"x","")</f>
        <v/>
      </c>
      <c r="X2724" s="39" t="str">
        <f>IF(AND(B2724&gt;='IN-NX'!$P$3,B2724&lt;='IN-NX'!$Q$3,'IN-NX'!$D$7=D2724,OR(LEFT(L2724,2)="15",AND(LEFT(M2724,2)&lt;&gt;"15",LEFT(M2724,2)&lt;&gt;"33"))),"x","")</f>
        <v/>
      </c>
      <c r="Y2724" s="39" t="str">
        <f>IF(AND(OR(LEFT(TH!L2724,2)="15",LEFT(TH!M2724,2)="15"),'152-CT'!$J$8=TH!F2724),"x","")</f>
        <v/>
      </c>
      <c r="Z2724" s="39" t="str">
        <f>IF(AND(OR(LEFT(TH!L2724,2)="15",LEFT(TH!M2724,2)="15"),TK!$E$7=TH!F2724),"x","")</f>
        <v/>
      </c>
      <c r="AA2724" s="39" t="str">
        <f>IF(AND(B2724&lt;=NKC!$N$8,B2724&gt;=NKC!$M$8),"x","")</f>
        <v/>
      </c>
      <c r="AB2724" s="821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14"/>
        <v/>
      </c>
      <c r="C2725" s="191"/>
      <c r="D2725" s="37"/>
      <c r="E2725" s="191"/>
      <c r="F2725" s="40"/>
      <c r="G2725" s="40"/>
      <c r="H2725" s="7"/>
      <c r="I2725" s="256"/>
      <c r="J2725" s="256"/>
      <c r="K2725" s="568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902" t="str">
        <f>IF(AND('341-CT'!$E$9=H2725,OR(LEFT(L2725,3)=$O$7,LEFT(M2725,3)=$O$7)),"x","")</f>
        <v/>
      </c>
      <c r="P2725" s="39" t="str">
        <f>IF(AND($B2725&gt;='111'!$N$11,$B2725&lt;='111'!$O$11,OR($L2725=$P$7,$M2725=$P$7)),"x","")</f>
        <v/>
      </c>
      <c r="Q2725" s="39" t="str">
        <f>IF(AND($L2725=$P$7,$B2725&lt;'111'!$N$11),"x","")</f>
        <v/>
      </c>
      <c r="R2725" s="39" t="str">
        <f>IF(AND($M2725=$P$7,$B2725&lt;'111'!$N$11),"x","")</f>
        <v/>
      </c>
      <c r="S2725" s="39" t="str">
        <f>IF(ISERROR(FIND('112'!$M$9,G2725,1)),"",IF((AND(FIND('112'!$M$9,G2725,1)&gt;=1,$B2725&gt;='112'!$N$8,$B2725&lt;='112'!$O$8,OR($L2725='112'!$I$6,$M2725='112'!$I$6))),"x",""))</f>
        <v/>
      </c>
      <c r="T2725" s="39" t="str">
        <f>IF(ISERROR(FIND('112'!$M$9,G2725,1)),"",IF((AND(LEFT(G2725,2)=LEFT('112'!$M$9,2),B2725&lt;'112'!$N$8,$L2725='112'!$I$6)),"x",""))</f>
        <v/>
      </c>
      <c r="U2725" s="39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39" t="str">
        <f>IF(OR(TH!L2725=TH!$W$7,M2725=TH!$W$7),"x","")</f>
        <v/>
      </c>
      <c r="X2725" s="39" t="str">
        <f>IF(AND(B2725&gt;='IN-NX'!$P$3,B2725&lt;='IN-NX'!$Q$3,'IN-NX'!$D$7=D2725,OR(LEFT(L2725,2)="15",AND(LEFT(M2725,2)&lt;&gt;"15",LEFT(M2725,2)&lt;&gt;"33"))),"x","")</f>
        <v/>
      </c>
      <c r="Y2725" s="39" t="str">
        <f>IF(AND(OR(LEFT(TH!L2725,2)="15",LEFT(TH!M2725,2)="15"),'152-CT'!$J$8=TH!F2725),"x","")</f>
        <v/>
      </c>
      <c r="Z2725" s="39" t="str">
        <f>IF(AND(OR(LEFT(TH!L2725,2)="15",LEFT(TH!M2725,2)="15"),TK!$E$7=TH!F2725),"x","")</f>
        <v/>
      </c>
      <c r="AA2725" s="39" t="str">
        <f>IF(AND(B2725&lt;=NKC!$N$8,B2725&gt;=NKC!$M$8),"x","")</f>
        <v/>
      </c>
      <c r="AB2725" s="821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14"/>
        <v/>
      </c>
      <c r="C2726" s="191"/>
      <c r="D2726" s="37"/>
      <c r="E2726" s="191"/>
      <c r="F2726" s="40"/>
      <c r="G2726" s="40"/>
      <c r="H2726" s="7"/>
      <c r="I2726" s="256"/>
      <c r="J2726" s="256"/>
      <c r="K2726" s="568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902" t="str">
        <f>IF(AND('341-CT'!$E$9=H2726,OR(LEFT(L2726,3)=$O$7,LEFT(M2726,3)=$O$7)),"x","")</f>
        <v/>
      </c>
      <c r="P2726" s="39" t="str">
        <f>IF(AND($B2726&gt;='111'!$N$11,$B2726&lt;='111'!$O$11,OR($L2726=$P$7,$M2726=$P$7)),"x","")</f>
        <v/>
      </c>
      <c r="Q2726" s="39" t="str">
        <f>IF(AND($L2726=$P$7,$B2726&lt;'111'!$N$11),"x","")</f>
        <v/>
      </c>
      <c r="R2726" s="39" t="str">
        <f>IF(AND($M2726=$P$7,$B2726&lt;'111'!$N$11),"x","")</f>
        <v/>
      </c>
      <c r="S2726" s="39" t="str">
        <f>IF(ISERROR(FIND('112'!$M$9,G2726,1)),"",IF((AND(FIND('112'!$M$9,G2726,1)&gt;=1,$B2726&gt;='112'!$N$8,$B2726&lt;='112'!$O$8,OR($L2726='112'!$I$6,$M2726='112'!$I$6))),"x",""))</f>
        <v/>
      </c>
      <c r="T2726" s="39" t="str">
        <f>IF(ISERROR(FIND('112'!$M$9,G2726,1)),"",IF((AND(LEFT(G2726,2)=LEFT('112'!$M$9,2),B2726&lt;'112'!$N$8,$L2726='112'!$I$6)),"x",""))</f>
        <v/>
      </c>
      <c r="U2726" s="39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39" t="str">
        <f>IF(OR(TH!L2726=TH!$W$7,M2726=TH!$W$7),"x","")</f>
        <v/>
      </c>
      <c r="X2726" s="39" t="str">
        <f>IF(AND(B2726&gt;='IN-NX'!$P$3,B2726&lt;='IN-NX'!$Q$3,'IN-NX'!$D$7=D2726,OR(LEFT(L2726,2)="15",AND(LEFT(M2726,2)&lt;&gt;"15",LEFT(M2726,2)&lt;&gt;"33"))),"x","")</f>
        <v/>
      </c>
      <c r="Y2726" s="39" t="str">
        <f>IF(AND(OR(LEFT(TH!L2726,2)="15",LEFT(TH!M2726,2)="15"),'152-CT'!$J$8=TH!F2726),"x","")</f>
        <v/>
      </c>
      <c r="Z2726" s="39" t="str">
        <f>IF(AND(OR(LEFT(TH!L2726,2)="15",LEFT(TH!M2726,2)="15"),TK!$E$7=TH!F2726),"x","")</f>
        <v/>
      </c>
      <c r="AA2726" s="39" t="str">
        <f>IF(AND(B2726&lt;=NKC!$N$8,B2726&gt;=NKC!$M$8),"x","")</f>
        <v/>
      </c>
      <c r="AB2726" s="821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14"/>
        <v/>
      </c>
      <c r="C2727" s="191"/>
      <c r="D2727" s="37"/>
      <c r="E2727" s="191"/>
      <c r="F2727" s="40"/>
      <c r="G2727" s="40"/>
      <c r="H2727" s="7"/>
      <c r="I2727" s="256"/>
      <c r="J2727" s="256"/>
      <c r="K2727" s="568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902" t="str">
        <f>IF(AND('341-CT'!$E$9=H2727,OR(LEFT(L2727,3)=$O$7,LEFT(M2727,3)=$O$7)),"x","")</f>
        <v/>
      </c>
      <c r="P2727" s="39" t="str">
        <f>IF(AND($B2727&gt;='111'!$N$11,$B2727&lt;='111'!$O$11,OR($L2727=$P$7,$M2727=$P$7)),"x","")</f>
        <v/>
      </c>
      <c r="Q2727" s="39" t="str">
        <f>IF(AND($L2727=$P$7,$B2727&lt;'111'!$N$11),"x","")</f>
        <v/>
      </c>
      <c r="R2727" s="39" t="str">
        <f>IF(AND($M2727=$P$7,$B2727&lt;'111'!$N$11),"x","")</f>
        <v/>
      </c>
      <c r="S2727" s="39" t="str">
        <f>IF(ISERROR(FIND('112'!$M$9,G2727,1)),"",IF((AND(FIND('112'!$M$9,G2727,1)&gt;=1,$B2727&gt;='112'!$N$8,$B2727&lt;='112'!$O$8,OR($L2727='112'!$I$6,$M2727='112'!$I$6))),"x",""))</f>
        <v/>
      </c>
      <c r="T2727" s="39" t="str">
        <f>IF(ISERROR(FIND('112'!$M$9,G2727,1)),"",IF((AND(LEFT(G2727,2)=LEFT('112'!$M$9,2),B2727&lt;'112'!$N$8,$L2727='112'!$I$6)),"x",""))</f>
        <v/>
      </c>
      <c r="U2727" s="39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39" t="str">
        <f>IF(OR(TH!L2727=TH!$W$7,M2727=TH!$W$7),"x","")</f>
        <v/>
      </c>
      <c r="X2727" s="39" t="str">
        <f>IF(AND(B2727&gt;='IN-NX'!$P$3,B2727&lt;='IN-NX'!$Q$3,'IN-NX'!$D$7=D2727,OR(LEFT(L2727,2)="15",AND(LEFT(M2727,2)&lt;&gt;"15",LEFT(M2727,2)&lt;&gt;"33"))),"x","")</f>
        <v/>
      </c>
      <c r="Y2727" s="39" t="str">
        <f>IF(AND(OR(LEFT(TH!L2727,2)="15",LEFT(TH!M2727,2)="15"),'152-CT'!$J$8=TH!F2727),"x","")</f>
        <v/>
      </c>
      <c r="Z2727" s="39" t="str">
        <f>IF(AND(OR(LEFT(TH!L2727,2)="15",LEFT(TH!M2727,2)="15"),TK!$E$7=TH!F2727),"x","")</f>
        <v/>
      </c>
      <c r="AA2727" s="39" t="str">
        <f>IF(AND(B2727&lt;=NKC!$N$8,B2727&gt;=NKC!$M$8),"x","")</f>
        <v/>
      </c>
      <c r="AB2727" s="821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14"/>
        <v/>
      </c>
      <c r="C2728" s="191"/>
      <c r="D2728" s="37"/>
      <c r="E2728" s="191"/>
      <c r="F2728" s="40"/>
      <c r="G2728" s="40"/>
      <c r="H2728" s="7"/>
      <c r="I2728" s="256"/>
      <c r="J2728" s="256"/>
      <c r="K2728" s="568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902" t="str">
        <f>IF(AND('341-CT'!$E$9=H2728,OR(LEFT(L2728,3)=$O$7,LEFT(M2728,3)=$O$7)),"x","")</f>
        <v/>
      </c>
      <c r="P2728" s="39" t="str">
        <f>IF(AND($B2728&gt;='111'!$N$11,$B2728&lt;='111'!$O$11,OR($L2728=$P$7,$M2728=$P$7)),"x","")</f>
        <v/>
      </c>
      <c r="Q2728" s="39" t="str">
        <f>IF(AND($L2728=$P$7,$B2728&lt;'111'!$N$11),"x","")</f>
        <v/>
      </c>
      <c r="R2728" s="39" t="str">
        <f>IF(AND($M2728=$P$7,$B2728&lt;'111'!$N$11),"x","")</f>
        <v/>
      </c>
      <c r="S2728" s="39" t="str">
        <f>IF(ISERROR(FIND('112'!$M$9,G2728,1)),"",IF((AND(FIND('112'!$M$9,G2728,1)&gt;=1,$B2728&gt;='112'!$N$8,$B2728&lt;='112'!$O$8,OR($L2728='112'!$I$6,$M2728='112'!$I$6))),"x",""))</f>
        <v/>
      </c>
      <c r="T2728" s="39" t="str">
        <f>IF(ISERROR(FIND('112'!$M$9,G2728,1)),"",IF((AND(LEFT(G2728,2)=LEFT('112'!$M$9,2),B2728&lt;'112'!$N$8,$L2728='112'!$I$6)),"x",""))</f>
        <v/>
      </c>
      <c r="U2728" s="39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39" t="str">
        <f>IF(OR(TH!L2728=TH!$W$7,M2728=TH!$W$7),"x","")</f>
        <v/>
      </c>
      <c r="X2728" s="39" t="str">
        <f>IF(AND(B2728&gt;='IN-NX'!$P$3,B2728&lt;='IN-NX'!$Q$3,'IN-NX'!$D$7=D2728,OR(LEFT(L2728,2)="15",AND(LEFT(M2728,2)&lt;&gt;"15",LEFT(M2728,2)&lt;&gt;"33"))),"x","")</f>
        <v/>
      </c>
      <c r="Y2728" s="39" t="str">
        <f>IF(AND(OR(LEFT(TH!L2728,2)="15",LEFT(TH!M2728,2)="15"),'152-CT'!$J$8=TH!F2728),"x","")</f>
        <v/>
      </c>
      <c r="Z2728" s="39" t="str">
        <f>IF(AND(OR(LEFT(TH!L2728,2)="15",LEFT(TH!M2728,2)="15"),TK!$E$7=TH!F2728),"x","")</f>
        <v/>
      </c>
      <c r="AA2728" s="39" t="str">
        <f>IF(AND(B2728&lt;=NKC!$N$8,B2728&gt;=NKC!$M$8),"x","")</f>
        <v/>
      </c>
      <c r="AB2728" s="821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14"/>
        <v/>
      </c>
      <c r="C2729" s="191"/>
      <c r="D2729" s="37"/>
      <c r="E2729" s="191"/>
      <c r="F2729" s="40"/>
      <c r="G2729" s="40"/>
      <c r="H2729" s="7"/>
      <c r="I2729" s="256"/>
      <c r="J2729" s="256"/>
      <c r="K2729" s="568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902" t="str">
        <f>IF(AND('341-CT'!$E$9=H2729,OR(LEFT(L2729,3)=$O$7,LEFT(M2729,3)=$O$7)),"x","")</f>
        <v/>
      </c>
      <c r="P2729" s="39" t="str">
        <f>IF(AND($B2729&gt;='111'!$N$11,$B2729&lt;='111'!$O$11,OR($L2729=$P$7,$M2729=$P$7)),"x","")</f>
        <v/>
      </c>
      <c r="Q2729" s="39" t="str">
        <f>IF(AND($L2729=$P$7,$B2729&lt;'111'!$N$11),"x","")</f>
        <v/>
      </c>
      <c r="R2729" s="39" t="str">
        <f>IF(AND($M2729=$P$7,$B2729&lt;'111'!$N$11),"x","")</f>
        <v/>
      </c>
      <c r="S2729" s="39" t="str">
        <f>IF(ISERROR(FIND('112'!$M$9,G2729,1)),"",IF((AND(FIND('112'!$M$9,G2729,1)&gt;=1,$B2729&gt;='112'!$N$8,$B2729&lt;='112'!$O$8,OR($L2729='112'!$I$6,$M2729='112'!$I$6))),"x",""))</f>
        <v/>
      </c>
      <c r="T2729" s="39" t="str">
        <f>IF(ISERROR(FIND('112'!$M$9,G2729,1)),"",IF((AND(LEFT(G2729,2)=LEFT('112'!$M$9,2),B2729&lt;'112'!$N$8,$L2729='112'!$I$6)),"x",""))</f>
        <v/>
      </c>
      <c r="U2729" s="39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39" t="str">
        <f>IF(OR(TH!L2729=TH!$W$7,M2729=TH!$W$7),"x","")</f>
        <v/>
      </c>
      <c r="X2729" s="39" t="str">
        <f>IF(AND(B2729&gt;='IN-NX'!$P$3,B2729&lt;='IN-NX'!$Q$3,'IN-NX'!$D$7=D2729,OR(LEFT(L2729,2)="15",AND(LEFT(M2729,2)&lt;&gt;"15",LEFT(M2729,2)&lt;&gt;"33"))),"x","")</f>
        <v/>
      </c>
      <c r="Y2729" s="39" t="str">
        <f>IF(AND(OR(LEFT(TH!L2729,2)="15",LEFT(TH!M2729,2)="15"),'152-CT'!$J$8=TH!F2729),"x","")</f>
        <v/>
      </c>
      <c r="Z2729" s="39" t="str">
        <f>IF(AND(OR(LEFT(TH!L2729,2)="15",LEFT(TH!M2729,2)="15"),TK!$E$7=TH!F2729),"x","")</f>
        <v/>
      </c>
      <c r="AA2729" s="39" t="str">
        <f>IF(AND(B2729&lt;=NKC!$N$8,B2729&gt;=NKC!$M$8),"x","")</f>
        <v/>
      </c>
      <c r="AB2729" s="821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14"/>
        <v/>
      </c>
      <c r="C2730" s="191"/>
      <c r="D2730" s="37"/>
      <c r="E2730" s="191"/>
      <c r="F2730" s="40"/>
      <c r="G2730" s="40"/>
      <c r="H2730" s="7"/>
      <c r="I2730" s="256"/>
      <c r="J2730" s="256"/>
      <c r="K2730" s="568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902" t="str">
        <f>IF(AND('341-CT'!$E$9=H2730,OR(LEFT(L2730,3)=$O$7,LEFT(M2730,3)=$O$7)),"x","")</f>
        <v/>
      </c>
      <c r="P2730" s="39" t="str">
        <f>IF(AND($B2730&gt;='111'!$N$11,$B2730&lt;='111'!$O$11,OR($L2730=$P$7,$M2730=$P$7)),"x","")</f>
        <v/>
      </c>
      <c r="Q2730" s="39" t="str">
        <f>IF(AND($L2730=$P$7,$B2730&lt;'111'!$N$11),"x","")</f>
        <v/>
      </c>
      <c r="R2730" s="39" t="str">
        <f>IF(AND($M2730=$P$7,$B2730&lt;'111'!$N$11),"x","")</f>
        <v/>
      </c>
      <c r="S2730" s="39" t="str">
        <f>IF(ISERROR(FIND('112'!$M$9,G2730,1)),"",IF((AND(FIND('112'!$M$9,G2730,1)&gt;=1,$B2730&gt;='112'!$N$8,$B2730&lt;='112'!$O$8,OR($L2730='112'!$I$6,$M2730='112'!$I$6))),"x",""))</f>
        <v/>
      </c>
      <c r="T2730" s="39" t="str">
        <f>IF(ISERROR(FIND('112'!$M$9,G2730,1)),"",IF((AND(LEFT(G2730,2)=LEFT('112'!$M$9,2),B2730&lt;'112'!$N$8,$L2730='112'!$I$6)),"x",""))</f>
        <v/>
      </c>
      <c r="U2730" s="39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39" t="str">
        <f>IF(OR(TH!L2730=TH!$W$7,M2730=TH!$W$7),"x","")</f>
        <v/>
      </c>
      <c r="X2730" s="39" t="str">
        <f>IF(AND(B2730&gt;='IN-NX'!$P$3,B2730&lt;='IN-NX'!$Q$3,'IN-NX'!$D$7=D2730,OR(LEFT(L2730,2)="15",AND(LEFT(M2730,2)&lt;&gt;"15",LEFT(M2730,2)&lt;&gt;"33"))),"x","")</f>
        <v/>
      </c>
      <c r="Y2730" s="39" t="str">
        <f>IF(AND(OR(LEFT(TH!L2730,2)="15",LEFT(TH!M2730,2)="15"),'152-CT'!$J$8=TH!F2730),"x","")</f>
        <v/>
      </c>
      <c r="Z2730" s="39" t="str">
        <f>IF(AND(OR(LEFT(TH!L2730,2)="15",LEFT(TH!M2730,2)="15"),TK!$E$7=TH!F2730),"x","")</f>
        <v/>
      </c>
      <c r="AA2730" s="39" t="str">
        <f>IF(AND(B2730&lt;=NKC!$N$8,B2730&gt;=NKC!$M$8),"x","")</f>
        <v/>
      </c>
      <c r="AB2730" s="821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14"/>
        <v/>
      </c>
      <c r="C2731" s="191"/>
      <c r="D2731" s="37"/>
      <c r="E2731" s="191"/>
      <c r="F2731" s="40"/>
      <c r="G2731" s="40"/>
      <c r="H2731" s="7"/>
      <c r="I2731" s="256"/>
      <c r="J2731" s="256"/>
      <c r="K2731" s="568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902" t="str">
        <f>IF(AND('341-CT'!$E$9=H2731,OR(LEFT(L2731,3)=$O$7,LEFT(M2731,3)=$O$7)),"x","")</f>
        <v/>
      </c>
      <c r="P2731" s="39" t="str">
        <f>IF(AND($B2731&gt;='111'!$N$11,$B2731&lt;='111'!$O$11,OR($L2731=$P$7,$M2731=$P$7)),"x","")</f>
        <v/>
      </c>
      <c r="Q2731" s="39" t="str">
        <f>IF(AND($L2731=$P$7,$B2731&lt;'111'!$N$11),"x","")</f>
        <v/>
      </c>
      <c r="R2731" s="39" t="str">
        <f>IF(AND($M2731=$P$7,$B2731&lt;'111'!$N$11),"x","")</f>
        <v/>
      </c>
      <c r="S2731" s="39" t="str">
        <f>IF(ISERROR(FIND('112'!$M$9,G2731,1)),"",IF((AND(FIND('112'!$M$9,G2731,1)&gt;=1,$B2731&gt;='112'!$N$8,$B2731&lt;='112'!$O$8,OR($L2731='112'!$I$6,$M2731='112'!$I$6))),"x",""))</f>
        <v/>
      </c>
      <c r="T2731" s="39" t="str">
        <f>IF(ISERROR(FIND('112'!$M$9,G2731,1)),"",IF((AND(LEFT(G2731,2)=LEFT('112'!$M$9,2),B2731&lt;'112'!$N$8,$L2731='112'!$I$6)),"x",""))</f>
        <v/>
      </c>
      <c r="U2731" s="39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39" t="str">
        <f>IF(OR(TH!L2731=TH!$W$7,M2731=TH!$W$7),"x","")</f>
        <v/>
      </c>
      <c r="X2731" s="39" t="str">
        <f>IF(AND(B2731&gt;='IN-NX'!$P$3,B2731&lt;='IN-NX'!$Q$3,'IN-NX'!$D$7=D2731,OR(LEFT(L2731,2)="15",AND(LEFT(M2731,2)&lt;&gt;"15",LEFT(M2731,2)&lt;&gt;"33"))),"x","")</f>
        <v/>
      </c>
      <c r="Y2731" s="39" t="str">
        <f>IF(AND(OR(LEFT(TH!L2731,2)="15",LEFT(TH!M2731,2)="15"),'152-CT'!$J$8=TH!F2731),"x","")</f>
        <v/>
      </c>
      <c r="Z2731" s="39" t="str">
        <f>IF(AND(OR(LEFT(TH!L2731,2)="15",LEFT(TH!M2731,2)="15"),TK!$E$7=TH!F2731),"x","")</f>
        <v/>
      </c>
      <c r="AA2731" s="39" t="str">
        <f>IF(AND(B2731&lt;=NKC!$N$8,B2731&gt;=NKC!$M$8),"x","")</f>
        <v/>
      </c>
      <c r="AB2731" s="821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14"/>
        <v/>
      </c>
      <c r="C2732" s="191"/>
      <c r="D2732" s="37"/>
      <c r="E2732" s="191"/>
      <c r="F2732" s="40"/>
      <c r="G2732" s="40"/>
      <c r="H2732" s="7"/>
      <c r="I2732" s="256"/>
      <c r="J2732" s="256"/>
      <c r="K2732" s="568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902" t="str">
        <f>IF(AND('341-CT'!$E$9=H2732,OR(LEFT(L2732,3)=$O$7,LEFT(M2732,3)=$O$7)),"x","")</f>
        <v/>
      </c>
      <c r="P2732" s="39" t="str">
        <f>IF(AND($B2732&gt;='111'!$N$11,$B2732&lt;='111'!$O$11,OR($L2732=$P$7,$M2732=$P$7)),"x","")</f>
        <v/>
      </c>
      <c r="Q2732" s="39" t="str">
        <f>IF(AND($L2732=$P$7,$B2732&lt;'111'!$N$11),"x","")</f>
        <v/>
      </c>
      <c r="R2732" s="39" t="str">
        <f>IF(AND($M2732=$P$7,$B2732&lt;'111'!$N$11),"x","")</f>
        <v/>
      </c>
      <c r="S2732" s="39" t="str">
        <f>IF(ISERROR(FIND('112'!$M$9,G2732,1)),"",IF((AND(FIND('112'!$M$9,G2732,1)&gt;=1,$B2732&gt;='112'!$N$8,$B2732&lt;='112'!$O$8,OR($L2732='112'!$I$6,$M2732='112'!$I$6))),"x",""))</f>
        <v/>
      </c>
      <c r="T2732" s="39" t="str">
        <f>IF(ISERROR(FIND('112'!$M$9,G2732,1)),"",IF((AND(LEFT(G2732,2)=LEFT('112'!$M$9,2),B2732&lt;'112'!$N$8,$L2732='112'!$I$6)),"x",""))</f>
        <v/>
      </c>
      <c r="U2732" s="39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39" t="str">
        <f>IF(OR(TH!L2732=TH!$W$7,M2732=TH!$W$7),"x","")</f>
        <v/>
      </c>
      <c r="X2732" s="39" t="str">
        <f>IF(AND(B2732&gt;='IN-NX'!$P$3,B2732&lt;='IN-NX'!$Q$3,'IN-NX'!$D$7=D2732,OR(LEFT(L2732,2)="15",AND(LEFT(M2732,2)&lt;&gt;"15",LEFT(M2732,2)&lt;&gt;"33"))),"x","")</f>
        <v/>
      </c>
      <c r="Y2732" s="39" t="str">
        <f>IF(AND(OR(LEFT(TH!L2732,2)="15",LEFT(TH!M2732,2)="15"),'152-CT'!$J$8=TH!F2732),"x","")</f>
        <v/>
      </c>
      <c r="Z2732" s="39" t="str">
        <f>IF(AND(OR(LEFT(TH!L2732,2)="15",LEFT(TH!M2732,2)="15"),TK!$E$7=TH!F2732),"x","")</f>
        <v/>
      </c>
      <c r="AA2732" s="39" t="str">
        <f>IF(AND(B2732&lt;=NKC!$N$8,B2732&gt;=NKC!$M$8),"x","")</f>
        <v/>
      </c>
      <c r="AB2732" s="821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14"/>
        <v/>
      </c>
      <c r="C2733" s="191"/>
      <c r="D2733" s="37"/>
      <c r="E2733" s="191"/>
      <c r="F2733" s="40"/>
      <c r="G2733" s="40"/>
      <c r="H2733" s="7"/>
      <c r="I2733" s="256"/>
      <c r="J2733" s="256"/>
      <c r="K2733" s="568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902" t="str">
        <f>IF(AND('341-CT'!$E$9=H2733,OR(LEFT(L2733,3)=$O$7,LEFT(M2733,3)=$O$7)),"x","")</f>
        <v/>
      </c>
      <c r="P2733" s="39" t="str">
        <f>IF(AND($B2733&gt;='111'!$N$11,$B2733&lt;='111'!$O$11,OR($L2733=$P$7,$M2733=$P$7)),"x","")</f>
        <v/>
      </c>
      <c r="Q2733" s="39" t="str">
        <f>IF(AND($L2733=$P$7,$B2733&lt;'111'!$N$11),"x","")</f>
        <v/>
      </c>
      <c r="R2733" s="39" t="str">
        <f>IF(AND($M2733=$P$7,$B2733&lt;'111'!$N$11),"x","")</f>
        <v/>
      </c>
      <c r="S2733" s="39" t="str">
        <f>IF(ISERROR(FIND('112'!$M$9,G2733,1)),"",IF((AND(FIND('112'!$M$9,G2733,1)&gt;=1,$B2733&gt;='112'!$N$8,$B2733&lt;='112'!$O$8,OR($L2733='112'!$I$6,$M2733='112'!$I$6))),"x",""))</f>
        <v/>
      </c>
      <c r="T2733" s="39" t="str">
        <f>IF(ISERROR(FIND('112'!$M$9,G2733,1)),"",IF((AND(LEFT(G2733,2)=LEFT('112'!$M$9,2),B2733&lt;'112'!$N$8,$L2733='112'!$I$6)),"x",""))</f>
        <v/>
      </c>
      <c r="U2733" s="39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39" t="str">
        <f>IF(OR(TH!L2733=TH!$W$7,M2733=TH!$W$7),"x","")</f>
        <v/>
      </c>
      <c r="X2733" s="39" t="str">
        <f>IF(AND(B2733&gt;='IN-NX'!$P$3,B2733&lt;='IN-NX'!$Q$3,'IN-NX'!$D$7=D2733,OR(LEFT(L2733,2)="15",AND(LEFT(M2733,2)&lt;&gt;"15",LEFT(M2733,2)&lt;&gt;"33"))),"x","")</f>
        <v/>
      </c>
      <c r="Y2733" s="39" t="str">
        <f>IF(AND(OR(LEFT(TH!L2733,2)="15",LEFT(TH!M2733,2)="15"),'152-CT'!$J$8=TH!F2733),"x","")</f>
        <v/>
      </c>
      <c r="Z2733" s="39" t="str">
        <f>IF(AND(OR(LEFT(TH!L2733,2)="15",LEFT(TH!M2733,2)="15"),TK!$E$7=TH!F2733),"x","")</f>
        <v/>
      </c>
      <c r="AA2733" s="39" t="str">
        <f>IF(AND(B2733&lt;=NKC!$N$8,B2733&gt;=NKC!$M$8),"x","")</f>
        <v/>
      </c>
      <c r="AB2733" s="821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14"/>
        <v/>
      </c>
      <c r="C2734" s="191"/>
      <c r="D2734" s="37"/>
      <c r="E2734" s="191"/>
      <c r="F2734" s="40"/>
      <c r="G2734" s="40"/>
      <c r="H2734" s="7"/>
      <c r="I2734" s="256"/>
      <c r="J2734" s="256"/>
      <c r="K2734" s="568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902" t="str">
        <f>IF(AND('341-CT'!$E$9=H2734,OR(LEFT(L2734,3)=$O$7,LEFT(M2734,3)=$O$7)),"x","")</f>
        <v/>
      </c>
      <c r="P2734" s="39" t="str">
        <f>IF(AND($B2734&gt;='111'!$N$11,$B2734&lt;='111'!$O$11,OR($L2734=$P$7,$M2734=$P$7)),"x","")</f>
        <v/>
      </c>
      <c r="Q2734" s="39" t="str">
        <f>IF(AND($L2734=$P$7,$B2734&lt;'111'!$N$11),"x","")</f>
        <v/>
      </c>
      <c r="R2734" s="39" t="str">
        <f>IF(AND($M2734=$P$7,$B2734&lt;'111'!$N$11),"x","")</f>
        <v/>
      </c>
      <c r="S2734" s="39" t="str">
        <f>IF(ISERROR(FIND('112'!$M$9,G2734,1)),"",IF((AND(FIND('112'!$M$9,G2734,1)&gt;=1,$B2734&gt;='112'!$N$8,$B2734&lt;='112'!$O$8,OR($L2734='112'!$I$6,$M2734='112'!$I$6))),"x",""))</f>
        <v/>
      </c>
      <c r="T2734" s="39" t="str">
        <f>IF(ISERROR(FIND('112'!$M$9,G2734,1)),"",IF((AND(LEFT(G2734,2)=LEFT('112'!$M$9,2),B2734&lt;'112'!$N$8,$L2734='112'!$I$6)),"x",""))</f>
        <v/>
      </c>
      <c r="U2734" s="39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39" t="str">
        <f>IF(OR(TH!L2734=TH!$W$7,M2734=TH!$W$7),"x","")</f>
        <v/>
      </c>
      <c r="X2734" s="39" t="str">
        <f>IF(AND(B2734&gt;='IN-NX'!$P$3,B2734&lt;='IN-NX'!$Q$3,'IN-NX'!$D$7=D2734,OR(LEFT(L2734,2)="15",AND(LEFT(M2734,2)&lt;&gt;"15",LEFT(M2734,2)&lt;&gt;"33"))),"x","")</f>
        <v/>
      </c>
      <c r="Y2734" s="39" t="str">
        <f>IF(AND(OR(LEFT(TH!L2734,2)="15",LEFT(TH!M2734,2)="15"),'152-CT'!$J$8=TH!F2734),"x","")</f>
        <v/>
      </c>
      <c r="Z2734" s="39" t="str">
        <f>IF(AND(OR(LEFT(TH!L2734,2)="15",LEFT(TH!M2734,2)="15"),TK!$E$7=TH!F2734),"x","")</f>
        <v/>
      </c>
      <c r="AA2734" s="39" t="str">
        <f>IF(AND(B2734&lt;=NKC!$N$8,B2734&gt;=NKC!$M$8),"x","")</f>
        <v/>
      </c>
      <c r="AB2734" s="821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14"/>
        <v/>
      </c>
      <c r="C2735" s="191"/>
      <c r="D2735" s="37"/>
      <c r="E2735" s="191"/>
      <c r="F2735" s="40"/>
      <c r="G2735" s="40"/>
      <c r="H2735" s="7"/>
      <c r="I2735" s="256"/>
      <c r="J2735" s="256"/>
      <c r="K2735" s="568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902" t="str">
        <f>IF(AND('341-CT'!$E$9=H2735,OR(LEFT(L2735,3)=$O$7,LEFT(M2735,3)=$O$7)),"x","")</f>
        <v/>
      </c>
      <c r="P2735" s="39" t="str">
        <f>IF(AND($B2735&gt;='111'!$N$11,$B2735&lt;='111'!$O$11,OR($L2735=$P$7,$M2735=$P$7)),"x","")</f>
        <v/>
      </c>
      <c r="Q2735" s="39" t="str">
        <f>IF(AND($L2735=$P$7,$B2735&lt;'111'!$N$11),"x","")</f>
        <v/>
      </c>
      <c r="R2735" s="39" t="str">
        <f>IF(AND($M2735=$P$7,$B2735&lt;'111'!$N$11),"x","")</f>
        <v/>
      </c>
      <c r="S2735" s="39" t="str">
        <f>IF(ISERROR(FIND('112'!$M$9,G2735,1)),"",IF((AND(FIND('112'!$M$9,G2735,1)&gt;=1,$B2735&gt;='112'!$N$8,$B2735&lt;='112'!$O$8,OR($L2735='112'!$I$6,$M2735='112'!$I$6))),"x",""))</f>
        <v/>
      </c>
      <c r="T2735" s="39" t="str">
        <f>IF(ISERROR(FIND('112'!$M$9,G2735,1)),"",IF((AND(LEFT(G2735,2)=LEFT('112'!$M$9,2),B2735&lt;'112'!$N$8,$L2735='112'!$I$6)),"x",""))</f>
        <v/>
      </c>
      <c r="U2735" s="39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39" t="str">
        <f>IF(OR(TH!L2735=TH!$W$7,M2735=TH!$W$7),"x","")</f>
        <v/>
      </c>
      <c r="X2735" s="39" t="str">
        <f>IF(AND(B2735&gt;='IN-NX'!$P$3,B2735&lt;='IN-NX'!$Q$3,'IN-NX'!$D$7=D2735,OR(LEFT(L2735,2)="15",AND(LEFT(M2735,2)&lt;&gt;"15",LEFT(M2735,2)&lt;&gt;"33"))),"x","")</f>
        <v/>
      </c>
      <c r="Y2735" s="39" t="str">
        <f>IF(AND(OR(LEFT(TH!L2735,2)="15",LEFT(TH!M2735,2)="15"),'152-CT'!$J$8=TH!F2735),"x","")</f>
        <v/>
      </c>
      <c r="Z2735" s="39" t="str">
        <f>IF(AND(OR(LEFT(TH!L2735,2)="15",LEFT(TH!M2735,2)="15"),TK!$E$7=TH!F2735),"x","")</f>
        <v/>
      </c>
      <c r="AA2735" s="39" t="str">
        <f>IF(AND(B2735&lt;=NKC!$N$8,B2735&gt;=NKC!$M$8),"x","")</f>
        <v/>
      </c>
      <c r="AB2735" s="821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14"/>
        <v/>
      </c>
      <c r="C2736" s="191"/>
      <c r="D2736" s="37"/>
      <c r="E2736" s="191"/>
      <c r="F2736" s="40"/>
      <c r="G2736" s="40"/>
      <c r="H2736" s="7"/>
      <c r="I2736" s="256"/>
      <c r="J2736" s="256"/>
      <c r="K2736" s="568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902" t="str">
        <f>IF(AND('341-CT'!$E$9=H2736,OR(LEFT(L2736,3)=$O$7,LEFT(M2736,3)=$O$7)),"x","")</f>
        <v/>
      </c>
      <c r="P2736" s="39" t="str">
        <f>IF(AND($B2736&gt;='111'!$N$11,$B2736&lt;='111'!$O$11,OR($L2736=$P$7,$M2736=$P$7)),"x","")</f>
        <v/>
      </c>
      <c r="Q2736" s="39" t="str">
        <f>IF(AND($L2736=$P$7,$B2736&lt;'111'!$N$11),"x","")</f>
        <v/>
      </c>
      <c r="R2736" s="39" t="str">
        <f>IF(AND($M2736=$P$7,$B2736&lt;'111'!$N$11),"x","")</f>
        <v/>
      </c>
      <c r="S2736" s="39" t="str">
        <f>IF(ISERROR(FIND('112'!$M$9,G2736,1)),"",IF((AND(FIND('112'!$M$9,G2736,1)&gt;=1,$B2736&gt;='112'!$N$8,$B2736&lt;='112'!$O$8,OR($L2736='112'!$I$6,$M2736='112'!$I$6))),"x",""))</f>
        <v/>
      </c>
      <c r="T2736" s="39" t="str">
        <f>IF(ISERROR(FIND('112'!$M$9,G2736,1)),"",IF((AND(LEFT(G2736,2)=LEFT('112'!$M$9,2),B2736&lt;'112'!$N$8,$L2736='112'!$I$6)),"x",""))</f>
        <v/>
      </c>
      <c r="U2736" s="39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39" t="str">
        <f>IF(OR(TH!L2736=TH!$W$7,M2736=TH!$W$7),"x","")</f>
        <v/>
      </c>
      <c r="X2736" s="39" t="str">
        <f>IF(AND(B2736&gt;='IN-NX'!$P$3,B2736&lt;='IN-NX'!$Q$3,'IN-NX'!$D$7=D2736,OR(LEFT(L2736,2)="15",AND(LEFT(M2736,2)&lt;&gt;"15",LEFT(M2736,2)&lt;&gt;"33"))),"x","")</f>
        <v/>
      </c>
      <c r="Y2736" s="39" t="str">
        <f>IF(AND(OR(LEFT(TH!L2736,2)="15",LEFT(TH!M2736,2)="15"),'152-CT'!$J$8=TH!F2736),"x","")</f>
        <v/>
      </c>
      <c r="Z2736" s="39" t="str">
        <f>IF(AND(OR(LEFT(TH!L2736,2)="15",LEFT(TH!M2736,2)="15"),TK!$E$7=TH!F2736),"x","")</f>
        <v/>
      </c>
      <c r="AA2736" s="39" t="str">
        <f>IF(AND(B2736&lt;=NKC!$N$8,B2736&gt;=NKC!$M$8),"x","")</f>
        <v/>
      </c>
      <c r="AB2736" s="821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14"/>
        <v/>
      </c>
      <c r="C2737" s="191"/>
      <c r="D2737" s="37"/>
      <c r="E2737" s="191"/>
      <c r="F2737" s="40"/>
      <c r="G2737" s="40"/>
      <c r="H2737" s="7"/>
      <c r="I2737" s="256"/>
      <c r="J2737" s="256"/>
      <c r="K2737" s="568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902" t="str">
        <f>IF(AND('341-CT'!$E$9=H2737,OR(LEFT(L2737,3)=$O$7,LEFT(M2737,3)=$O$7)),"x","")</f>
        <v/>
      </c>
      <c r="P2737" s="39" t="str">
        <f>IF(AND($B2737&gt;='111'!$N$11,$B2737&lt;='111'!$O$11,OR($L2737=$P$7,$M2737=$P$7)),"x","")</f>
        <v/>
      </c>
      <c r="Q2737" s="39" t="str">
        <f>IF(AND($L2737=$P$7,$B2737&lt;'111'!$N$11),"x","")</f>
        <v/>
      </c>
      <c r="R2737" s="39" t="str">
        <f>IF(AND($M2737=$P$7,$B2737&lt;'111'!$N$11),"x","")</f>
        <v/>
      </c>
      <c r="S2737" s="39" t="str">
        <f>IF(ISERROR(FIND('112'!$M$9,G2737,1)),"",IF((AND(FIND('112'!$M$9,G2737,1)&gt;=1,$B2737&gt;='112'!$N$8,$B2737&lt;='112'!$O$8,OR($L2737='112'!$I$6,$M2737='112'!$I$6))),"x",""))</f>
        <v/>
      </c>
      <c r="T2737" s="39" t="str">
        <f>IF(ISERROR(FIND('112'!$M$9,G2737,1)),"",IF((AND(LEFT(G2737,2)=LEFT('112'!$M$9,2),B2737&lt;'112'!$N$8,$L2737='112'!$I$6)),"x",""))</f>
        <v/>
      </c>
      <c r="U2737" s="39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39" t="str">
        <f>IF(OR(TH!L2737=TH!$W$7,M2737=TH!$W$7),"x","")</f>
        <v/>
      </c>
      <c r="X2737" s="39" t="str">
        <f>IF(AND(B2737&gt;='IN-NX'!$P$3,B2737&lt;='IN-NX'!$Q$3,'IN-NX'!$D$7=D2737,OR(LEFT(L2737,2)="15",AND(LEFT(M2737,2)&lt;&gt;"15",LEFT(M2737,2)&lt;&gt;"33"))),"x","")</f>
        <v/>
      </c>
      <c r="Y2737" s="39" t="str">
        <f>IF(AND(OR(LEFT(TH!L2737,2)="15",LEFT(TH!M2737,2)="15"),'152-CT'!$J$8=TH!F2737),"x","")</f>
        <v/>
      </c>
      <c r="Z2737" s="39" t="str">
        <f>IF(AND(OR(LEFT(TH!L2737,2)="15",LEFT(TH!M2737,2)="15"),TK!$E$7=TH!F2737),"x","")</f>
        <v/>
      </c>
      <c r="AA2737" s="39" t="str">
        <f>IF(AND(B2737&lt;=NKC!$N$8,B2737&gt;=NKC!$M$8),"x","")</f>
        <v/>
      </c>
      <c r="AB2737" s="821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14"/>
        <v/>
      </c>
      <c r="C2738" s="191"/>
      <c r="D2738" s="37"/>
      <c r="E2738" s="191"/>
      <c r="F2738" s="40"/>
      <c r="G2738" s="40"/>
      <c r="H2738" s="7"/>
      <c r="I2738" s="256"/>
      <c r="J2738" s="256"/>
      <c r="K2738" s="568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902" t="str">
        <f>IF(AND('341-CT'!$E$9=H2738,OR(LEFT(L2738,3)=$O$7,LEFT(M2738,3)=$O$7)),"x","")</f>
        <v/>
      </c>
      <c r="P2738" s="39" t="str">
        <f>IF(AND($B2738&gt;='111'!$N$11,$B2738&lt;='111'!$O$11,OR($L2738=$P$7,$M2738=$P$7)),"x","")</f>
        <v/>
      </c>
      <c r="Q2738" s="39" t="str">
        <f>IF(AND($L2738=$P$7,$B2738&lt;'111'!$N$11),"x","")</f>
        <v/>
      </c>
      <c r="R2738" s="39" t="str">
        <f>IF(AND($M2738=$P$7,$B2738&lt;'111'!$N$11),"x","")</f>
        <v/>
      </c>
      <c r="S2738" s="39" t="str">
        <f>IF(ISERROR(FIND('112'!$M$9,G2738,1)),"",IF((AND(FIND('112'!$M$9,G2738,1)&gt;=1,$B2738&gt;='112'!$N$8,$B2738&lt;='112'!$O$8,OR($L2738='112'!$I$6,$M2738='112'!$I$6))),"x",""))</f>
        <v/>
      </c>
      <c r="T2738" s="39" t="str">
        <f>IF(ISERROR(FIND('112'!$M$9,G2738,1)),"",IF((AND(LEFT(G2738,2)=LEFT('112'!$M$9,2),B2738&lt;'112'!$N$8,$L2738='112'!$I$6)),"x",""))</f>
        <v/>
      </c>
      <c r="U2738" s="39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39" t="str">
        <f>IF(OR(TH!L2738=TH!$W$7,M2738=TH!$W$7),"x","")</f>
        <v/>
      </c>
      <c r="X2738" s="39" t="str">
        <f>IF(AND(B2738&gt;='IN-NX'!$P$3,B2738&lt;='IN-NX'!$Q$3,'IN-NX'!$D$7=D2738,OR(LEFT(L2738,2)="15",AND(LEFT(M2738,2)&lt;&gt;"15",LEFT(M2738,2)&lt;&gt;"33"))),"x","")</f>
        <v/>
      </c>
      <c r="Y2738" s="39" t="str">
        <f>IF(AND(OR(LEFT(TH!L2738,2)="15",LEFT(TH!M2738,2)="15"),'152-CT'!$J$8=TH!F2738),"x","")</f>
        <v/>
      </c>
      <c r="Z2738" s="39" t="str">
        <f>IF(AND(OR(LEFT(TH!L2738,2)="15",LEFT(TH!M2738,2)="15"),TK!$E$7=TH!F2738),"x","")</f>
        <v/>
      </c>
      <c r="AA2738" s="39" t="str">
        <f>IF(AND(B2738&lt;=NKC!$N$8,B2738&gt;=NKC!$M$8),"x","")</f>
        <v/>
      </c>
      <c r="AB2738" s="821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14"/>
        <v/>
      </c>
      <c r="C2739" s="191"/>
      <c r="D2739" s="37"/>
      <c r="E2739" s="191"/>
      <c r="F2739" s="40"/>
      <c r="G2739" s="40"/>
      <c r="H2739" s="7"/>
      <c r="I2739" s="256"/>
      <c r="J2739" s="256"/>
      <c r="K2739" s="568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902" t="str">
        <f>IF(AND('341-CT'!$E$9=H2739,OR(LEFT(L2739,3)=$O$7,LEFT(M2739,3)=$O$7)),"x","")</f>
        <v/>
      </c>
      <c r="P2739" s="39" t="str">
        <f>IF(AND($B2739&gt;='111'!$N$11,$B2739&lt;='111'!$O$11,OR($L2739=$P$7,$M2739=$P$7)),"x","")</f>
        <v/>
      </c>
      <c r="Q2739" s="39" t="str">
        <f>IF(AND($L2739=$P$7,$B2739&lt;'111'!$N$11),"x","")</f>
        <v/>
      </c>
      <c r="R2739" s="39" t="str">
        <f>IF(AND($M2739=$P$7,$B2739&lt;'111'!$N$11),"x","")</f>
        <v/>
      </c>
      <c r="S2739" s="39" t="str">
        <f>IF(ISERROR(FIND('112'!$M$9,G2739,1)),"",IF((AND(FIND('112'!$M$9,G2739,1)&gt;=1,$B2739&gt;='112'!$N$8,$B2739&lt;='112'!$O$8,OR($L2739='112'!$I$6,$M2739='112'!$I$6))),"x",""))</f>
        <v/>
      </c>
      <c r="T2739" s="39" t="str">
        <f>IF(ISERROR(FIND('112'!$M$9,G2739,1)),"",IF((AND(LEFT(G2739,2)=LEFT('112'!$M$9,2),B2739&lt;'112'!$N$8,$L2739='112'!$I$6)),"x",""))</f>
        <v/>
      </c>
      <c r="U2739" s="39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39" t="str">
        <f>IF(OR(TH!L2739=TH!$W$7,M2739=TH!$W$7),"x","")</f>
        <v/>
      </c>
      <c r="X2739" s="39" t="str">
        <f>IF(AND(B2739&gt;='IN-NX'!$P$3,B2739&lt;='IN-NX'!$Q$3,'IN-NX'!$D$7=D2739,OR(LEFT(L2739,2)="15",AND(LEFT(M2739,2)&lt;&gt;"15",LEFT(M2739,2)&lt;&gt;"33"))),"x","")</f>
        <v/>
      </c>
      <c r="Y2739" s="39" t="str">
        <f>IF(AND(OR(LEFT(TH!L2739,2)="15",LEFT(TH!M2739,2)="15"),'152-CT'!$J$8=TH!F2739),"x","")</f>
        <v/>
      </c>
      <c r="Z2739" s="39" t="str">
        <f>IF(AND(OR(LEFT(TH!L2739,2)="15",LEFT(TH!M2739,2)="15"),TK!$E$7=TH!F2739),"x","")</f>
        <v/>
      </c>
      <c r="AA2739" s="39" t="str">
        <f>IF(AND(B2739&lt;=NKC!$N$8,B2739&gt;=NKC!$M$8),"x","")</f>
        <v/>
      </c>
      <c r="AB2739" s="821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14"/>
        <v/>
      </c>
      <c r="C2740" s="191"/>
      <c r="D2740" s="37"/>
      <c r="E2740" s="191"/>
      <c r="F2740" s="40"/>
      <c r="G2740" s="40"/>
      <c r="H2740" s="7"/>
      <c r="I2740" s="256"/>
      <c r="J2740" s="256"/>
      <c r="K2740" s="568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902" t="str">
        <f>IF(AND('341-CT'!$E$9=H2740,OR(LEFT(L2740,3)=$O$7,LEFT(M2740,3)=$O$7)),"x","")</f>
        <v/>
      </c>
      <c r="P2740" s="39" t="str">
        <f>IF(AND($B2740&gt;='111'!$N$11,$B2740&lt;='111'!$O$11,OR($L2740=$P$7,$M2740=$P$7)),"x","")</f>
        <v/>
      </c>
      <c r="Q2740" s="39" t="str">
        <f>IF(AND($L2740=$P$7,$B2740&lt;'111'!$N$11),"x","")</f>
        <v/>
      </c>
      <c r="R2740" s="39" t="str">
        <f>IF(AND($M2740=$P$7,$B2740&lt;'111'!$N$11),"x","")</f>
        <v/>
      </c>
      <c r="S2740" s="39" t="str">
        <f>IF(ISERROR(FIND('112'!$M$9,G2740,1)),"",IF((AND(FIND('112'!$M$9,G2740,1)&gt;=1,$B2740&gt;='112'!$N$8,$B2740&lt;='112'!$O$8,OR($L2740='112'!$I$6,$M2740='112'!$I$6))),"x",""))</f>
        <v/>
      </c>
      <c r="T2740" s="39" t="str">
        <f>IF(ISERROR(FIND('112'!$M$9,G2740,1)),"",IF((AND(LEFT(G2740,2)=LEFT('112'!$M$9,2),B2740&lt;'112'!$N$8,$L2740='112'!$I$6)),"x",""))</f>
        <v/>
      </c>
      <c r="U2740" s="39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39" t="str">
        <f>IF(OR(TH!L2740=TH!$W$7,M2740=TH!$W$7),"x","")</f>
        <v/>
      </c>
      <c r="X2740" s="39" t="str">
        <f>IF(AND(B2740&gt;='IN-NX'!$P$3,B2740&lt;='IN-NX'!$Q$3,'IN-NX'!$D$7=D2740,OR(LEFT(L2740,2)="15",AND(LEFT(M2740,2)&lt;&gt;"15",LEFT(M2740,2)&lt;&gt;"33"))),"x","")</f>
        <v/>
      </c>
      <c r="Y2740" s="39" t="str">
        <f>IF(AND(OR(LEFT(TH!L2740,2)="15",LEFT(TH!M2740,2)="15"),'152-CT'!$J$8=TH!F2740),"x","")</f>
        <v/>
      </c>
      <c r="Z2740" s="39" t="str">
        <f>IF(AND(OR(LEFT(TH!L2740,2)="15",LEFT(TH!M2740,2)="15"),TK!$E$7=TH!F2740),"x","")</f>
        <v/>
      </c>
      <c r="AA2740" s="39" t="str">
        <f>IF(AND(B2740&lt;=NKC!$N$8,B2740&gt;=NKC!$M$8),"x","")</f>
        <v/>
      </c>
      <c r="AB2740" s="821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14"/>
        <v/>
      </c>
      <c r="C2741" s="191"/>
      <c r="D2741" s="37"/>
      <c r="E2741" s="191"/>
      <c r="F2741" s="40"/>
      <c r="G2741" s="40"/>
      <c r="H2741" s="7"/>
      <c r="I2741" s="256"/>
      <c r="J2741" s="256"/>
      <c r="K2741" s="568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902" t="str">
        <f>IF(AND('341-CT'!$E$9=H2741,OR(LEFT(L2741,3)=$O$7,LEFT(M2741,3)=$O$7)),"x","")</f>
        <v/>
      </c>
      <c r="P2741" s="39" t="str">
        <f>IF(AND($B2741&gt;='111'!$N$11,$B2741&lt;='111'!$O$11,OR($L2741=$P$7,$M2741=$P$7)),"x","")</f>
        <v/>
      </c>
      <c r="Q2741" s="39" t="str">
        <f>IF(AND($L2741=$P$7,$B2741&lt;'111'!$N$11),"x","")</f>
        <v/>
      </c>
      <c r="R2741" s="39" t="str">
        <f>IF(AND($M2741=$P$7,$B2741&lt;'111'!$N$11),"x","")</f>
        <v/>
      </c>
      <c r="S2741" s="39" t="str">
        <f>IF(ISERROR(FIND('112'!$M$9,G2741,1)),"",IF((AND(FIND('112'!$M$9,G2741,1)&gt;=1,$B2741&gt;='112'!$N$8,$B2741&lt;='112'!$O$8,OR($L2741='112'!$I$6,$M2741='112'!$I$6))),"x",""))</f>
        <v/>
      </c>
      <c r="T2741" s="39" t="str">
        <f>IF(ISERROR(FIND('112'!$M$9,G2741,1)),"",IF((AND(LEFT(G2741,2)=LEFT('112'!$M$9,2),B2741&lt;'112'!$N$8,$L2741='112'!$I$6)),"x",""))</f>
        <v/>
      </c>
      <c r="U2741" s="39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39" t="str">
        <f>IF(OR(TH!L2741=TH!$W$7,M2741=TH!$W$7),"x","")</f>
        <v/>
      </c>
      <c r="X2741" s="39" t="str">
        <f>IF(AND(B2741&gt;='IN-NX'!$P$3,B2741&lt;='IN-NX'!$Q$3,'IN-NX'!$D$7=D2741,OR(LEFT(L2741,2)="15",AND(LEFT(M2741,2)&lt;&gt;"15",LEFT(M2741,2)&lt;&gt;"33"))),"x","")</f>
        <v/>
      </c>
      <c r="Y2741" s="39" t="str">
        <f>IF(AND(OR(LEFT(TH!L2741,2)="15",LEFT(TH!M2741,2)="15"),'152-CT'!$J$8=TH!F2741),"x","")</f>
        <v/>
      </c>
      <c r="Z2741" s="39" t="str">
        <f>IF(AND(OR(LEFT(TH!L2741,2)="15",LEFT(TH!M2741,2)="15"),TK!$E$7=TH!F2741),"x","")</f>
        <v/>
      </c>
      <c r="AA2741" s="39" t="str">
        <f>IF(AND(B2741&lt;=NKC!$N$8,B2741&gt;=NKC!$M$8),"x","")</f>
        <v/>
      </c>
      <c r="AB2741" s="821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14"/>
        <v/>
      </c>
      <c r="C2742" s="191"/>
      <c r="D2742" s="37"/>
      <c r="E2742" s="191"/>
      <c r="F2742" s="40"/>
      <c r="G2742" s="40"/>
      <c r="H2742" s="7"/>
      <c r="I2742" s="256"/>
      <c r="J2742" s="256"/>
      <c r="K2742" s="568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902" t="str">
        <f>IF(AND('341-CT'!$E$9=H2742,OR(LEFT(L2742,3)=$O$7,LEFT(M2742,3)=$O$7)),"x","")</f>
        <v/>
      </c>
      <c r="P2742" s="39" t="str">
        <f>IF(AND($B2742&gt;='111'!$N$11,$B2742&lt;='111'!$O$11,OR($L2742=$P$7,$M2742=$P$7)),"x","")</f>
        <v/>
      </c>
      <c r="Q2742" s="39" t="str">
        <f>IF(AND($L2742=$P$7,$B2742&lt;'111'!$N$11),"x","")</f>
        <v/>
      </c>
      <c r="R2742" s="39" t="str">
        <f>IF(AND($M2742=$P$7,$B2742&lt;'111'!$N$11),"x","")</f>
        <v/>
      </c>
      <c r="S2742" s="39" t="str">
        <f>IF(ISERROR(FIND('112'!$M$9,G2742,1)),"",IF((AND(FIND('112'!$M$9,G2742,1)&gt;=1,$B2742&gt;='112'!$N$8,$B2742&lt;='112'!$O$8,OR($L2742='112'!$I$6,$M2742='112'!$I$6))),"x",""))</f>
        <v/>
      </c>
      <c r="T2742" s="39" t="str">
        <f>IF(ISERROR(FIND('112'!$M$9,G2742,1)),"",IF((AND(LEFT(G2742,2)=LEFT('112'!$M$9,2),B2742&lt;'112'!$N$8,$L2742='112'!$I$6)),"x",""))</f>
        <v/>
      </c>
      <c r="U2742" s="39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39" t="str">
        <f>IF(OR(TH!L2742=TH!$W$7,M2742=TH!$W$7),"x","")</f>
        <v/>
      </c>
      <c r="X2742" s="39" t="str">
        <f>IF(AND(B2742&gt;='IN-NX'!$P$3,B2742&lt;='IN-NX'!$Q$3,'IN-NX'!$D$7=D2742,OR(LEFT(L2742,2)="15",AND(LEFT(M2742,2)&lt;&gt;"15",LEFT(M2742,2)&lt;&gt;"33"))),"x","")</f>
        <v/>
      </c>
      <c r="Y2742" s="39" t="str">
        <f>IF(AND(OR(LEFT(TH!L2742,2)="15",LEFT(TH!M2742,2)="15"),'152-CT'!$J$8=TH!F2742),"x","")</f>
        <v/>
      </c>
      <c r="Z2742" s="39" t="str">
        <f>IF(AND(OR(LEFT(TH!L2742,2)="15",LEFT(TH!M2742,2)="15"),TK!$E$7=TH!F2742),"x","")</f>
        <v/>
      </c>
      <c r="AA2742" s="39" t="str">
        <f>IF(AND(B2742&lt;=NKC!$N$8,B2742&gt;=NKC!$M$8),"x","")</f>
        <v/>
      </c>
      <c r="AB2742" s="821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14"/>
        <v/>
      </c>
      <c r="C2743" s="191"/>
      <c r="D2743" s="37"/>
      <c r="E2743" s="191"/>
      <c r="F2743" s="40"/>
      <c r="G2743" s="40"/>
      <c r="H2743" s="7"/>
      <c r="I2743" s="256"/>
      <c r="J2743" s="256"/>
      <c r="K2743" s="568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902" t="str">
        <f>IF(AND('341-CT'!$E$9=H2743,OR(LEFT(L2743,3)=$O$7,LEFT(M2743,3)=$O$7)),"x","")</f>
        <v/>
      </c>
      <c r="P2743" s="39" t="str">
        <f>IF(AND($B2743&gt;='111'!$N$11,$B2743&lt;='111'!$O$11,OR($L2743=$P$7,$M2743=$P$7)),"x","")</f>
        <v/>
      </c>
      <c r="Q2743" s="39" t="str">
        <f>IF(AND($L2743=$P$7,$B2743&lt;'111'!$N$11),"x","")</f>
        <v/>
      </c>
      <c r="R2743" s="39" t="str">
        <f>IF(AND($M2743=$P$7,$B2743&lt;'111'!$N$11),"x","")</f>
        <v/>
      </c>
      <c r="S2743" s="39" t="str">
        <f>IF(ISERROR(FIND('112'!$M$9,G2743,1)),"",IF((AND(FIND('112'!$M$9,G2743,1)&gt;=1,$B2743&gt;='112'!$N$8,$B2743&lt;='112'!$O$8,OR($L2743='112'!$I$6,$M2743='112'!$I$6))),"x",""))</f>
        <v/>
      </c>
      <c r="T2743" s="39" t="str">
        <f>IF(ISERROR(FIND('112'!$M$9,G2743,1)),"",IF((AND(LEFT(G2743,2)=LEFT('112'!$M$9,2),B2743&lt;'112'!$N$8,$L2743='112'!$I$6)),"x",""))</f>
        <v/>
      </c>
      <c r="U2743" s="39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39" t="str">
        <f>IF(OR(TH!L2743=TH!$W$7,M2743=TH!$W$7),"x","")</f>
        <v/>
      </c>
      <c r="X2743" s="39" t="str">
        <f>IF(AND(B2743&gt;='IN-NX'!$P$3,B2743&lt;='IN-NX'!$Q$3,'IN-NX'!$D$7=D2743,OR(LEFT(L2743,2)="15",AND(LEFT(M2743,2)&lt;&gt;"15",LEFT(M2743,2)&lt;&gt;"33"))),"x","")</f>
        <v/>
      </c>
      <c r="Y2743" s="39" t="str">
        <f>IF(AND(OR(LEFT(TH!L2743,2)="15",LEFT(TH!M2743,2)="15"),'152-CT'!$J$8=TH!F2743),"x","")</f>
        <v/>
      </c>
      <c r="Z2743" s="39" t="str">
        <f>IF(AND(OR(LEFT(TH!L2743,2)="15",LEFT(TH!M2743,2)="15"),TK!$E$7=TH!F2743),"x","")</f>
        <v/>
      </c>
      <c r="AA2743" s="39" t="str">
        <f>IF(AND(B2743&lt;=NKC!$N$8,B2743&gt;=NKC!$M$8),"x","")</f>
        <v/>
      </c>
      <c r="AB2743" s="821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14"/>
        <v/>
      </c>
      <c r="C2744" s="191"/>
      <c r="D2744" s="37"/>
      <c r="E2744" s="191"/>
      <c r="F2744" s="40"/>
      <c r="G2744" s="40"/>
      <c r="H2744" s="7"/>
      <c r="I2744" s="256"/>
      <c r="J2744" s="256"/>
      <c r="K2744" s="568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902" t="str">
        <f>IF(AND('341-CT'!$E$9=H2744,OR(LEFT(L2744,3)=$O$7,LEFT(M2744,3)=$O$7)),"x","")</f>
        <v/>
      </c>
      <c r="P2744" s="39" t="str">
        <f>IF(AND($B2744&gt;='111'!$N$11,$B2744&lt;='111'!$O$11,OR($L2744=$P$7,$M2744=$P$7)),"x","")</f>
        <v/>
      </c>
      <c r="Q2744" s="39" t="str">
        <f>IF(AND($L2744=$P$7,$B2744&lt;'111'!$N$11),"x","")</f>
        <v/>
      </c>
      <c r="R2744" s="39" t="str">
        <f>IF(AND($M2744=$P$7,$B2744&lt;'111'!$N$11),"x","")</f>
        <v/>
      </c>
      <c r="S2744" s="39" t="str">
        <f>IF(ISERROR(FIND('112'!$M$9,G2744,1)),"",IF((AND(FIND('112'!$M$9,G2744,1)&gt;=1,$B2744&gt;='112'!$N$8,$B2744&lt;='112'!$O$8,OR($L2744='112'!$I$6,$M2744='112'!$I$6))),"x",""))</f>
        <v/>
      </c>
      <c r="T2744" s="39" t="str">
        <f>IF(ISERROR(FIND('112'!$M$9,G2744,1)),"",IF((AND(LEFT(G2744,2)=LEFT('112'!$M$9,2),B2744&lt;'112'!$N$8,$L2744='112'!$I$6)),"x",""))</f>
        <v/>
      </c>
      <c r="U2744" s="39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39" t="str">
        <f>IF(OR(TH!L2744=TH!$W$7,M2744=TH!$W$7),"x","")</f>
        <v/>
      </c>
      <c r="X2744" s="39" t="str">
        <f>IF(AND(B2744&gt;='IN-NX'!$P$3,B2744&lt;='IN-NX'!$Q$3,'IN-NX'!$D$7=D2744,OR(LEFT(L2744,2)="15",AND(LEFT(M2744,2)&lt;&gt;"15",LEFT(M2744,2)&lt;&gt;"33"))),"x","")</f>
        <v/>
      </c>
      <c r="Y2744" s="39" t="str">
        <f>IF(AND(OR(LEFT(TH!L2744,2)="15",LEFT(TH!M2744,2)="15"),'152-CT'!$J$8=TH!F2744),"x","")</f>
        <v/>
      </c>
      <c r="Z2744" s="39" t="str">
        <f>IF(AND(OR(LEFT(TH!L2744,2)="15",LEFT(TH!M2744,2)="15"),TK!$E$7=TH!F2744),"x","")</f>
        <v/>
      </c>
      <c r="AA2744" s="39" t="str">
        <f>IF(AND(B2744&lt;=NKC!$N$8,B2744&gt;=NKC!$M$8),"x","")</f>
        <v/>
      </c>
      <c r="AB2744" s="821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ref="B2745:B2792" si="115">IF(C2745&lt;&gt;"",MONTH(C2745),"")</f>
        <v/>
      </c>
      <c r="C2745" s="191"/>
      <c r="D2745" s="37"/>
      <c r="E2745" s="191"/>
      <c r="F2745" s="40"/>
      <c r="G2745" s="40"/>
      <c r="H2745" s="7"/>
      <c r="I2745" s="256"/>
      <c r="J2745" s="256"/>
      <c r="K2745" s="568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902" t="str">
        <f>IF(AND('341-CT'!$E$9=H2745,OR(LEFT(L2745,3)=$O$7,LEFT(M2745,3)=$O$7)),"x","")</f>
        <v/>
      </c>
      <c r="P2745" s="39" t="str">
        <f>IF(AND($B2745&gt;='111'!$N$11,$B2745&lt;='111'!$O$11,OR($L2745=$P$7,$M2745=$P$7)),"x","")</f>
        <v/>
      </c>
      <c r="Q2745" s="39" t="str">
        <f>IF(AND($L2745=$P$7,$B2745&lt;'111'!$N$11),"x","")</f>
        <v/>
      </c>
      <c r="R2745" s="39" t="str">
        <f>IF(AND($M2745=$P$7,$B2745&lt;'111'!$N$11),"x","")</f>
        <v/>
      </c>
      <c r="S2745" s="39" t="str">
        <f>IF(ISERROR(FIND('112'!$M$9,G2745,1)),"",IF((AND(FIND('112'!$M$9,G2745,1)&gt;=1,$B2745&gt;='112'!$N$8,$B2745&lt;='112'!$O$8,OR($L2745='112'!$I$6,$M2745='112'!$I$6))),"x",""))</f>
        <v/>
      </c>
      <c r="T2745" s="39" t="str">
        <f>IF(ISERROR(FIND('112'!$M$9,G2745,1)),"",IF((AND(LEFT(G2745,2)=LEFT('112'!$M$9,2),B2745&lt;'112'!$N$8,$L2745='112'!$I$6)),"x",""))</f>
        <v/>
      </c>
      <c r="U2745" s="39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39" t="str">
        <f>IF(OR(TH!L2745=TH!$W$7,M2745=TH!$W$7),"x","")</f>
        <v/>
      </c>
      <c r="X2745" s="39" t="str">
        <f>IF(AND(B2745&gt;='IN-NX'!$P$3,B2745&lt;='IN-NX'!$Q$3,'IN-NX'!$D$7=D2745,OR(LEFT(L2745,2)="15",AND(LEFT(M2745,2)&lt;&gt;"15",LEFT(M2745,2)&lt;&gt;"33"))),"x","")</f>
        <v/>
      </c>
      <c r="Y2745" s="39" t="str">
        <f>IF(AND(OR(LEFT(TH!L2745,2)="15",LEFT(TH!M2745,2)="15"),'152-CT'!$J$8=TH!F2745),"x","")</f>
        <v/>
      </c>
      <c r="Z2745" s="39" t="str">
        <f>IF(AND(OR(LEFT(TH!L2745,2)="15",LEFT(TH!M2745,2)="15"),TK!$E$7=TH!F2745),"x","")</f>
        <v/>
      </c>
      <c r="AA2745" s="39" t="str">
        <f>IF(AND(B2745&lt;=NKC!$N$8,B2745&gt;=NKC!$M$8),"x","")</f>
        <v/>
      </c>
      <c r="AB2745" s="821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15"/>
        <v/>
      </c>
      <c r="C2746" s="191"/>
      <c r="D2746" s="37"/>
      <c r="E2746" s="191"/>
      <c r="F2746" s="40"/>
      <c r="G2746" s="40"/>
      <c r="H2746" s="7"/>
      <c r="I2746" s="256"/>
      <c r="J2746" s="256"/>
      <c r="K2746" s="568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902" t="str">
        <f>IF(AND('341-CT'!$E$9=H2746,OR(LEFT(L2746,3)=$O$7,LEFT(M2746,3)=$O$7)),"x","")</f>
        <v/>
      </c>
      <c r="P2746" s="39" t="str">
        <f>IF(AND($B2746&gt;='111'!$N$11,$B2746&lt;='111'!$O$11,OR($L2746=$P$7,$M2746=$P$7)),"x","")</f>
        <v/>
      </c>
      <c r="Q2746" s="39" t="str">
        <f>IF(AND($L2746=$P$7,$B2746&lt;'111'!$N$11),"x","")</f>
        <v/>
      </c>
      <c r="R2746" s="39" t="str">
        <f>IF(AND($M2746=$P$7,$B2746&lt;'111'!$N$11),"x","")</f>
        <v/>
      </c>
      <c r="S2746" s="39" t="str">
        <f>IF(ISERROR(FIND('112'!$M$9,G2746,1)),"",IF((AND(FIND('112'!$M$9,G2746,1)&gt;=1,$B2746&gt;='112'!$N$8,$B2746&lt;='112'!$O$8,OR($L2746='112'!$I$6,$M2746='112'!$I$6))),"x",""))</f>
        <v/>
      </c>
      <c r="T2746" s="39" t="str">
        <f>IF(ISERROR(FIND('112'!$M$9,G2746,1)),"",IF((AND(LEFT(G2746,2)=LEFT('112'!$M$9,2),B2746&lt;'112'!$N$8,$L2746='112'!$I$6)),"x",""))</f>
        <v/>
      </c>
      <c r="U2746" s="39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39" t="str">
        <f>IF(OR(TH!L2746=TH!$W$7,M2746=TH!$W$7),"x","")</f>
        <v/>
      </c>
      <c r="X2746" s="39" t="str">
        <f>IF(AND(B2746&gt;='IN-NX'!$P$3,B2746&lt;='IN-NX'!$Q$3,'IN-NX'!$D$7=D2746,OR(LEFT(L2746,2)="15",AND(LEFT(M2746,2)&lt;&gt;"15",LEFT(M2746,2)&lt;&gt;"33"))),"x","")</f>
        <v/>
      </c>
      <c r="Y2746" s="39" t="str">
        <f>IF(AND(OR(LEFT(TH!L2746,2)="15",LEFT(TH!M2746,2)="15"),'152-CT'!$J$8=TH!F2746),"x","")</f>
        <v/>
      </c>
      <c r="Z2746" s="39" t="str">
        <f>IF(AND(OR(LEFT(TH!L2746,2)="15",LEFT(TH!M2746,2)="15"),TK!$E$7=TH!F2746),"x","")</f>
        <v/>
      </c>
      <c r="AA2746" s="39" t="str">
        <f>IF(AND(B2746&lt;=NKC!$N$8,B2746&gt;=NKC!$M$8),"x","")</f>
        <v/>
      </c>
      <c r="AB2746" s="821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15"/>
        <v/>
      </c>
      <c r="C2747" s="191"/>
      <c r="D2747" s="37"/>
      <c r="E2747" s="191"/>
      <c r="F2747" s="40"/>
      <c r="G2747" s="40"/>
      <c r="H2747" s="7"/>
      <c r="I2747" s="256"/>
      <c r="J2747" s="256"/>
      <c r="K2747" s="568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902" t="str">
        <f>IF(AND('341-CT'!$E$9=H2747,OR(LEFT(L2747,3)=$O$7,LEFT(M2747,3)=$O$7)),"x","")</f>
        <v/>
      </c>
      <c r="P2747" s="39" t="str">
        <f>IF(AND($B2747&gt;='111'!$N$11,$B2747&lt;='111'!$O$11,OR($L2747=$P$7,$M2747=$P$7)),"x","")</f>
        <v/>
      </c>
      <c r="Q2747" s="39" t="str">
        <f>IF(AND($L2747=$P$7,$B2747&lt;'111'!$N$11),"x","")</f>
        <v/>
      </c>
      <c r="R2747" s="39" t="str">
        <f>IF(AND($M2747=$P$7,$B2747&lt;'111'!$N$11),"x","")</f>
        <v/>
      </c>
      <c r="S2747" s="39" t="str">
        <f>IF(ISERROR(FIND('112'!$M$9,G2747,1)),"",IF((AND(FIND('112'!$M$9,G2747,1)&gt;=1,$B2747&gt;='112'!$N$8,$B2747&lt;='112'!$O$8,OR($L2747='112'!$I$6,$M2747='112'!$I$6))),"x",""))</f>
        <v/>
      </c>
      <c r="T2747" s="39" t="str">
        <f>IF(ISERROR(FIND('112'!$M$9,G2747,1)),"",IF((AND(LEFT(G2747,2)=LEFT('112'!$M$9,2),B2747&lt;'112'!$N$8,$L2747='112'!$I$6)),"x",""))</f>
        <v/>
      </c>
      <c r="U2747" s="39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39" t="str">
        <f>IF(OR(TH!L2747=TH!$W$7,M2747=TH!$W$7),"x","")</f>
        <v/>
      </c>
      <c r="X2747" s="39" t="str">
        <f>IF(AND(B2747&gt;='IN-NX'!$P$3,B2747&lt;='IN-NX'!$Q$3,'IN-NX'!$D$7=D2747,OR(LEFT(L2747,2)="15",AND(LEFT(M2747,2)&lt;&gt;"15",LEFT(M2747,2)&lt;&gt;"33"))),"x","")</f>
        <v/>
      </c>
      <c r="Y2747" s="39" t="str">
        <f>IF(AND(OR(LEFT(TH!L2747,2)="15",LEFT(TH!M2747,2)="15"),'152-CT'!$J$8=TH!F2747),"x","")</f>
        <v/>
      </c>
      <c r="Z2747" s="39" t="str">
        <f>IF(AND(OR(LEFT(TH!L2747,2)="15",LEFT(TH!M2747,2)="15"),TK!$E$7=TH!F2747),"x","")</f>
        <v/>
      </c>
      <c r="AA2747" s="39" t="str">
        <f>IF(AND(B2747&lt;=NKC!$N$8,B2747&gt;=NKC!$M$8),"x","")</f>
        <v/>
      </c>
      <c r="AB2747" s="821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15"/>
        <v/>
      </c>
      <c r="C2748" s="191"/>
      <c r="D2748" s="37"/>
      <c r="E2748" s="191"/>
      <c r="F2748" s="40"/>
      <c r="G2748" s="40"/>
      <c r="H2748" s="7"/>
      <c r="I2748" s="256"/>
      <c r="J2748" s="256"/>
      <c r="K2748" s="568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902" t="str">
        <f>IF(AND('341-CT'!$E$9=H2748,OR(LEFT(L2748,3)=$O$7,LEFT(M2748,3)=$O$7)),"x","")</f>
        <v/>
      </c>
      <c r="P2748" s="39" t="str">
        <f>IF(AND($B2748&gt;='111'!$N$11,$B2748&lt;='111'!$O$11,OR($L2748=$P$7,$M2748=$P$7)),"x","")</f>
        <v/>
      </c>
      <c r="Q2748" s="39" t="str">
        <f>IF(AND($L2748=$P$7,$B2748&lt;'111'!$N$11),"x","")</f>
        <v/>
      </c>
      <c r="R2748" s="39" t="str">
        <f>IF(AND($M2748=$P$7,$B2748&lt;'111'!$N$11),"x","")</f>
        <v/>
      </c>
      <c r="S2748" s="39" t="str">
        <f>IF(ISERROR(FIND('112'!$M$9,G2748,1)),"",IF((AND(FIND('112'!$M$9,G2748,1)&gt;=1,$B2748&gt;='112'!$N$8,$B2748&lt;='112'!$O$8,OR($L2748='112'!$I$6,$M2748='112'!$I$6))),"x",""))</f>
        <v/>
      </c>
      <c r="T2748" s="39" t="str">
        <f>IF(ISERROR(FIND('112'!$M$9,G2748,1)),"",IF((AND(LEFT(G2748,2)=LEFT('112'!$M$9,2),B2748&lt;'112'!$N$8,$L2748='112'!$I$6)),"x",""))</f>
        <v/>
      </c>
      <c r="U2748" s="39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39" t="str">
        <f>IF(OR(TH!L2748=TH!$W$7,M2748=TH!$W$7),"x","")</f>
        <v/>
      </c>
      <c r="X2748" s="39" t="str">
        <f>IF(AND(B2748&gt;='IN-NX'!$P$3,B2748&lt;='IN-NX'!$Q$3,'IN-NX'!$D$7=D2748,OR(LEFT(L2748,2)="15",AND(LEFT(M2748,2)&lt;&gt;"15",LEFT(M2748,2)&lt;&gt;"33"))),"x","")</f>
        <v/>
      </c>
      <c r="Y2748" s="39" t="str">
        <f>IF(AND(OR(LEFT(TH!L2748,2)="15",LEFT(TH!M2748,2)="15"),'152-CT'!$J$8=TH!F2748),"x","")</f>
        <v/>
      </c>
      <c r="Z2748" s="39" t="str">
        <f>IF(AND(OR(LEFT(TH!L2748,2)="15",LEFT(TH!M2748,2)="15"),TK!$E$7=TH!F2748),"x","")</f>
        <v/>
      </c>
      <c r="AA2748" s="39" t="str">
        <f>IF(AND(B2748&lt;=NKC!$N$8,B2748&gt;=NKC!$M$8),"x","")</f>
        <v/>
      </c>
      <c r="AB2748" s="821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15"/>
        <v/>
      </c>
      <c r="C2749" s="191"/>
      <c r="D2749" s="37"/>
      <c r="E2749" s="191"/>
      <c r="F2749" s="192"/>
      <c r="G2749" s="468"/>
      <c r="H2749" s="193"/>
      <c r="I2749" s="256"/>
      <c r="J2749" s="256"/>
      <c r="K2749" s="56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902" t="str">
        <f>IF(AND('341-CT'!$E$9=H2749,OR(LEFT(L2749,3)=$O$7,LEFT(M2749,3)=$O$7)),"x","")</f>
        <v/>
      </c>
      <c r="P2749" s="39" t="str">
        <f>IF(AND($B2749&gt;='111'!$N$11,$B2749&lt;='111'!$O$11,OR($L2749=$P$7,$M2749=$P$7)),"x","")</f>
        <v/>
      </c>
      <c r="Q2749" s="39" t="str">
        <f>IF(AND($L2749=$P$7,$B2749&lt;'111'!$N$11),"x","")</f>
        <v/>
      </c>
      <c r="R2749" s="39" t="str">
        <f>IF(AND($M2749=$P$7,$B2749&lt;'111'!$N$11),"x","")</f>
        <v/>
      </c>
      <c r="S2749" s="39" t="str">
        <f>IF(ISERROR(FIND('112'!$M$9,G2749,1)),"",IF((AND(FIND('112'!$M$9,G2749,1)&gt;=1,$B2749&gt;='112'!$N$8,$B2749&lt;='112'!$O$8,OR($L2749='112'!$I$6,$M2749='112'!$I$6))),"x",""))</f>
        <v/>
      </c>
      <c r="T2749" s="39" t="str">
        <f>IF(ISERROR(FIND('112'!$M$9,G2749,1)),"",IF((AND(LEFT(G2749,2)=LEFT('112'!$M$9,2),B2749&lt;'112'!$N$8,$L2749='112'!$I$6)),"x",""))</f>
        <v/>
      </c>
      <c r="U2749" s="39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39" t="str">
        <f>IF(OR(TH!L2749=TH!$W$7,M2749=TH!$W$7),"x","")</f>
        <v/>
      </c>
      <c r="X2749" s="39" t="str">
        <f>IF(AND(B2749&gt;='IN-NX'!$P$3,B2749&lt;='IN-NX'!$Q$3,'IN-NX'!$D$7=D2749,OR(LEFT(L2749,2)="15",AND(LEFT(M2749,2)&lt;&gt;"15",LEFT(M2749,2)&lt;&gt;"33"))),"x","")</f>
        <v/>
      </c>
      <c r="Y2749" s="39" t="str">
        <f>IF(AND(OR(LEFT(TH!L2749,2)="15",LEFT(TH!M2749,2)="15"),'152-CT'!$J$8=TH!F2749),"x","")</f>
        <v/>
      </c>
      <c r="Z2749" s="39" t="str">
        <f>IF(AND(OR(LEFT(TH!L2749,2)="15",LEFT(TH!M2749,2)="15"),TK!$E$7=TH!F2749),"x","")</f>
        <v/>
      </c>
      <c r="AA2749" s="39" t="str">
        <f>IF(AND(B2749&lt;=NKC!$N$8,B2749&gt;=NKC!$M$8),"x","")</f>
        <v/>
      </c>
      <c r="AB2749" s="821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15"/>
        <v/>
      </c>
      <c r="C2750" s="191"/>
      <c r="D2750" s="37"/>
      <c r="E2750" s="191"/>
      <c r="F2750" s="192"/>
      <c r="G2750" s="468"/>
      <c r="H2750" s="193"/>
      <c r="I2750" s="256"/>
      <c r="J2750" s="256"/>
      <c r="K2750" s="56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902" t="str">
        <f>IF(AND('341-CT'!$E$9=H2750,OR(LEFT(L2750,3)=$O$7,LEFT(M2750,3)=$O$7)),"x","")</f>
        <v/>
      </c>
      <c r="P2750" s="39" t="str">
        <f>IF(AND($B2750&gt;='111'!$N$11,$B2750&lt;='111'!$O$11,OR($L2750=$P$7,$M2750=$P$7)),"x","")</f>
        <v/>
      </c>
      <c r="Q2750" s="39" t="str">
        <f>IF(AND($L2750=$P$7,$B2750&lt;'111'!$N$11),"x","")</f>
        <v/>
      </c>
      <c r="R2750" s="39" t="str">
        <f>IF(AND($M2750=$P$7,$B2750&lt;'111'!$N$11),"x","")</f>
        <v/>
      </c>
      <c r="S2750" s="39" t="str">
        <f>IF(ISERROR(FIND('112'!$M$9,G2750,1)),"",IF((AND(FIND('112'!$M$9,G2750,1)&gt;=1,$B2750&gt;='112'!$N$8,$B2750&lt;='112'!$O$8,OR($L2750='112'!$I$6,$M2750='112'!$I$6))),"x",""))</f>
        <v/>
      </c>
      <c r="T2750" s="39" t="str">
        <f>IF(ISERROR(FIND('112'!$M$9,G2750,1)),"",IF((AND(LEFT(G2750,2)=LEFT('112'!$M$9,2),B2750&lt;'112'!$N$8,$L2750='112'!$I$6)),"x",""))</f>
        <v/>
      </c>
      <c r="U2750" s="39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39" t="str">
        <f>IF(OR(TH!L2750=TH!$W$7,M2750=TH!$W$7),"x","")</f>
        <v/>
      </c>
      <c r="X2750" s="39" t="str">
        <f>IF(AND(B2750&gt;='IN-NX'!$P$3,B2750&lt;='IN-NX'!$Q$3,'IN-NX'!$D$7=D2750,OR(LEFT(L2750,2)="15",AND(LEFT(M2750,2)&lt;&gt;"15",LEFT(M2750,2)&lt;&gt;"33"))),"x","")</f>
        <v/>
      </c>
      <c r="Y2750" s="39" t="str">
        <f>IF(AND(OR(LEFT(TH!L2750,2)="15",LEFT(TH!M2750,2)="15"),'152-CT'!$J$8=TH!F2750),"x","")</f>
        <v/>
      </c>
      <c r="Z2750" s="39" t="str">
        <f>IF(AND(OR(LEFT(TH!L2750,2)="15",LEFT(TH!M2750,2)="15"),TK!$E$7=TH!F2750),"x","")</f>
        <v/>
      </c>
      <c r="AA2750" s="39" t="str">
        <f>IF(AND(B2750&lt;=NKC!$N$8,B2750&gt;=NKC!$M$8),"x","")</f>
        <v/>
      </c>
      <c r="AB2750" s="821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15"/>
        <v/>
      </c>
      <c r="C2751" s="191"/>
      <c r="D2751" s="37"/>
      <c r="E2751" s="191"/>
      <c r="F2751" s="192"/>
      <c r="G2751" s="468"/>
      <c r="H2751" s="193"/>
      <c r="I2751" s="256"/>
      <c r="J2751" s="256"/>
      <c r="K2751" s="56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902" t="str">
        <f>IF(AND('341-CT'!$E$9=H2751,OR(LEFT(L2751,3)=$O$7,LEFT(M2751,3)=$O$7)),"x","")</f>
        <v/>
      </c>
      <c r="P2751" s="39" t="str">
        <f>IF(AND($B2751&gt;='111'!$N$11,$B2751&lt;='111'!$O$11,OR($L2751=$P$7,$M2751=$P$7)),"x","")</f>
        <v/>
      </c>
      <c r="Q2751" s="39" t="str">
        <f>IF(AND($L2751=$P$7,$B2751&lt;'111'!$N$11),"x","")</f>
        <v/>
      </c>
      <c r="R2751" s="39" t="str">
        <f>IF(AND($M2751=$P$7,$B2751&lt;'111'!$N$11),"x","")</f>
        <v/>
      </c>
      <c r="S2751" s="39" t="str">
        <f>IF(ISERROR(FIND('112'!$M$9,G2751,1)),"",IF((AND(FIND('112'!$M$9,G2751,1)&gt;=1,$B2751&gt;='112'!$N$8,$B2751&lt;='112'!$O$8,OR($L2751='112'!$I$6,$M2751='112'!$I$6))),"x",""))</f>
        <v/>
      </c>
      <c r="T2751" s="39" t="str">
        <f>IF(ISERROR(FIND('112'!$M$9,G2751,1)),"",IF((AND(LEFT(G2751,2)=LEFT('112'!$M$9,2),B2751&lt;'112'!$N$8,$L2751='112'!$I$6)),"x",""))</f>
        <v/>
      </c>
      <c r="U2751" s="39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39" t="str">
        <f>IF(OR(TH!L2751=TH!$W$7,M2751=TH!$W$7),"x","")</f>
        <v/>
      </c>
      <c r="X2751" s="39" t="str">
        <f>IF(AND(B2751&gt;='IN-NX'!$P$3,B2751&lt;='IN-NX'!$Q$3,'IN-NX'!$D$7=D2751,OR(LEFT(L2751,2)="15",AND(LEFT(M2751,2)&lt;&gt;"15",LEFT(M2751,2)&lt;&gt;"33"))),"x","")</f>
        <v/>
      </c>
      <c r="Y2751" s="39" t="str">
        <f>IF(AND(OR(LEFT(TH!L2751,2)="15",LEFT(TH!M2751,2)="15"),'152-CT'!$J$8=TH!F2751),"x","")</f>
        <v/>
      </c>
      <c r="Z2751" s="39" t="str">
        <f>IF(AND(OR(LEFT(TH!L2751,2)="15",LEFT(TH!M2751,2)="15"),TK!$E$7=TH!F2751),"x","")</f>
        <v/>
      </c>
      <c r="AA2751" s="39" t="str">
        <f>IF(AND(B2751&lt;=NKC!$N$8,B2751&gt;=NKC!$M$8),"x","")</f>
        <v/>
      </c>
      <c r="AB2751" s="821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15"/>
        <v/>
      </c>
      <c r="C2752" s="191"/>
      <c r="D2752" s="37"/>
      <c r="E2752" s="191"/>
      <c r="F2752" s="192"/>
      <c r="G2752" s="468"/>
      <c r="H2752" s="193"/>
      <c r="I2752" s="256"/>
      <c r="J2752" s="256"/>
      <c r="K2752" s="56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902" t="str">
        <f>IF(AND('341-CT'!$E$9=H2752,OR(LEFT(L2752,3)=$O$7,LEFT(M2752,3)=$O$7)),"x","")</f>
        <v/>
      </c>
      <c r="P2752" s="39" t="str">
        <f>IF(AND($B2752&gt;='111'!$N$11,$B2752&lt;='111'!$O$11,OR($L2752=$P$7,$M2752=$P$7)),"x","")</f>
        <v/>
      </c>
      <c r="Q2752" s="39" t="str">
        <f>IF(AND($L2752=$P$7,$B2752&lt;'111'!$N$11),"x","")</f>
        <v/>
      </c>
      <c r="R2752" s="39" t="str">
        <f>IF(AND($M2752=$P$7,$B2752&lt;'111'!$N$11),"x","")</f>
        <v/>
      </c>
      <c r="S2752" s="39" t="str">
        <f>IF(ISERROR(FIND('112'!$M$9,G2752,1)),"",IF((AND(FIND('112'!$M$9,G2752,1)&gt;=1,$B2752&gt;='112'!$N$8,$B2752&lt;='112'!$O$8,OR($L2752='112'!$I$6,$M2752='112'!$I$6))),"x",""))</f>
        <v/>
      </c>
      <c r="T2752" s="39" t="str">
        <f>IF(ISERROR(FIND('112'!$M$9,G2752,1)),"",IF((AND(LEFT(G2752,2)=LEFT('112'!$M$9,2),B2752&lt;'112'!$N$8,$L2752='112'!$I$6)),"x",""))</f>
        <v/>
      </c>
      <c r="U2752" s="39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39" t="str">
        <f>IF(OR(TH!L2752=TH!$W$7,M2752=TH!$W$7),"x","")</f>
        <v/>
      </c>
      <c r="X2752" s="39" t="str">
        <f>IF(AND(B2752&gt;='IN-NX'!$P$3,B2752&lt;='IN-NX'!$Q$3,'IN-NX'!$D$7=D2752,OR(LEFT(L2752,2)="15",AND(LEFT(M2752,2)&lt;&gt;"15",LEFT(M2752,2)&lt;&gt;"33"))),"x","")</f>
        <v/>
      </c>
      <c r="Y2752" s="39" t="str">
        <f>IF(AND(OR(LEFT(TH!L2752,2)="15",LEFT(TH!M2752,2)="15"),'152-CT'!$J$8=TH!F2752),"x","")</f>
        <v/>
      </c>
      <c r="Z2752" s="39" t="str">
        <f>IF(AND(OR(LEFT(TH!L2752,2)="15",LEFT(TH!M2752,2)="15"),TK!$E$7=TH!F2752),"x","")</f>
        <v/>
      </c>
      <c r="AA2752" s="39" t="str">
        <f>IF(AND(B2752&lt;=NKC!$N$8,B2752&gt;=NKC!$M$8),"x","")</f>
        <v/>
      </c>
      <c r="AB2752" s="821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15"/>
        <v/>
      </c>
      <c r="C2753" s="191"/>
      <c r="D2753" s="37"/>
      <c r="E2753" s="191"/>
      <c r="F2753" s="192"/>
      <c r="G2753" s="468"/>
      <c r="H2753" s="193"/>
      <c r="I2753" s="256"/>
      <c r="J2753" s="256"/>
      <c r="K2753" s="56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902" t="str">
        <f>IF(AND('341-CT'!$E$9=H2753,OR(LEFT(L2753,3)=$O$7,LEFT(M2753,3)=$O$7)),"x","")</f>
        <v/>
      </c>
      <c r="P2753" s="39" t="str">
        <f>IF(AND($B2753&gt;='111'!$N$11,$B2753&lt;='111'!$O$11,OR($L2753=$P$7,$M2753=$P$7)),"x","")</f>
        <v/>
      </c>
      <c r="Q2753" s="39" t="str">
        <f>IF(AND($L2753=$P$7,$B2753&lt;'111'!$N$11),"x","")</f>
        <v/>
      </c>
      <c r="R2753" s="39" t="str">
        <f>IF(AND($M2753=$P$7,$B2753&lt;'111'!$N$11),"x","")</f>
        <v/>
      </c>
      <c r="S2753" s="39" t="str">
        <f>IF(ISERROR(FIND('112'!$M$9,G2753,1)),"",IF((AND(FIND('112'!$M$9,G2753,1)&gt;=1,$B2753&gt;='112'!$N$8,$B2753&lt;='112'!$O$8,OR($L2753='112'!$I$6,$M2753='112'!$I$6))),"x",""))</f>
        <v/>
      </c>
      <c r="T2753" s="39" t="str">
        <f>IF(ISERROR(FIND('112'!$M$9,G2753,1)),"",IF((AND(LEFT(G2753,2)=LEFT('112'!$M$9,2),B2753&lt;'112'!$N$8,$L2753='112'!$I$6)),"x",""))</f>
        <v/>
      </c>
      <c r="U2753" s="39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39" t="str">
        <f>IF(OR(TH!L2753=TH!$W$7,M2753=TH!$W$7),"x","")</f>
        <v/>
      </c>
      <c r="X2753" s="39" t="str">
        <f>IF(AND(B2753&gt;='IN-NX'!$P$3,B2753&lt;='IN-NX'!$Q$3,'IN-NX'!$D$7=D2753,OR(LEFT(L2753,2)="15",AND(LEFT(M2753,2)&lt;&gt;"15",LEFT(M2753,2)&lt;&gt;"33"))),"x","")</f>
        <v/>
      </c>
      <c r="Y2753" s="39" t="str">
        <f>IF(AND(OR(LEFT(TH!L2753,2)="15",LEFT(TH!M2753,2)="15"),'152-CT'!$J$8=TH!F2753),"x","")</f>
        <v/>
      </c>
      <c r="Z2753" s="39" t="str">
        <f>IF(AND(OR(LEFT(TH!L2753,2)="15",LEFT(TH!M2753,2)="15"),TK!$E$7=TH!F2753),"x","")</f>
        <v/>
      </c>
      <c r="AA2753" s="39" t="str">
        <f>IF(AND(B2753&lt;=NKC!$N$8,B2753&gt;=NKC!$M$8),"x","")</f>
        <v/>
      </c>
      <c r="AB2753" s="821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15"/>
        <v/>
      </c>
      <c r="C2754" s="191"/>
      <c r="D2754" s="37"/>
      <c r="E2754" s="191"/>
      <c r="F2754" s="192"/>
      <c r="G2754" s="468"/>
      <c r="H2754" s="193"/>
      <c r="I2754" s="256"/>
      <c r="J2754" s="256"/>
      <c r="K2754" s="56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902" t="str">
        <f>IF(AND('341-CT'!$E$9=H2754,OR(LEFT(L2754,3)=$O$7,LEFT(M2754,3)=$O$7)),"x","")</f>
        <v/>
      </c>
      <c r="P2754" s="39" t="str">
        <f>IF(AND($B2754&gt;='111'!$N$11,$B2754&lt;='111'!$O$11,OR($L2754=$P$7,$M2754=$P$7)),"x","")</f>
        <v/>
      </c>
      <c r="Q2754" s="39" t="str">
        <f>IF(AND($L2754=$P$7,$B2754&lt;'111'!$N$11),"x","")</f>
        <v/>
      </c>
      <c r="R2754" s="39" t="str">
        <f>IF(AND($M2754=$P$7,$B2754&lt;'111'!$N$11),"x","")</f>
        <v/>
      </c>
      <c r="S2754" s="39" t="str">
        <f>IF(ISERROR(FIND('112'!$M$9,G2754,1)),"",IF((AND(FIND('112'!$M$9,G2754,1)&gt;=1,$B2754&gt;='112'!$N$8,$B2754&lt;='112'!$O$8,OR($L2754='112'!$I$6,$M2754='112'!$I$6))),"x",""))</f>
        <v/>
      </c>
      <c r="T2754" s="39" t="str">
        <f>IF(ISERROR(FIND('112'!$M$9,G2754,1)),"",IF((AND(LEFT(G2754,2)=LEFT('112'!$M$9,2),B2754&lt;'112'!$N$8,$L2754='112'!$I$6)),"x",""))</f>
        <v/>
      </c>
      <c r="U2754" s="39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39" t="str">
        <f>IF(OR(TH!L2754=TH!$W$7,M2754=TH!$W$7),"x","")</f>
        <v/>
      </c>
      <c r="X2754" s="39" t="str">
        <f>IF(AND(B2754&gt;='IN-NX'!$P$3,B2754&lt;='IN-NX'!$Q$3,'IN-NX'!$D$7=D2754,OR(LEFT(L2754,2)="15",AND(LEFT(M2754,2)&lt;&gt;"15",LEFT(M2754,2)&lt;&gt;"33"))),"x","")</f>
        <v/>
      </c>
      <c r="Y2754" s="39" t="str">
        <f>IF(AND(OR(LEFT(TH!L2754,2)="15",LEFT(TH!M2754,2)="15"),'152-CT'!$J$8=TH!F2754),"x","")</f>
        <v/>
      </c>
      <c r="Z2754" s="39" t="str">
        <f>IF(AND(OR(LEFT(TH!L2754,2)="15",LEFT(TH!M2754,2)="15"),TK!$E$7=TH!F2754),"x","")</f>
        <v/>
      </c>
      <c r="AA2754" s="39" t="str">
        <f>IF(AND(B2754&lt;=NKC!$N$8,B2754&gt;=NKC!$M$8),"x","")</f>
        <v/>
      </c>
      <c r="AB2754" s="821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15"/>
        <v/>
      </c>
      <c r="C2755" s="191"/>
      <c r="D2755" s="37"/>
      <c r="E2755" s="191"/>
      <c r="F2755" s="192"/>
      <c r="G2755" s="468"/>
      <c r="H2755" s="193"/>
      <c r="I2755" s="256"/>
      <c r="J2755" s="256"/>
      <c r="K2755" s="56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902" t="str">
        <f>IF(AND('341-CT'!$E$9=H2755,OR(LEFT(L2755,3)=$O$7,LEFT(M2755,3)=$O$7)),"x","")</f>
        <v/>
      </c>
      <c r="P2755" s="39" t="str">
        <f>IF(AND($B2755&gt;='111'!$N$11,$B2755&lt;='111'!$O$11,OR($L2755=$P$7,$M2755=$P$7)),"x","")</f>
        <v/>
      </c>
      <c r="Q2755" s="39" t="str">
        <f>IF(AND($L2755=$P$7,$B2755&lt;'111'!$N$11),"x","")</f>
        <v/>
      </c>
      <c r="R2755" s="39" t="str">
        <f>IF(AND($M2755=$P$7,$B2755&lt;'111'!$N$11),"x","")</f>
        <v/>
      </c>
      <c r="S2755" s="39" t="str">
        <f>IF(ISERROR(FIND('112'!$M$9,G2755,1)),"",IF((AND(FIND('112'!$M$9,G2755,1)&gt;=1,$B2755&gt;='112'!$N$8,$B2755&lt;='112'!$O$8,OR($L2755='112'!$I$6,$M2755='112'!$I$6))),"x",""))</f>
        <v/>
      </c>
      <c r="T2755" s="39" t="str">
        <f>IF(ISERROR(FIND('112'!$M$9,G2755,1)),"",IF((AND(LEFT(G2755,2)=LEFT('112'!$M$9,2),B2755&lt;'112'!$N$8,$L2755='112'!$I$6)),"x",""))</f>
        <v/>
      </c>
      <c r="U2755" s="39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39" t="str">
        <f>IF(OR(TH!L2755=TH!$W$7,M2755=TH!$W$7),"x","")</f>
        <v/>
      </c>
      <c r="X2755" s="39" t="str">
        <f>IF(AND(B2755&gt;='IN-NX'!$P$3,B2755&lt;='IN-NX'!$Q$3,'IN-NX'!$D$7=D2755,OR(LEFT(L2755,2)="15",AND(LEFT(M2755,2)&lt;&gt;"15",LEFT(M2755,2)&lt;&gt;"33"))),"x","")</f>
        <v/>
      </c>
      <c r="Y2755" s="39" t="str">
        <f>IF(AND(OR(LEFT(TH!L2755,2)="15",LEFT(TH!M2755,2)="15"),'152-CT'!$J$8=TH!F2755),"x","")</f>
        <v/>
      </c>
      <c r="Z2755" s="39" t="str">
        <f>IF(AND(OR(LEFT(TH!L2755,2)="15",LEFT(TH!M2755,2)="15"),TK!$E$7=TH!F2755),"x","")</f>
        <v/>
      </c>
      <c r="AA2755" s="39" t="str">
        <f>IF(AND(B2755&lt;=NKC!$N$8,B2755&gt;=NKC!$M$8),"x","")</f>
        <v/>
      </c>
      <c r="AB2755" s="821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15"/>
        <v/>
      </c>
      <c r="C2756" s="191"/>
      <c r="D2756" s="37"/>
      <c r="E2756" s="191"/>
      <c r="F2756" s="192"/>
      <c r="G2756" s="468"/>
      <c r="H2756" s="193"/>
      <c r="I2756" s="256"/>
      <c r="J2756" s="256"/>
      <c r="K2756" s="56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902" t="str">
        <f>IF(AND('341-CT'!$E$9=H2756,OR(LEFT(L2756,3)=$O$7,LEFT(M2756,3)=$O$7)),"x","")</f>
        <v/>
      </c>
      <c r="P2756" s="39" t="str">
        <f>IF(AND($B2756&gt;='111'!$N$11,$B2756&lt;='111'!$O$11,OR($L2756=$P$7,$M2756=$P$7)),"x","")</f>
        <v/>
      </c>
      <c r="Q2756" s="39" t="str">
        <f>IF(AND($L2756=$P$7,$B2756&lt;'111'!$N$11),"x","")</f>
        <v/>
      </c>
      <c r="R2756" s="39" t="str">
        <f>IF(AND($M2756=$P$7,$B2756&lt;'111'!$N$11),"x","")</f>
        <v/>
      </c>
      <c r="S2756" s="39" t="str">
        <f>IF(ISERROR(FIND('112'!$M$9,G2756,1)),"",IF((AND(FIND('112'!$M$9,G2756,1)&gt;=1,$B2756&gt;='112'!$N$8,$B2756&lt;='112'!$O$8,OR($L2756='112'!$I$6,$M2756='112'!$I$6))),"x",""))</f>
        <v/>
      </c>
      <c r="T2756" s="39" t="str">
        <f>IF(ISERROR(FIND('112'!$M$9,G2756,1)),"",IF((AND(LEFT(G2756,2)=LEFT('112'!$M$9,2),B2756&lt;'112'!$N$8,$L2756='112'!$I$6)),"x",""))</f>
        <v/>
      </c>
      <c r="U2756" s="39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39" t="str">
        <f>IF(OR(TH!L2756=TH!$W$7,M2756=TH!$W$7),"x","")</f>
        <v/>
      </c>
      <c r="X2756" s="39" t="str">
        <f>IF(AND(B2756&gt;='IN-NX'!$P$3,B2756&lt;='IN-NX'!$Q$3,'IN-NX'!$D$7=D2756,OR(LEFT(L2756,2)="15",AND(LEFT(M2756,2)&lt;&gt;"15",LEFT(M2756,2)&lt;&gt;"33"))),"x","")</f>
        <v/>
      </c>
      <c r="Y2756" s="39" t="str">
        <f>IF(AND(OR(LEFT(TH!L2756,2)="15",LEFT(TH!M2756,2)="15"),'152-CT'!$J$8=TH!F2756),"x","")</f>
        <v/>
      </c>
      <c r="Z2756" s="39" t="str">
        <f>IF(AND(OR(LEFT(TH!L2756,2)="15",LEFT(TH!M2756,2)="15"),TK!$E$7=TH!F2756),"x","")</f>
        <v/>
      </c>
      <c r="AA2756" s="39" t="str">
        <f>IF(AND(B2756&lt;=NKC!$N$8,B2756&gt;=NKC!$M$8),"x","")</f>
        <v/>
      </c>
      <c r="AB2756" s="821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15"/>
        <v/>
      </c>
      <c r="C2757" s="191"/>
      <c r="D2757" s="37"/>
      <c r="E2757" s="191"/>
      <c r="F2757" s="192"/>
      <c r="G2757" s="468"/>
      <c r="H2757" s="193"/>
      <c r="I2757" s="256"/>
      <c r="J2757" s="256"/>
      <c r="K2757" s="56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902" t="str">
        <f>IF(AND('341-CT'!$E$9=H2757,OR(LEFT(L2757,3)=$O$7,LEFT(M2757,3)=$O$7)),"x","")</f>
        <v/>
      </c>
      <c r="P2757" s="39" t="str">
        <f>IF(AND($B2757&gt;='111'!$N$11,$B2757&lt;='111'!$O$11,OR($L2757=$P$7,$M2757=$P$7)),"x","")</f>
        <v/>
      </c>
      <c r="Q2757" s="39" t="str">
        <f>IF(AND($L2757=$P$7,$B2757&lt;'111'!$N$11),"x","")</f>
        <v/>
      </c>
      <c r="R2757" s="39" t="str">
        <f>IF(AND($M2757=$P$7,$B2757&lt;'111'!$N$11),"x","")</f>
        <v/>
      </c>
      <c r="S2757" s="39" t="str">
        <f>IF(ISERROR(FIND('112'!$M$9,G2757,1)),"",IF((AND(FIND('112'!$M$9,G2757,1)&gt;=1,$B2757&gt;='112'!$N$8,$B2757&lt;='112'!$O$8,OR($L2757='112'!$I$6,$M2757='112'!$I$6))),"x",""))</f>
        <v/>
      </c>
      <c r="T2757" s="39" t="str">
        <f>IF(ISERROR(FIND('112'!$M$9,G2757,1)),"",IF((AND(LEFT(G2757,2)=LEFT('112'!$M$9,2),B2757&lt;'112'!$N$8,$L2757='112'!$I$6)),"x",""))</f>
        <v/>
      </c>
      <c r="U2757" s="39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39" t="str">
        <f>IF(OR(TH!L2757=TH!$W$7,M2757=TH!$W$7),"x","")</f>
        <v/>
      </c>
      <c r="X2757" s="39" t="str">
        <f>IF(AND(B2757&gt;='IN-NX'!$P$3,B2757&lt;='IN-NX'!$Q$3,'IN-NX'!$D$7=D2757,OR(LEFT(L2757,2)="15",AND(LEFT(M2757,2)&lt;&gt;"15",LEFT(M2757,2)&lt;&gt;"33"))),"x","")</f>
        <v/>
      </c>
      <c r="Y2757" s="39" t="str">
        <f>IF(AND(OR(LEFT(TH!L2757,2)="15",LEFT(TH!M2757,2)="15"),'152-CT'!$J$8=TH!F2757),"x","")</f>
        <v/>
      </c>
      <c r="Z2757" s="39" t="str">
        <f>IF(AND(OR(LEFT(TH!L2757,2)="15",LEFT(TH!M2757,2)="15"),TK!$E$7=TH!F2757),"x","")</f>
        <v/>
      </c>
      <c r="AA2757" s="39" t="str">
        <f>IF(AND(B2757&lt;=NKC!$N$8,B2757&gt;=NKC!$M$8),"x","")</f>
        <v/>
      </c>
      <c r="AB2757" s="821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15"/>
        <v/>
      </c>
      <c r="C2758" s="191"/>
      <c r="D2758" s="37"/>
      <c r="E2758" s="191"/>
      <c r="F2758" s="192"/>
      <c r="G2758" s="468"/>
      <c r="H2758" s="193"/>
      <c r="I2758" s="256"/>
      <c r="J2758" s="256"/>
      <c r="K2758" s="56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902" t="str">
        <f>IF(AND('341-CT'!$E$9=H2758,OR(LEFT(L2758,3)=$O$7,LEFT(M2758,3)=$O$7)),"x","")</f>
        <v/>
      </c>
      <c r="P2758" s="39" t="str">
        <f>IF(AND($B2758&gt;='111'!$N$11,$B2758&lt;='111'!$O$11,OR($L2758=$P$7,$M2758=$P$7)),"x","")</f>
        <v/>
      </c>
      <c r="Q2758" s="39" t="str">
        <f>IF(AND($L2758=$P$7,$B2758&lt;'111'!$N$11),"x","")</f>
        <v/>
      </c>
      <c r="R2758" s="39" t="str">
        <f>IF(AND($M2758=$P$7,$B2758&lt;'111'!$N$11),"x","")</f>
        <v/>
      </c>
      <c r="S2758" s="39" t="str">
        <f>IF(ISERROR(FIND('112'!$M$9,G2758,1)),"",IF((AND(FIND('112'!$M$9,G2758,1)&gt;=1,$B2758&gt;='112'!$N$8,$B2758&lt;='112'!$O$8,OR($L2758='112'!$I$6,$M2758='112'!$I$6))),"x",""))</f>
        <v/>
      </c>
      <c r="T2758" s="39" t="str">
        <f>IF(ISERROR(FIND('112'!$M$9,G2758,1)),"",IF((AND(LEFT(G2758,2)=LEFT('112'!$M$9,2),B2758&lt;'112'!$N$8,$L2758='112'!$I$6)),"x",""))</f>
        <v/>
      </c>
      <c r="U2758" s="39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39" t="str">
        <f>IF(OR(TH!L2758=TH!$W$7,M2758=TH!$W$7),"x","")</f>
        <v/>
      </c>
      <c r="X2758" s="39" t="str">
        <f>IF(AND(B2758&gt;='IN-NX'!$P$3,B2758&lt;='IN-NX'!$Q$3,'IN-NX'!$D$7=D2758,OR(LEFT(L2758,2)="15",AND(LEFT(M2758,2)&lt;&gt;"15",LEFT(M2758,2)&lt;&gt;"33"))),"x","")</f>
        <v/>
      </c>
      <c r="Y2758" s="39" t="str">
        <f>IF(AND(OR(LEFT(TH!L2758,2)="15",LEFT(TH!M2758,2)="15"),'152-CT'!$J$8=TH!F2758),"x","")</f>
        <v/>
      </c>
      <c r="Z2758" s="39" t="str">
        <f>IF(AND(OR(LEFT(TH!L2758,2)="15",LEFT(TH!M2758,2)="15"),TK!$E$7=TH!F2758),"x","")</f>
        <v/>
      </c>
      <c r="AA2758" s="39" t="str">
        <f>IF(AND(B2758&lt;=NKC!$N$8,B2758&gt;=NKC!$M$8),"x","")</f>
        <v/>
      </c>
      <c r="AB2758" s="821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15"/>
        <v/>
      </c>
      <c r="C2759" s="191"/>
      <c r="D2759" s="37"/>
      <c r="E2759" s="191"/>
      <c r="F2759" s="192"/>
      <c r="G2759" s="468"/>
      <c r="H2759" s="193"/>
      <c r="I2759" s="256"/>
      <c r="J2759" s="256"/>
      <c r="K2759" s="56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902" t="str">
        <f>IF(AND('341-CT'!$E$9=H2759,OR(LEFT(L2759,3)=$O$7,LEFT(M2759,3)=$O$7)),"x","")</f>
        <v/>
      </c>
      <c r="P2759" s="39" t="str">
        <f>IF(AND($B2759&gt;='111'!$N$11,$B2759&lt;='111'!$O$11,OR($L2759=$P$7,$M2759=$P$7)),"x","")</f>
        <v/>
      </c>
      <c r="Q2759" s="39" t="str">
        <f>IF(AND($L2759=$P$7,$B2759&lt;'111'!$N$11),"x","")</f>
        <v/>
      </c>
      <c r="R2759" s="39" t="str">
        <f>IF(AND($M2759=$P$7,$B2759&lt;'111'!$N$11),"x","")</f>
        <v/>
      </c>
      <c r="S2759" s="39" t="str">
        <f>IF(ISERROR(FIND('112'!$M$9,G2759,1)),"",IF((AND(FIND('112'!$M$9,G2759,1)&gt;=1,$B2759&gt;='112'!$N$8,$B2759&lt;='112'!$O$8,OR($L2759='112'!$I$6,$M2759='112'!$I$6))),"x",""))</f>
        <v/>
      </c>
      <c r="T2759" s="39" t="str">
        <f>IF(ISERROR(FIND('112'!$M$9,G2759,1)),"",IF((AND(LEFT(G2759,2)=LEFT('112'!$M$9,2),B2759&lt;'112'!$N$8,$L2759='112'!$I$6)),"x",""))</f>
        <v/>
      </c>
      <c r="U2759" s="39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39" t="str">
        <f>IF(OR(TH!L2759=TH!$W$7,M2759=TH!$W$7),"x","")</f>
        <v/>
      </c>
      <c r="X2759" s="39" t="str">
        <f>IF(AND(B2759&gt;='IN-NX'!$P$3,B2759&lt;='IN-NX'!$Q$3,'IN-NX'!$D$7=D2759,OR(LEFT(L2759,2)="15",AND(LEFT(M2759,2)&lt;&gt;"15",LEFT(M2759,2)&lt;&gt;"33"))),"x","")</f>
        <v/>
      </c>
      <c r="Y2759" s="39" t="str">
        <f>IF(AND(OR(LEFT(TH!L2759,2)="15",LEFT(TH!M2759,2)="15"),'152-CT'!$J$8=TH!F2759),"x","")</f>
        <v/>
      </c>
      <c r="Z2759" s="39" t="str">
        <f>IF(AND(OR(LEFT(TH!L2759,2)="15",LEFT(TH!M2759,2)="15"),TK!$E$7=TH!F2759),"x","")</f>
        <v/>
      </c>
      <c r="AA2759" s="39" t="str">
        <f>IF(AND(B2759&lt;=NKC!$N$8,B2759&gt;=NKC!$M$8),"x","")</f>
        <v/>
      </c>
      <c r="AB2759" s="821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15"/>
        <v/>
      </c>
      <c r="C2760" s="191"/>
      <c r="D2760" s="37"/>
      <c r="E2760" s="191"/>
      <c r="F2760" s="192"/>
      <c r="G2760" s="468"/>
      <c r="H2760" s="193"/>
      <c r="I2760" s="256"/>
      <c r="J2760" s="256"/>
      <c r="K2760" s="56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902" t="str">
        <f>IF(AND('341-CT'!$E$9=H2760,OR(LEFT(L2760,3)=$O$7,LEFT(M2760,3)=$O$7)),"x","")</f>
        <v/>
      </c>
      <c r="P2760" s="39" t="str">
        <f>IF(AND($B2760&gt;='111'!$N$11,$B2760&lt;='111'!$O$11,OR($L2760=$P$7,$M2760=$P$7)),"x","")</f>
        <v/>
      </c>
      <c r="Q2760" s="39" t="str">
        <f>IF(AND($L2760=$P$7,$B2760&lt;'111'!$N$11),"x","")</f>
        <v/>
      </c>
      <c r="R2760" s="39" t="str">
        <f>IF(AND($M2760=$P$7,$B2760&lt;'111'!$N$11),"x","")</f>
        <v/>
      </c>
      <c r="S2760" s="39" t="str">
        <f>IF(ISERROR(FIND('112'!$M$9,G2760,1)),"",IF((AND(FIND('112'!$M$9,G2760,1)&gt;=1,$B2760&gt;='112'!$N$8,$B2760&lt;='112'!$O$8,OR($L2760='112'!$I$6,$M2760='112'!$I$6))),"x",""))</f>
        <v/>
      </c>
      <c r="T2760" s="39" t="str">
        <f>IF(ISERROR(FIND('112'!$M$9,G2760,1)),"",IF((AND(LEFT(G2760,2)=LEFT('112'!$M$9,2),B2760&lt;'112'!$N$8,$L2760='112'!$I$6)),"x",""))</f>
        <v/>
      </c>
      <c r="U2760" s="39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39" t="str">
        <f>IF(OR(TH!L2760=TH!$W$7,M2760=TH!$W$7),"x","")</f>
        <v/>
      </c>
      <c r="X2760" s="39" t="str">
        <f>IF(AND(B2760&gt;='IN-NX'!$P$3,B2760&lt;='IN-NX'!$Q$3,'IN-NX'!$D$7=D2760,OR(LEFT(L2760,2)="15",AND(LEFT(M2760,2)&lt;&gt;"15",LEFT(M2760,2)&lt;&gt;"33"))),"x","")</f>
        <v/>
      </c>
      <c r="Y2760" s="39" t="str">
        <f>IF(AND(OR(LEFT(TH!L2760,2)="15",LEFT(TH!M2760,2)="15"),'152-CT'!$J$8=TH!F2760),"x","")</f>
        <v/>
      </c>
      <c r="Z2760" s="39" t="str">
        <f>IF(AND(OR(LEFT(TH!L2760,2)="15",LEFT(TH!M2760,2)="15"),TK!$E$7=TH!F2760),"x","")</f>
        <v/>
      </c>
      <c r="AA2760" s="39" t="str">
        <f>IF(AND(B2760&lt;=NKC!$N$8,B2760&gt;=NKC!$M$8),"x","")</f>
        <v/>
      </c>
      <c r="AB2760" s="821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15"/>
        <v/>
      </c>
      <c r="C2761" s="191"/>
      <c r="D2761" s="37"/>
      <c r="E2761" s="191"/>
      <c r="F2761" s="192"/>
      <c r="G2761" s="468"/>
      <c r="H2761" s="193"/>
      <c r="I2761" s="256"/>
      <c r="J2761" s="256"/>
      <c r="K2761" s="56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902" t="str">
        <f>IF(AND('341-CT'!$E$9=H2761,OR(LEFT(L2761,3)=$O$7,LEFT(M2761,3)=$O$7)),"x","")</f>
        <v/>
      </c>
      <c r="P2761" s="39" t="str">
        <f>IF(AND($B2761&gt;='111'!$N$11,$B2761&lt;='111'!$O$11,OR($L2761=$P$7,$M2761=$P$7)),"x","")</f>
        <v/>
      </c>
      <c r="Q2761" s="39" t="str">
        <f>IF(AND($L2761=$P$7,$B2761&lt;'111'!$N$11),"x","")</f>
        <v/>
      </c>
      <c r="R2761" s="39" t="str">
        <f>IF(AND($M2761=$P$7,$B2761&lt;'111'!$N$11),"x","")</f>
        <v/>
      </c>
      <c r="S2761" s="39" t="str">
        <f>IF(ISERROR(FIND('112'!$M$9,G2761,1)),"",IF((AND(FIND('112'!$M$9,G2761,1)&gt;=1,$B2761&gt;='112'!$N$8,$B2761&lt;='112'!$O$8,OR($L2761='112'!$I$6,$M2761='112'!$I$6))),"x",""))</f>
        <v/>
      </c>
      <c r="T2761" s="39" t="str">
        <f>IF(ISERROR(FIND('112'!$M$9,G2761,1)),"",IF((AND(LEFT(G2761,2)=LEFT('112'!$M$9,2),B2761&lt;'112'!$N$8,$L2761='112'!$I$6)),"x",""))</f>
        <v/>
      </c>
      <c r="U2761" s="39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39" t="str">
        <f>IF(OR(TH!L2761=TH!$W$7,M2761=TH!$W$7),"x","")</f>
        <v/>
      </c>
      <c r="X2761" s="39" t="str">
        <f>IF(AND(B2761&gt;='IN-NX'!$P$3,B2761&lt;='IN-NX'!$Q$3,'IN-NX'!$D$7=D2761,OR(LEFT(L2761,2)="15",AND(LEFT(M2761,2)&lt;&gt;"15",LEFT(M2761,2)&lt;&gt;"33"))),"x","")</f>
        <v/>
      </c>
      <c r="Y2761" s="39" t="str">
        <f>IF(AND(OR(LEFT(TH!L2761,2)="15",LEFT(TH!M2761,2)="15"),'152-CT'!$J$8=TH!F2761),"x","")</f>
        <v/>
      </c>
      <c r="Z2761" s="39" t="str">
        <f>IF(AND(OR(LEFT(TH!L2761,2)="15",LEFT(TH!M2761,2)="15"),TK!$E$7=TH!F2761),"x","")</f>
        <v/>
      </c>
      <c r="AA2761" s="39" t="str">
        <f>IF(AND(B2761&lt;=NKC!$N$8,B2761&gt;=NKC!$M$8),"x","")</f>
        <v/>
      </c>
      <c r="AB2761" s="821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15"/>
        <v/>
      </c>
      <c r="C2762" s="191"/>
      <c r="D2762" s="37"/>
      <c r="E2762" s="191"/>
      <c r="F2762" s="192"/>
      <c r="G2762" s="468"/>
      <c r="H2762" s="193"/>
      <c r="I2762" s="256"/>
      <c r="J2762" s="256"/>
      <c r="K2762" s="56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902" t="str">
        <f>IF(AND('341-CT'!$E$9=H2762,OR(LEFT(L2762,3)=$O$7,LEFT(M2762,3)=$O$7)),"x","")</f>
        <v/>
      </c>
      <c r="P2762" s="39" t="str">
        <f>IF(AND($B2762&gt;='111'!$N$11,$B2762&lt;='111'!$O$11,OR($L2762=$P$7,$M2762=$P$7)),"x","")</f>
        <v/>
      </c>
      <c r="Q2762" s="39" t="str">
        <f>IF(AND($L2762=$P$7,$B2762&lt;'111'!$N$11),"x","")</f>
        <v/>
      </c>
      <c r="R2762" s="39" t="str">
        <f>IF(AND($M2762=$P$7,$B2762&lt;'111'!$N$11),"x","")</f>
        <v/>
      </c>
      <c r="S2762" s="39" t="str">
        <f>IF(ISERROR(FIND('112'!$M$9,G2762,1)),"",IF((AND(FIND('112'!$M$9,G2762,1)&gt;=1,$B2762&gt;='112'!$N$8,$B2762&lt;='112'!$O$8,OR($L2762='112'!$I$6,$M2762='112'!$I$6))),"x",""))</f>
        <v/>
      </c>
      <c r="T2762" s="39" t="str">
        <f>IF(ISERROR(FIND('112'!$M$9,G2762,1)),"",IF((AND(LEFT(G2762,2)=LEFT('112'!$M$9,2),B2762&lt;'112'!$N$8,$L2762='112'!$I$6)),"x",""))</f>
        <v/>
      </c>
      <c r="U2762" s="39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39" t="str">
        <f>IF(OR(TH!L2762=TH!$W$7,M2762=TH!$W$7),"x","")</f>
        <v/>
      </c>
      <c r="X2762" s="39" t="str">
        <f>IF(AND(B2762&gt;='IN-NX'!$P$3,B2762&lt;='IN-NX'!$Q$3,'IN-NX'!$D$7=D2762,OR(LEFT(L2762,2)="15",AND(LEFT(M2762,2)&lt;&gt;"15",LEFT(M2762,2)&lt;&gt;"33"))),"x","")</f>
        <v/>
      </c>
      <c r="Y2762" s="39" t="str">
        <f>IF(AND(OR(LEFT(TH!L2762,2)="15",LEFT(TH!M2762,2)="15"),'152-CT'!$J$8=TH!F2762),"x","")</f>
        <v/>
      </c>
      <c r="Z2762" s="39" t="str">
        <f>IF(AND(OR(LEFT(TH!L2762,2)="15",LEFT(TH!M2762,2)="15"),TK!$E$7=TH!F2762),"x","")</f>
        <v/>
      </c>
      <c r="AA2762" s="39" t="str">
        <f>IF(AND(B2762&lt;=NKC!$N$8,B2762&gt;=NKC!$M$8),"x","")</f>
        <v/>
      </c>
      <c r="AB2762" s="821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15"/>
        <v/>
      </c>
      <c r="C2763" s="191"/>
      <c r="D2763" s="37"/>
      <c r="E2763" s="191"/>
      <c r="F2763" s="192"/>
      <c r="G2763" s="468"/>
      <c r="H2763" s="193"/>
      <c r="I2763" s="256"/>
      <c r="J2763" s="256"/>
      <c r="K2763" s="56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902" t="str">
        <f>IF(AND('341-CT'!$E$9=H2763,OR(LEFT(L2763,3)=$O$7,LEFT(M2763,3)=$O$7)),"x","")</f>
        <v/>
      </c>
      <c r="P2763" s="39" t="str">
        <f>IF(AND($B2763&gt;='111'!$N$11,$B2763&lt;='111'!$O$11,OR($L2763=$P$7,$M2763=$P$7)),"x","")</f>
        <v/>
      </c>
      <c r="Q2763" s="39" t="str">
        <f>IF(AND($L2763=$P$7,$B2763&lt;'111'!$N$11),"x","")</f>
        <v/>
      </c>
      <c r="R2763" s="39" t="str">
        <f>IF(AND($M2763=$P$7,$B2763&lt;'111'!$N$11),"x","")</f>
        <v/>
      </c>
      <c r="S2763" s="39" t="str">
        <f>IF(ISERROR(FIND('112'!$M$9,G2763,1)),"",IF((AND(FIND('112'!$M$9,G2763,1)&gt;=1,$B2763&gt;='112'!$N$8,$B2763&lt;='112'!$O$8,OR($L2763='112'!$I$6,$M2763='112'!$I$6))),"x",""))</f>
        <v/>
      </c>
      <c r="T2763" s="39" t="str">
        <f>IF(ISERROR(FIND('112'!$M$9,G2763,1)),"",IF((AND(LEFT(G2763,2)=LEFT('112'!$M$9,2),B2763&lt;'112'!$N$8,$L2763='112'!$I$6)),"x",""))</f>
        <v/>
      </c>
      <c r="U2763" s="39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39" t="str">
        <f>IF(OR(TH!L2763=TH!$W$7,M2763=TH!$W$7),"x","")</f>
        <v/>
      </c>
      <c r="X2763" s="39" t="str">
        <f>IF(AND(B2763&gt;='IN-NX'!$P$3,B2763&lt;='IN-NX'!$Q$3,'IN-NX'!$D$7=D2763,OR(LEFT(L2763,2)="15",AND(LEFT(M2763,2)&lt;&gt;"15",LEFT(M2763,2)&lt;&gt;"33"))),"x","")</f>
        <v/>
      </c>
      <c r="Y2763" s="39" t="str">
        <f>IF(AND(OR(LEFT(TH!L2763,2)="15",LEFT(TH!M2763,2)="15"),'152-CT'!$J$8=TH!F2763),"x","")</f>
        <v/>
      </c>
      <c r="Z2763" s="39" t="str">
        <f>IF(AND(OR(LEFT(TH!L2763,2)="15",LEFT(TH!M2763,2)="15"),TK!$E$7=TH!F2763),"x","")</f>
        <v/>
      </c>
      <c r="AA2763" s="39" t="str">
        <f>IF(AND(B2763&lt;=NKC!$N$8,B2763&gt;=NKC!$M$8),"x","")</f>
        <v/>
      </c>
      <c r="AB2763" s="821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15"/>
        <v/>
      </c>
      <c r="C2764" s="191"/>
      <c r="D2764" s="37"/>
      <c r="E2764" s="191"/>
      <c r="F2764" s="192"/>
      <c r="G2764" s="468"/>
      <c r="H2764" s="193"/>
      <c r="I2764" s="256"/>
      <c r="J2764" s="256"/>
      <c r="K2764" s="56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902" t="str">
        <f>IF(AND('341-CT'!$E$9=H2764,OR(LEFT(L2764,3)=$O$7,LEFT(M2764,3)=$O$7)),"x","")</f>
        <v/>
      </c>
      <c r="P2764" s="39" t="str">
        <f>IF(AND($B2764&gt;='111'!$N$11,$B2764&lt;='111'!$O$11,OR($L2764=$P$7,$M2764=$P$7)),"x","")</f>
        <v/>
      </c>
      <c r="Q2764" s="39" t="str">
        <f>IF(AND($L2764=$P$7,$B2764&lt;'111'!$N$11),"x","")</f>
        <v/>
      </c>
      <c r="R2764" s="39" t="str">
        <f>IF(AND($M2764=$P$7,$B2764&lt;'111'!$N$11),"x","")</f>
        <v/>
      </c>
      <c r="S2764" s="39" t="str">
        <f>IF(ISERROR(FIND('112'!$M$9,G2764,1)),"",IF((AND(FIND('112'!$M$9,G2764,1)&gt;=1,$B2764&gt;='112'!$N$8,$B2764&lt;='112'!$O$8,OR($L2764='112'!$I$6,$M2764='112'!$I$6))),"x",""))</f>
        <v/>
      </c>
      <c r="T2764" s="39" t="str">
        <f>IF(ISERROR(FIND('112'!$M$9,G2764,1)),"",IF((AND(LEFT(G2764,2)=LEFT('112'!$M$9,2),B2764&lt;'112'!$N$8,$L2764='112'!$I$6)),"x",""))</f>
        <v/>
      </c>
      <c r="U2764" s="39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39" t="str">
        <f>IF(OR(TH!L2764=TH!$W$7,M2764=TH!$W$7),"x","")</f>
        <v/>
      </c>
      <c r="X2764" s="39" t="str">
        <f>IF(AND(B2764&gt;='IN-NX'!$P$3,B2764&lt;='IN-NX'!$Q$3,'IN-NX'!$D$7=D2764,OR(LEFT(L2764,2)="15",AND(LEFT(M2764,2)&lt;&gt;"15",LEFT(M2764,2)&lt;&gt;"33"))),"x","")</f>
        <v/>
      </c>
      <c r="Y2764" s="39" t="str">
        <f>IF(AND(OR(LEFT(TH!L2764,2)="15",LEFT(TH!M2764,2)="15"),'152-CT'!$J$8=TH!F2764),"x","")</f>
        <v/>
      </c>
      <c r="Z2764" s="39" t="str">
        <f>IF(AND(OR(LEFT(TH!L2764,2)="15",LEFT(TH!M2764,2)="15"),TK!$E$7=TH!F2764),"x","")</f>
        <v/>
      </c>
      <c r="AA2764" s="39" t="str">
        <f>IF(AND(B2764&lt;=NKC!$N$8,B2764&gt;=NKC!$M$8),"x","")</f>
        <v/>
      </c>
      <c r="AB2764" s="821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15"/>
        <v/>
      </c>
      <c r="C2765" s="191"/>
      <c r="D2765" s="37"/>
      <c r="E2765" s="191"/>
      <c r="F2765" s="192"/>
      <c r="G2765" s="468"/>
      <c r="H2765" s="193"/>
      <c r="I2765" s="256"/>
      <c r="J2765" s="256"/>
      <c r="K2765" s="56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902" t="str">
        <f>IF(AND('341-CT'!$E$9=H2765,OR(LEFT(L2765,3)=$O$7,LEFT(M2765,3)=$O$7)),"x","")</f>
        <v/>
      </c>
      <c r="P2765" s="39" t="str">
        <f>IF(AND($B2765&gt;='111'!$N$11,$B2765&lt;='111'!$O$11,OR($L2765=$P$7,$M2765=$P$7)),"x","")</f>
        <v/>
      </c>
      <c r="Q2765" s="39" t="str">
        <f>IF(AND($L2765=$P$7,$B2765&lt;'111'!$N$11),"x","")</f>
        <v/>
      </c>
      <c r="R2765" s="39" t="str">
        <f>IF(AND($M2765=$P$7,$B2765&lt;'111'!$N$11),"x","")</f>
        <v/>
      </c>
      <c r="S2765" s="39" t="str">
        <f>IF(ISERROR(FIND('112'!$M$9,G2765,1)),"",IF((AND(FIND('112'!$M$9,G2765,1)&gt;=1,$B2765&gt;='112'!$N$8,$B2765&lt;='112'!$O$8,OR($L2765='112'!$I$6,$M2765='112'!$I$6))),"x",""))</f>
        <v/>
      </c>
      <c r="T2765" s="39" t="str">
        <f>IF(ISERROR(FIND('112'!$M$9,G2765,1)),"",IF((AND(LEFT(G2765,2)=LEFT('112'!$M$9,2),B2765&lt;'112'!$N$8,$L2765='112'!$I$6)),"x",""))</f>
        <v/>
      </c>
      <c r="U2765" s="39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39" t="str">
        <f>IF(OR(TH!L2765=TH!$W$7,M2765=TH!$W$7),"x","")</f>
        <v/>
      </c>
      <c r="X2765" s="39" t="str">
        <f>IF(AND(B2765&gt;='IN-NX'!$P$3,B2765&lt;='IN-NX'!$Q$3,'IN-NX'!$D$7=D2765,OR(LEFT(L2765,2)="15",AND(LEFT(M2765,2)&lt;&gt;"15",LEFT(M2765,2)&lt;&gt;"33"))),"x","")</f>
        <v/>
      </c>
      <c r="Y2765" s="39" t="str">
        <f>IF(AND(OR(LEFT(TH!L2765,2)="15",LEFT(TH!M2765,2)="15"),'152-CT'!$J$8=TH!F2765),"x","")</f>
        <v/>
      </c>
      <c r="Z2765" s="39" t="str">
        <f>IF(AND(OR(LEFT(TH!L2765,2)="15",LEFT(TH!M2765,2)="15"),TK!$E$7=TH!F2765),"x","")</f>
        <v/>
      </c>
      <c r="AA2765" s="39" t="str">
        <f>IF(AND(B2765&lt;=NKC!$N$8,B2765&gt;=NKC!$M$8),"x","")</f>
        <v/>
      </c>
      <c r="AB2765" s="821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15"/>
        <v/>
      </c>
      <c r="C2766" s="191"/>
      <c r="D2766" s="37"/>
      <c r="E2766" s="191"/>
      <c r="F2766" s="192"/>
      <c r="G2766" s="468"/>
      <c r="H2766" s="193"/>
      <c r="I2766" s="256"/>
      <c r="J2766" s="256"/>
      <c r="K2766" s="56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902" t="str">
        <f>IF(AND('341-CT'!$E$9=H2766,OR(LEFT(L2766,3)=$O$7,LEFT(M2766,3)=$O$7)),"x","")</f>
        <v/>
      </c>
      <c r="P2766" s="39" t="str">
        <f>IF(AND($B2766&gt;='111'!$N$11,$B2766&lt;='111'!$O$11,OR($L2766=$P$7,$M2766=$P$7)),"x","")</f>
        <v/>
      </c>
      <c r="Q2766" s="39" t="str">
        <f>IF(AND($L2766=$P$7,$B2766&lt;'111'!$N$11),"x","")</f>
        <v/>
      </c>
      <c r="R2766" s="39" t="str">
        <f>IF(AND($M2766=$P$7,$B2766&lt;'111'!$N$11),"x","")</f>
        <v/>
      </c>
      <c r="S2766" s="39" t="str">
        <f>IF(ISERROR(FIND('112'!$M$9,G2766,1)),"",IF((AND(FIND('112'!$M$9,G2766,1)&gt;=1,$B2766&gt;='112'!$N$8,$B2766&lt;='112'!$O$8,OR($L2766='112'!$I$6,$M2766='112'!$I$6))),"x",""))</f>
        <v/>
      </c>
      <c r="T2766" s="39" t="str">
        <f>IF(ISERROR(FIND('112'!$M$9,G2766,1)),"",IF((AND(LEFT(G2766,2)=LEFT('112'!$M$9,2),B2766&lt;'112'!$N$8,$L2766='112'!$I$6)),"x",""))</f>
        <v/>
      </c>
      <c r="U2766" s="39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39" t="str">
        <f>IF(OR(TH!L2766=TH!$W$7,M2766=TH!$W$7),"x","")</f>
        <v/>
      </c>
      <c r="X2766" s="39" t="str">
        <f>IF(AND(B2766&gt;='IN-NX'!$P$3,B2766&lt;='IN-NX'!$Q$3,'IN-NX'!$D$7=D2766,OR(LEFT(L2766,2)="15",AND(LEFT(M2766,2)&lt;&gt;"15",LEFT(M2766,2)&lt;&gt;"33"))),"x","")</f>
        <v/>
      </c>
      <c r="Y2766" s="39" t="str">
        <f>IF(AND(OR(LEFT(TH!L2766,2)="15",LEFT(TH!M2766,2)="15"),'152-CT'!$J$8=TH!F2766),"x","")</f>
        <v/>
      </c>
      <c r="Z2766" s="39" t="str">
        <f>IF(AND(OR(LEFT(TH!L2766,2)="15",LEFT(TH!M2766,2)="15"),TK!$E$7=TH!F2766),"x","")</f>
        <v/>
      </c>
      <c r="AA2766" s="39" t="str">
        <f>IF(AND(B2766&lt;=NKC!$N$8,B2766&gt;=NKC!$M$8),"x","")</f>
        <v/>
      </c>
      <c r="AB2766" s="821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15"/>
        <v/>
      </c>
      <c r="C2767" s="191"/>
      <c r="D2767" s="37"/>
      <c r="E2767" s="191"/>
      <c r="F2767" s="192"/>
      <c r="G2767" s="468"/>
      <c r="H2767" s="193"/>
      <c r="I2767" s="256"/>
      <c r="J2767" s="256"/>
      <c r="K2767" s="56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902" t="str">
        <f>IF(AND('341-CT'!$E$9=H2767,OR(LEFT(L2767,3)=$O$7,LEFT(M2767,3)=$O$7)),"x","")</f>
        <v/>
      </c>
      <c r="P2767" s="39" t="str">
        <f>IF(AND($B2767&gt;='111'!$N$11,$B2767&lt;='111'!$O$11,OR($L2767=$P$7,$M2767=$P$7)),"x","")</f>
        <v/>
      </c>
      <c r="Q2767" s="39" t="str">
        <f>IF(AND($L2767=$P$7,$B2767&lt;'111'!$N$11),"x","")</f>
        <v/>
      </c>
      <c r="R2767" s="39" t="str">
        <f>IF(AND($M2767=$P$7,$B2767&lt;'111'!$N$11),"x","")</f>
        <v/>
      </c>
      <c r="S2767" s="39" t="str">
        <f>IF(ISERROR(FIND('112'!$M$9,G2767,1)),"",IF((AND(FIND('112'!$M$9,G2767,1)&gt;=1,$B2767&gt;='112'!$N$8,$B2767&lt;='112'!$O$8,OR($L2767='112'!$I$6,$M2767='112'!$I$6))),"x",""))</f>
        <v/>
      </c>
      <c r="T2767" s="39" t="str">
        <f>IF(ISERROR(FIND('112'!$M$9,G2767,1)),"",IF((AND(LEFT(G2767,2)=LEFT('112'!$M$9,2),B2767&lt;'112'!$N$8,$L2767='112'!$I$6)),"x",""))</f>
        <v/>
      </c>
      <c r="U2767" s="39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39" t="str">
        <f>IF(OR(TH!L2767=TH!$W$7,M2767=TH!$W$7),"x","")</f>
        <v/>
      </c>
      <c r="X2767" s="39" t="str">
        <f>IF(AND(B2767&gt;='IN-NX'!$P$3,B2767&lt;='IN-NX'!$Q$3,'IN-NX'!$D$7=D2767,OR(LEFT(L2767,2)="15",AND(LEFT(M2767,2)&lt;&gt;"15",LEFT(M2767,2)&lt;&gt;"33"))),"x","")</f>
        <v/>
      </c>
      <c r="Y2767" s="39" t="str">
        <f>IF(AND(OR(LEFT(TH!L2767,2)="15",LEFT(TH!M2767,2)="15"),'152-CT'!$J$8=TH!F2767),"x","")</f>
        <v/>
      </c>
      <c r="Z2767" s="39" t="str">
        <f>IF(AND(OR(LEFT(TH!L2767,2)="15",LEFT(TH!M2767,2)="15"),TK!$E$7=TH!F2767),"x","")</f>
        <v/>
      </c>
      <c r="AA2767" s="39" t="str">
        <f>IF(AND(B2767&lt;=NKC!$N$8,B2767&gt;=NKC!$M$8),"x","")</f>
        <v/>
      </c>
      <c r="AB2767" s="821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15"/>
        <v/>
      </c>
      <c r="C2768" s="191"/>
      <c r="D2768" s="37"/>
      <c r="E2768" s="191"/>
      <c r="F2768" s="192"/>
      <c r="G2768" s="468"/>
      <c r="H2768" s="193"/>
      <c r="I2768" s="256"/>
      <c r="J2768" s="256"/>
      <c r="K2768" s="56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902" t="str">
        <f>IF(AND('341-CT'!$E$9=H2768,OR(LEFT(L2768,3)=$O$7,LEFT(M2768,3)=$O$7)),"x","")</f>
        <v/>
      </c>
      <c r="P2768" s="39" t="str">
        <f>IF(AND($B2768&gt;='111'!$N$11,$B2768&lt;='111'!$O$11,OR($L2768=$P$7,$M2768=$P$7)),"x","")</f>
        <v/>
      </c>
      <c r="Q2768" s="39" t="str">
        <f>IF(AND($L2768=$P$7,$B2768&lt;'111'!$N$11),"x","")</f>
        <v/>
      </c>
      <c r="R2768" s="39" t="str">
        <f>IF(AND($M2768=$P$7,$B2768&lt;'111'!$N$11),"x","")</f>
        <v/>
      </c>
      <c r="S2768" s="39" t="str">
        <f>IF(ISERROR(FIND('112'!$M$9,G2768,1)),"",IF((AND(FIND('112'!$M$9,G2768,1)&gt;=1,$B2768&gt;='112'!$N$8,$B2768&lt;='112'!$O$8,OR($L2768='112'!$I$6,$M2768='112'!$I$6))),"x",""))</f>
        <v/>
      </c>
      <c r="T2768" s="39" t="str">
        <f>IF(ISERROR(FIND('112'!$M$9,G2768,1)),"",IF((AND(LEFT(G2768,2)=LEFT('112'!$M$9,2),B2768&lt;'112'!$N$8,$L2768='112'!$I$6)),"x",""))</f>
        <v/>
      </c>
      <c r="U2768" s="39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39" t="str">
        <f>IF(OR(TH!L2768=TH!$W$7,M2768=TH!$W$7),"x","")</f>
        <v/>
      </c>
      <c r="X2768" s="39" t="str">
        <f>IF(AND(B2768&gt;='IN-NX'!$P$3,B2768&lt;='IN-NX'!$Q$3,'IN-NX'!$D$7=D2768,OR(LEFT(L2768,2)="15",AND(LEFT(M2768,2)&lt;&gt;"15",LEFT(M2768,2)&lt;&gt;"33"))),"x","")</f>
        <v/>
      </c>
      <c r="Y2768" s="39" t="str">
        <f>IF(AND(OR(LEFT(TH!L2768,2)="15",LEFT(TH!M2768,2)="15"),'152-CT'!$J$8=TH!F2768),"x","")</f>
        <v/>
      </c>
      <c r="Z2768" s="39" t="str">
        <f>IF(AND(OR(LEFT(TH!L2768,2)="15",LEFT(TH!M2768,2)="15"),TK!$E$7=TH!F2768),"x","")</f>
        <v/>
      </c>
      <c r="AA2768" s="39" t="str">
        <f>IF(AND(B2768&lt;=NKC!$N$8,B2768&gt;=NKC!$M$8),"x","")</f>
        <v/>
      </c>
      <c r="AB2768" s="821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15"/>
        <v/>
      </c>
      <c r="C2769" s="191"/>
      <c r="D2769" s="37"/>
      <c r="E2769" s="191"/>
      <c r="F2769" s="192"/>
      <c r="G2769" s="468"/>
      <c r="H2769" s="193"/>
      <c r="I2769" s="256"/>
      <c r="J2769" s="256"/>
      <c r="K2769" s="56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902" t="str">
        <f>IF(AND('341-CT'!$E$9=H2769,OR(LEFT(L2769,3)=$O$7,LEFT(M2769,3)=$O$7)),"x","")</f>
        <v/>
      </c>
      <c r="P2769" s="39" t="str">
        <f>IF(AND($B2769&gt;='111'!$N$11,$B2769&lt;='111'!$O$11,OR($L2769=$P$7,$M2769=$P$7)),"x","")</f>
        <v/>
      </c>
      <c r="Q2769" s="39" t="str">
        <f>IF(AND($L2769=$P$7,$B2769&lt;'111'!$N$11),"x","")</f>
        <v/>
      </c>
      <c r="R2769" s="39" t="str">
        <f>IF(AND($M2769=$P$7,$B2769&lt;'111'!$N$11),"x","")</f>
        <v/>
      </c>
      <c r="S2769" s="39" t="str">
        <f>IF(ISERROR(FIND('112'!$M$9,G2769,1)),"",IF((AND(FIND('112'!$M$9,G2769,1)&gt;=1,$B2769&gt;='112'!$N$8,$B2769&lt;='112'!$O$8,OR($L2769='112'!$I$6,$M2769='112'!$I$6))),"x",""))</f>
        <v/>
      </c>
      <c r="T2769" s="39" t="str">
        <f>IF(ISERROR(FIND('112'!$M$9,G2769,1)),"",IF((AND(LEFT(G2769,2)=LEFT('112'!$M$9,2),B2769&lt;'112'!$N$8,$L2769='112'!$I$6)),"x",""))</f>
        <v/>
      </c>
      <c r="U2769" s="39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39" t="str">
        <f>IF(OR(TH!L2769=TH!$W$7,M2769=TH!$W$7),"x","")</f>
        <v/>
      </c>
      <c r="X2769" s="39" t="str">
        <f>IF(AND(B2769&gt;='IN-NX'!$P$3,B2769&lt;='IN-NX'!$Q$3,'IN-NX'!$D$7=D2769,OR(LEFT(L2769,2)="15",AND(LEFT(M2769,2)&lt;&gt;"15",LEFT(M2769,2)&lt;&gt;"33"))),"x","")</f>
        <v/>
      </c>
      <c r="Y2769" s="39" t="str">
        <f>IF(AND(OR(LEFT(TH!L2769,2)="15",LEFT(TH!M2769,2)="15"),'152-CT'!$J$8=TH!F2769),"x","")</f>
        <v/>
      </c>
      <c r="Z2769" s="39" t="str">
        <f>IF(AND(OR(LEFT(TH!L2769,2)="15",LEFT(TH!M2769,2)="15"),TK!$E$7=TH!F2769),"x","")</f>
        <v/>
      </c>
      <c r="AA2769" s="39" t="str">
        <f>IF(AND(B2769&lt;=NKC!$N$8,B2769&gt;=NKC!$M$8),"x","")</f>
        <v/>
      </c>
      <c r="AB2769" s="821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15"/>
        <v/>
      </c>
      <c r="C2770" s="191"/>
      <c r="D2770" s="37"/>
      <c r="E2770" s="191"/>
      <c r="F2770" s="192"/>
      <c r="G2770" s="468"/>
      <c r="H2770" s="193"/>
      <c r="I2770" s="256"/>
      <c r="J2770" s="256"/>
      <c r="K2770" s="56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902" t="str">
        <f>IF(AND('341-CT'!$E$9=H2770,OR(LEFT(L2770,3)=$O$7,LEFT(M2770,3)=$O$7)),"x","")</f>
        <v/>
      </c>
      <c r="P2770" s="39" t="str">
        <f>IF(AND($B2770&gt;='111'!$N$11,$B2770&lt;='111'!$O$11,OR($L2770=$P$7,$M2770=$P$7)),"x","")</f>
        <v/>
      </c>
      <c r="Q2770" s="39" t="str">
        <f>IF(AND($L2770=$P$7,$B2770&lt;'111'!$N$11),"x","")</f>
        <v/>
      </c>
      <c r="R2770" s="39" t="str">
        <f>IF(AND($M2770=$P$7,$B2770&lt;'111'!$N$11),"x","")</f>
        <v/>
      </c>
      <c r="S2770" s="39" t="str">
        <f>IF(ISERROR(FIND('112'!$M$9,G2770,1)),"",IF((AND(FIND('112'!$M$9,G2770,1)&gt;=1,$B2770&gt;='112'!$N$8,$B2770&lt;='112'!$O$8,OR($L2770='112'!$I$6,$M2770='112'!$I$6))),"x",""))</f>
        <v/>
      </c>
      <c r="T2770" s="39" t="str">
        <f>IF(ISERROR(FIND('112'!$M$9,G2770,1)),"",IF((AND(LEFT(G2770,2)=LEFT('112'!$M$9,2),B2770&lt;'112'!$N$8,$L2770='112'!$I$6)),"x",""))</f>
        <v/>
      </c>
      <c r="U2770" s="39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39" t="str">
        <f>IF(OR(TH!L2770=TH!$W$7,M2770=TH!$W$7),"x","")</f>
        <v/>
      </c>
      <c r="X2770" s="39" t="str">
        <f>IF(AND(B2770&gt;='IN-NX'!$P$3,B2770&lt;='IN-NX'!$Q$3,'IN-NX'!$D$7=D2770,OR(LEFT(L2770,2)="15",AND(LEFT(M2770,2)&lt;&gt;"15",LEFT(M2770,2)&lt;&gt;"33"))),"x","")</f>
        <v/>
      </c>
      <c r="Y2770" s="39" t="str">
        <f>IF(AND(OR(LEFT(TH!L2770,2)="15",LEFT(TH!M2770,2)="15"),'152-CT'!$J$8=TH!F2770),"x","")</f>
        <v/>
      </c>
      <c r="Z2770" s="39" t="str">
        <f>IF(AND(OR(LEFT(TH!L2770,2)="15",LEFT(TH!M2770,2)="15"),TK!$E$7=TH!F2770),"x","")</f>
        <v/>
      </c>
      <c r="AA2770" s="39" t="str">
        <f>IF(AND(B2770&lt;=NKC!$N$8,B2770&gt;=NKC!$M$8),"x","")</f>
        <v/>
      </c>
      <c r="AB2770" s="821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15"/>
        <v/>
      </c>
      <c r="C2771" s="191"/>
      <c r="D2771" s="37"/>
      <c r="E2771" s="191"/>
      <c r="F2771" s="192"/>
      <c r="G2771" s="468"/>
      <c r="H2771" s="193"/>
      <c r="I2771" s="256"/>
      <c r="J2771" s="256"/>
      <c r="K2771" s="56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902" t="str">
        <f>IF(AND('341-CT'!$E$9=H2771,OR(LEFT(L2771,3)=$O$7,LEFT(M2771,3)=$O$7)),"x","")</f>
        <v/>
      </c>
      <c r="P2771" s="39" t="str">
        <f>IF(AND($B2771&gt;='111'!$N$11,$B2771&lt;='111'!$O$11,OR($L2771=$P$7,$M2771=$P$7)),"x","")</f>
        <v/>
      </c>
      <c r="Q2771" s="39" t="str">
        <f>IF(AND($L2771=$P$7,$B2771&lt;'111'!$N$11),"x","")</f>
        <v/>
      </c>
      <c r="R2771" s="39" t="str">
        <f>IF(AND($M2771=$P$7,$B2771&lt;'111'!$N$11),"x","")</f>
        <v/>
      </c>
      <c r="S2771" s="39" t="str">
        <f>IF(ISERROR(FIND('112'!$M$9,G2771,1)),"",IF((AND(FIND('112'!$M$9,G2771,1)&gt;=1,$B2771&gt;='112'!$N$8,$B2771&lt;='112'!$O$8,OR($L2771='112'!$I$6,$M2771='112'!$I$6))),"x",""))</f>
        <v/>
      </c>
      <c r="T2771" s="39" t="str">
        <f>IF(ISERROR(FIND('112'!$M$9,G2771,1)),"",IF((AND(LEFT(G2771,2)=LEFT('112'!$M$9,2),B2771&lt;'112'!$N$8,$L2771='112'!$I$6)),"x",""))</f>
        <v/>
      </c>
      <c r="U2771" s="39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39" t="str">
        <f>IF(OR(TH!L2771=TH!$W$7,M2771=TH!$W$7),"x","")</f>
        <v/>
      </c>
      <c r="X2771" s="39" t="str">
        <f>IF(AND(B2771&gt;='IN-NX'!$P$3,B2771&lt;='IN-NX'!$Q$3,'IN-NX'!$D$7=D2771,OR(LEFT(L2771,2)="15",AND(LEFT(M2771,2)&lt;&gt;"15",LEFT(M2771,2)&lt;&gt;"33"))),"x","")</f>
        <v/>
      </c>
      <c r="Y2771" s="39" t="str">
        <f>IF(AND(OR(LEFT(TH!L2771,2)="15",LEFT(TH!M2771,2)="15"),'152-CT'!$J$8=TH!F2771),"x","")</f>
        <v/>
      </c>
      <c r="Z2771" s="39" t="str">
        <f>IF(AND(OR(LEFT(TH!L2771,2)="15",LEFT(TH!M2771,2)="15"),TK!$E$7=TH!F2771),"x","")</f>
        <v/>
      </c>
      <c r="AA2771" s="39" t="str">
        <f>IF(AND(B2771&lt;=NKC!$N$8,B2771&gt;=NKC!$M$8),"x","")</f>
        <v/>
      </c>
      <c r="AB2771" s="821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15"/>
        <v/>
      </c>
      <c r="C2772" s="191"/>
      <c r="D2772" s="37"/>
      <c r="E2772" s="191"/>
      <c r="F2772" s="192"/>
      <c r="G2772" s="468"/>
      <c r="H2772" s="193"/>
      <c r="I2772" s="256"/>
      <c r="J2772" s="256"/>
      <c r="K2772" s="56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902" t="str">
        <f>IF(AND('341-CT'!$E$9=H2772,OR(LEFT(L2772,3)=$O$7,LEFT(M2772,3)=$O$7)),"x","")</f>
        <v/>
      </c>
      <c r="P2772" s="39" t="str">
        <f>IF(AND($B2772&gt;='111'!$N$11,$B2772&lt;='111'!$O$11,OR($L2772=$P$7,$M2772=$P$7)),"x","")</f>
        <v/>
      </c>
      <c r="Q2772" s="39" t="str">
        <f>IF(AND($L2772=$P$7,$B2772&lt;'111'!$N$11),"x","")</f>
        <v/>
      </c>
      <c r="R2772" s="39" t="str">
        <f>IF(AND($M2772=$P$7,$B2772&lt;'111'!$N$11),"x","")</f>
        <v/>
      </c>
      <c r="S2772" s="39" t="str">
        <f>IF(ISERROR(FIND('112'!$M$9,G2772,1)),"",IF((AND(FIND('112'!$M$9,G2772,1)&gt;=1,$B2772&gt;='112'!$N$8,$B2772&lt;='112'!$O$8,OR($L2772='112'!$I$6,$M2772='112'!$I$6))),"x",""))</f>
        <v/>
      </c>
      <c r="T2772" s="39" t="str">
        <f>IF(ISERROR(FIND('112'!$M$9,G2772,1)),"",IF((AND(LEFT(G2772,2)=LEFT('112'!$M$9,2),B2772&lt;'112'!$N$8,$L2772='112'!$I$6)),"x",""))</f>
        <v/>
      </c>
      <c r="U2772" s="39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39" t="str">
        <f>IF(OR(TH!L2772=TH!$W$7,M2772=TH!$W$7),"x","")</f>
        <v/>
      </c>
      <c r="X2772" s="39" t="str">
        <f>IF(AND(B2772&gt;='IN-NX'!$P$3,B2772&lt;='IN-NX'!$Q$3,'IN-NX'!$D$7=D2772,OR(LEFT(L2772,2)="15",AND(LEFT(M2772,2)&lt;&gt;"15",LEFT(M2772,2)&lt;&gt;"33"))),"x","")</f>
        <v/>
      </c>
      <c r="Y2772" s="39" t="str">
        <f>IF(AND(OR(LEFT(TH!L2772,2)="15",LEFT(TH!M2772,2)="15"),'152-CT'!$J$8=TH!F2772),"x","")</f>
        <v/>
      </c>
      <c r="Z2772" s="39" t="str">
        <f>IF(AND(OR(LEFT(TH!L2772,2)="15",LEFT(TH!M2772,2)="15"),TK!$E$7=TH!F2772),"x","")</f>
        <v/>
      </c>
      <c r="AA2772" s="39" t="str">
        <f>IF(AND(B2772&lt;=NKC!$N$8,B2772&gt;=NKC!$M$8),"x","")</f>
        <v/>
      </c>
      <c r="AB2772" s="821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15"/>
        <v/>
      </c>
      <c r="C2773" s="191"/>
      <c r="D2773" s="37"/>
      <c r="E2773" s="191"/>
      <c r="F2773" s="192"/>
      <c r="G2773" s="468"/>
      <c r="H2773" s="193"/>
      <c r="I2773" s="256"/>
      <c r="J2773" s="256"/>
      <c r="K2773" s="56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902" t="str">
        <f>IF(AND('341-CT'!$E$9=H2773,OR(LEFT(L2773,3)=$O$7,LEFT(M2773,3)=$O$7)),"x","")</f>
        <v/>
      </c>
      <c r="P2773" s="39" t="str">
        <f>IF(AND($B2773&gt;='111'!$N$11,$B2773&lt;='111'!$O$11,OR($L2773=$P$7,$M2773=$P$7)),"x","")</f>
        <v/>
      </c>
      <c r="Q2773" s="39" t="str">
        <f>IF(AND($L2773=$P$7,$B2773&lt;'111'!$N$11),"x","")</f>
        <v/>
      </c>
      <c r="R2773" s="39" t="str">
        <f>IF(AND($M2773=$P$7,$B2773&lt;'111'!$N$11),"x","")</f>
        <v/>
      </c>
      <c r="S2773" s="39" t="str">
        <f>IF(ISERROR(FIND('112'!$M$9,G2773,1)),"",IF((AND(FIND('112'!$M$9,G2773,1)&gt;=1,$B2773&gt;='112'!$N$8,$B2773&lt;='112'!$O$8,OR($L2773='112'!$I$6,$M2773='112'!$I$6))),"x",""))</f>
        <v/>
      </c>
      <c r="T2773" s="39" t="str">
        <f>IF(ISERROR(FIND('112'!$M$9,G2773,1)),"",IF((AND(LEFT(G2773,2)=LEFT('112'!$M$9,2),B2773&lt;'112'!$N$8,$L2773='112'!$I$6)),"x",""))</f>
        <v/>
      </c>
      <c r="U2773" s="39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39" t="str">
        <f>IF(OR(TH!L2773=TH!$W$7,M2773=TH!$W$7),"x","")</f>
        <v/>
      </c>
      <c r="X2773" s="39" t="str">
        <f>IF(AND(B2773&gt;='IN-NX'!$P$3,B2773&lt;='IN-NX'!$Q$3,'IN-NX'!$D$7=D2773,OR(LEFT(L2773,2)="15",AND(LEFT(M2773,2)&lt;&gt;"15",LEFT(M2773,2)&lt;&gt;"33"))),"x","")</f>
        <v/>
      </c>
      <c r="Y2773" s="39" t="str">
        <f>IF(AND(OR(LEFT(TH!L2773,2)="15",LEFT(TH!M2773,2)="15"),'152-CT'!$J$8=TH!F2773),"x","")</f>
        <v/>
      </c>
      <c r="Z2773" s="39" t="str">
        <f>IF(AND(OR(LEFT(TH!L2773,2)="15",LEFT(TH!M2773,2)="15"),TK!$E$7=TH!F2773),"x","")</f>
        <v/>
      </c>
      <c r="AA2773" s="39" t="str">
        <f>IF(AND(B2773&lt;=NKC!$N$8,B2773&gt;=NKC!$M$8),"x","")</f>
        <v/>
      </c>
      <c r="AB2773" s="821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15"/>
        <v/>
      </c>
      <c r="C2774" s="191"/>
      <c r="D2774" s="37"/>
      <c r="E2774" s="191"/>
      <c r="F2774" s="192"/>
      <c r="G2774" s="468"/>
      <c r="H2774" s="193"/>
      <c r="I2774" s="256"/>
      <c r="J2774" s="256"/>
      <c r="K2774" s="56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902" t="str">
        <f>IF(AND('341-CT'!$E$9=H2774,OR(LEFT(L2774,3)=$O$7,LEFT(M2774,3)=$O$7)),"x","")</f>
        <v/>
      </c>
      <c r="P2774" s="39" t="str">
        <f>IF(AND($B2774&gt;='111'!$N$11,$B2774&lt;='111'!$O$11,OR($L2774=$P$7,$M2774=$P$7)),"x","")</f>
        <v/>
      </c>
      <c r="Q2774" s="39" t="str">
        <f>IF(AND($L2774=$P$7,$B2774&lt;'111'!$N$11),"x","")</f>
        <v/>
      </c>
      <c r="R2774" s="39" t="str">
        <f>IF(AND($M2774=$P$7,$B2774&lt;'111'!$N$11),"x","")</f>
        <v/>
      </c>
      <c r="S2774" s="39" t="str">
        <f>IF(ISERROR(FIND('112'!$M$9,G2774,1)),"",IF((AND(FIND('112'!$M$9,G2774,1)&gt;=1,$B2774&gt;='112'!$N$8,$B2774&lt;='112'!$O$8,OR($L2774='112'!$I$6,$M2774='112'!$I$6))),"x",""))</f>
        <v/>
      </c>
      <c r="T2774" s="39" t="str">
        <f>IF(ISERROR(FIND('112'!$M$9,G2774,1)),"",IF((AND(LEFT(G2774,2)=LEFT('112'!$M$9,2),B2774&lt;'112'!$N$8,$L2774='112'!$I$6)),"x",""))</f>
        <v/>
      </c>
      <c r="U2774" s="39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39" t="str">
        <f>IF(OR(TH!L2774=TH!$W$7,M2774=TH!$W$7),"x","")</f>
        <v/>
      </c>
      <c r="X2774" s="39" t="str">
        <f>IF(AND(B2774&gt;='IN-NX'!$P$3,B2774&lt;='IN-NX'!$Q$3,'IN-NX'!$D$7=D2774,OR(LEFT(L2774,2)="15",AND(LEFT(M2774,2)&lt;&gt;"15",LEFT(M2774,2)&lt;&gt;"33"))),"x","")</f>
        <v/>
      </c>
      <c r="Y2774" s="39" t="str">
        <f>IF(AND(OR(LEFT(TH!L2774,2)="15",LEFT(TH!M2774,2)="15"),'152-CT'!$J$8=TH!F2774),"x","")</f>
        <v/>
      </c>
      <c r="Z2774" s="39" t="str">
        <f>IF(AND(OR(LEFT(TH!L2774,2)="15",LEFT(TH!M2774,2)="15"),TK!$E$7=TH!F2774),"x","")</f>
        <v/>
      </c>
      <c r="AA2774" s="39" t="str">
        <f>IF(AND(B2774&lt;=NKC!$N$8,B2774&gt;=NKC!$M$8),"x","")</f>
        <v/>
      </c>
      <c r="AB2774" s="821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15"/>
        <v/>
      </c>
      <c r="C2775" s="191"/>
      <c r="D2775" s="37"/>
      <c r="E2775" s="191"/>
      <c r="F2775" s="192"/>
      <c r="G2775" s="468"/>
      <c r="H2775" s="193"/>
      <c r="I2775" s="256"/>
      <c r="J2775" s="256"/>
      <c r="K2775" s="56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902" t="str">
        <f>IF(AND('341-CT'!$E$9=H2775,OR(LEFT(L2775,3)=$O$7,LEFT(M2775,3)=$O$7)),"x","")</f>
        <v/>
      </c>
      <c r="P2775" s="39" t="str">
        <f>IF(AND($B2775&gt;='111'!$N$11,$B2775&lt;='111'!$O$11,OR($L2775=$P$7,$M2775=$P$7)),"x","")</f>
        <v/>
      </c>
      <c r="Q2775" s="39" t="str">
        <f>IF(AND($L2775=$P$7,$B2775&lt;'111'!$N$11),"x","")</f>
        <v/>
      </c>
      <c r="R2775" s="39" t="str">
        <f>IF(AND($M2775=$P$7,$B2775&lt;'111'!$N$11),"x","")</f>
        <v/>
      </c>
      <c r="S2775" s="39" t="str">
        <f>IF(ISERROR(FIND('112'!$M$9,G2775,1)),"",IF((AND(FIND('112'!$M$9,G2775,1)&gt;=1,$B2775&gt;='112'!$N$8,$B2775&lt;='112'!$O$8,OR($L2775='112'!$I$6,$M2775='112'!$I$6))),"x",""))</f>
        <v/>
      </c>
      <c r="T2775" s="39" t="str">
        <f>IF(ISERROR(FIND('112'!$M$9,G2775,1)),"",IF((AND(LEFT(G2775,2)=LEFT('112'!$M$9,2),B2775&lt;'112'!$N$8,$L2775='112'!$I$6)),"x",""))</f>
        <v/>
      </c>
      <c r="U2775" s="39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39" t="str">
        <f>IF(OR(TH!L2775=TH!$W$7,M2775=TH!$W$7),"x","")</f>
        <v/>
      </c>
      <c r="X2775" s="39" t="str">
        <f>IF(AND(B2775&gt;='IN-NX'!$P$3,B2775&lt;='IN-NX'!$Q$3,'IN-NX'!$D$7=D2775,OR(LEFT(L2775,2)="15",AND(LEFT(M2775,2)&lt;&gt;"15",LEFT(M2775,2)&lt;&gt;"33"))),"x","")</f>
        <v/>
      </c>
      <c r="Y2775" s="39" t="str">
        <f>IF(AND(OR(LEFT(TH!L2775,2)="15",LEFT(TH!M2775,2)="15"),'152-CT'!$J$8=TH!F2775),"x","")</f>
        <v/>
      </c>
      <c r="Z2775" s="39" t="str">
        <f>IF(AND(OR(LEFT(TH!L2775,2)="15",LEFT(TH!M2775,2)="15"),TK!$E$7=TH!F2775),"x","")</f>
        <v/>
      </c>
      <c r="AA2775" s="39" t="str">
        <f>IF(AND(B2775&lt;=NKC!$N$8,B2775&gt;=NKC!$M$8),"x","")</f>
        <v/>
      </c>
      <c r="AB2775" s="821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15"/>
        <v/>
      </c>
      <c r="C2776" s="191"/>
      <c r="D2776" s="37"/>
      <c r="E2776" s="191"/>
      <c r="F2776" s="192"/>
      <c r="G2776" s="468"/>
      <c r="H2776" s="193"/>
      <c r="I2776" s="256"/>
      <c r="J2776" s="256"/>
      <c r="K2776" s="56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902" t="str">
        <f>IF(AND('341-CT'!$E$9=H2776,OR(LEFT(L2776,3)=$O$7,LEFT(M2776,3)=$O$7)),"x","")</f>
        <v/>
      </c>
      <c r="P2776" s="39" t="str">
        <f>IF(AND($B2776&gt;='111'!$N$11,$B2776&lt;='111'!$O$11,OR($L2776=$P$7,$M2776=$P$7)),"x","")</f>
        <v/>
      </c>
      <c r="Q2776" s="39" t="str">
        <f>IF(AND($L2776=$P$7,$B2776&lt;'111'!$N$11),"x","")</f>
        <v/>
      </c>
      <c r="R2776" s="39" t="str">
        <f>IF(AND($M2776=$P$7,$B2776&lt;'111'!$N$11),"x","")</f>
        <v/>
      </c>
      <c r="S2776" s="39" t="str">
        <f>IF(ISERROR(FIND('112'!$M$9,G2776,1)),"",IF((AND(FIND('112'!$M$9,G2776,1)&gt;=1,$B2776&gt;='112'!$N$8,$B2776&lt;='112'!$O$8,OR($L2776='112'!$I$6,$M2776='112'!$I$6))),"x",""))</f>
        <v/>
      </c>
      <c r="T2776" s="39" t="str">
        <f>IF(ISERROR(FIND('112'!$M$9,G2776,1)),"",IF((AND(LEFT(G2776,2)=LEFT('112'!$M$9,2),B2776&lt;'112'!$N$8,$L2776='112'!$I$6)),"x",""))</f>
        <v/>
      </c>
      <c r="U2776" s="39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39" t="str">
        <f>IF(OR(TH!L2776=TH!$W$7,M2776=TH!$W$7),"x","")</f>
        <v/>
      </c>
      <c r="X2776" s="39" t="str">
        <f>IF(AND(B2776&gt;='IN-NX'!$P$3,B2776&lt;='IN-NX'!$Q$3,'IN-NX'!$D$7=D2776,OR(LEFT(L2776,2)="15",AND(LEFT(M2776,2)&lt;&gt;"15",LEFT(M2776,2)&lt;&gt;"33"))),"x","")</f>
        <v/>
      </c>
      <c r="Y2776" s="39" t="str">
        <f>IF(AND(OR(LEFT(TH!L2776,2)="15",LEFT(TH!M2776,2)="15"),'152-CT'!$J$8=TH!F2776),"x","")</f>
        <v/>
      </c>
      <c r="Z2776" s="39" t="str">
        <f>IF(AND(OR(LEFT(TH!L2776,2)="15",LEFT(TH!M2776,2)="15"),TK!$E$7=TH!F2776),"x","")</f>
        <v/>
      </c>
      <c r="AA2776" s="39" t="str">
        <f>IF(AND(B2776&lt;=NKC!$N$8,B2776&gt;=NKC!$M$8),"x","")</f>
        <v/>
      </c>
      <c r="AB2776" s="821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15"/>
        <v/>
      </c>
      <c r="C2777" s="191"/>
      <c r="D2777" s="37"/>
      <c r="E2777" s="191"/>
      <c r="F2777" s="192"/>
      <c r="G2777" s="468"/>
      <c r="H2777" s="193"/>
      <c r="I2777" s="256"/>
      <c r="J2777" s="256"/>
      <c r="K2777" s="56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902" t="str">
        <f>IF(AND('341-CT'!$E$9=H2777,OR(LEFT(L2777,3)=$O$7,LEFT(M2777,3)=$O$7)),"x","")</f>
        <v/>
      </c>
      <c r="P2777" s="39" t="str">
        <f>IF(AND($B2777&gt;='111'!$N$11,$B2777&lt;='111'!$O$11,OR($L2777=$P$7,$M2777=$P$7)),"x","")</f>
        <v/>
      </c>
      <c r="Q2777" s="39" t="str">
        <f>IF(AND($L2777=$P$7,$B2777&lt;'111'!$N$11),"x","")</f>
        <v/>
      </c>
      <c r="R2777" s="39" t="str">
        <f>IF(AND($M2777=$P$7,$B2777&lt;'111'!$N$11),"x","")</f>
        <v/>
      </c>
      <c r="S2777" s="39" t="str">
        <f>IF(ISERROR(FIND('112'!$M$9,G2777,1)),"",IF((AND(FIND('112'!$M$9,G2777,1)&gt;=1,$B2777&gt;='112'!$N$8,$B2777&lt;='112'!$O$8,OR($L2777='112'!$I$6,$M2777='112'!$I$6))),"x",""))</f>
        <v/>
      </c>
      <c r="T2777" s="39" t="str">
        <f>IF(ISERROR(FIND('112'!$M$9,G2777,1)),"",IF((AND(LEFT(G2777,2)=LEFT('112'!$M$9,2),B2777&lt;'112'!$N$8,$L2777='112'!$I$6)),"x",""))</f>
        <v/>
      </c>
      <c r="U2777" s="39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39" t="str">
        <f>IF(OR(TH!L2777=TH!$W$7,M2777=TH!$W$7),"x","")</f>
        <v/>
      </c>
      <c r="X2777" s="39" t="str">
        <f>IF(AND(B2777&gt;='IN-NX'!$P$3,B2777&lt;='IN-NX'!$Q$3,'IN-NX'!$D$7=D2777,OR(LEFT(L2777,2)="15",AND(LEFT(M2777,2)&lt;&gt;"15",LEFT(M2777,2)&lt;&gt;"33"))),"x","")</f>
        <v/>
      </c>
      <c r="Y2777" s="39" t="str">
        <f>IF(AND(OR(LEFT(TH!L2777,2)="15",LEFT(TH!M2777,2)="15"),'152-CT'!$J$8=TH!F2777),"x","")</f>
        <v/>
      </c>
      <c r="Z2777" s="39" t="str">
        <f>IF(AND(OR(LEFT(TH!L2777,2)="15",LEFT(TH!M2777,2)="15"),TK!$E$7=TH!F2777),"x","")</f>
        <v/>
      </c>
      <c r="AA2777" s="39" t="str">
        <f>IF(AND(B2777&lt;=NKC!$N$8,B2777&gt;=NKC!$M$8),"x","")</f>
        <v/>
      </c>
      <c r="AB2777" s="821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15"/>
        <v/>
      </c>
      <c r="C2778" s="191"/>
      <c r="D2778" s="37"/>
      <c r="E2778" s="191"/>
      <c r="F2778" s="192"/>
      <c r="G2778" s="468"/>
      <c r="H2778" s="193"/>
      <c r="I2778" s="256"/>
      <c r="J2778" s="256"/>
      <c r="K2778" s="56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902" t="str">
        <f>IF(AND('341-CT'!$E$9=H2778,OR(LEFT(L2778,3)=$O$7,LEFT(M2778,3)=$O$7)),"x","")</f>
        <v/>
      </c>
      <c r="P2778" s="39" t="str">
        <f>IF(AND($B2778&gt;='111'!$N$11,$B2778&lt;='111'!$O$11,OR($L2778=$P$7,$M2778=$P$7)),"x","")</f>
        <v/>
      </c>
      <c r="Q2778" s="39" t="str">
        <f>IF(AND($L2778=$P$7,$B2778&lt;'111'!$N$11),"x","")</f>
        <v/>
      </c>
      <c r="R2778" s="39" t="str">
        <f>IF(AND($M2778=$P$7,$B2778&lt;'111'!$N$11),"x","")</f>
        <v/>
      </c>
      <c r="S2778" s="39" t="str">
        <f>IF(ISERROR(FIND('112'!$M$9,G2778,1)),"",IF((AND(FIND('112'!$M$9,G2778,1)&gt;=1,$B2778&gt;='112'!$N$8,$B2778&lt;='112'!$O$8,OR($L2778='112'!$I$6,$M2778='112'!$I$6))),"x",""))</f>
        <v/>
      </c>
      <c r="T2778" s="39" t="str">
        <f>IF(ISERROR(FIND('112'!$M$9,G2778,1)),"",IF((AND(LEFT(G2778,2)=LEFT('112'!$M$9,2),B2778&lt;'112'!$N$8,$L2778='112'!$I$6)),"x",""))</f>
        <v/>
      </c>
      <c r="U2778" s="39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39" t="str">
        <f>IF(OR(TH!L2778=TH!$W$7,M2778=TH!$W$7),"x","")</f>
        <v/>
      </c>
      <c r="X2778" s="39" t="str">
        <f>IF(AND(B2778&gt;='IN-NX'!$P$3,B2778&lt;='IN-NX'!$Q$3,'IN-NX'!$D$7=D2778,OR(LEFT(L2778,2)="15",AND(LEFT(M2778,2)&lt;&gt;"15",LEFT(M2778,2)&lt;&gt;"33"))),"x","")</f>
        <v/>
      </c>
      <c r="Y2778" s="39" t="str">
        <f>IF(AND(OR(LEFT(TH!L2778,2)="15",LEFT(TH!M2778,2)="15"),'152-CT'!$J$8=TH!F2778),"x","")</f>
        <v/>
      </c>
      <c r="Z2778" s="39" t="str">
        <f>IF(AND(OR(LEFT(TH!L2778,2)="15",LEFT(TH!M2778,2)="15"),TK!$E$7=TH!F2778),"x","")</f>
        <v/>
      </c>
      <c r="AA2778" s="39" t="str">
        <f>IF(AND(B2778&lt;=NKC!$N$8,B2778&gt;=NKC!$M$8),"x","")</f>
        <v/>
      </c>
      <c r="AB2778" s="821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15"/>
        <v/>
      </c>
      <c r="C2779" s="191"/>
      <c r="D2779" s="37"/>
      <c r="E2779" s="191"/>
      <c r="F2779" s="192"/>
      <c r="G2779" s="468"/>
      <c r="H2779" s="193"/>
      <c r="I2779" s="256"/>
      <c r="J2779" s="256"/>
      <c r="K2779" s="56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902" t="str">
        <f>IF(AND('341-CT'!$E$9=H2779,OR(LEFT(L2779,3)=$O$7,LEFT(M2779,3)=$O$7)),"x","")</f>
        <v/>
      </c>
      <c r="P2779" s="39" t="str">
        <f>IF(AND($B2779&gt;='111'!$N$11,$B2779&lt;='111'!$O$11,OR($L2779=$P$7,$M2779=$P$7)),"x","")</f>
        <v/>
      </c>
      <c r="Q2779" s="39" t="str">
        <f>IF(AND($L2779=$P$7,$B2779&lt;'111'!$N$11),"x","")</f>
        <v/>
      </c>
      <c r="R2779" s="39" t="str">
        <f>IF(AND($M2779=$P$7,$B2779&lt;'111'!$N$11),"x","")</f>
        <v/>
      </c>
      <c r="S2779" s="39" t="str">
        <f>IF(ISERROR(FIND('112'!$M$9,G2779,1)),"",IF((AND(FIND('112'!$M$9,G2779,1)&gt;=1,$B2779&gt;='112'!$N$8,$B2779&lt;='112'!$O$8,OR($L2779='112'!$I$6,$M2779='112'!$I$6))),"x",""))</f>
        <v/>
      </c>
      <c r="T2779" s="39" t="str">
        <f>IF(ISERROR(FIND('112'!$M$9,G2779,1)),"",IF((AND(LEFT(G2779,2)=LEFT('112'!$M$9,2),B2779&lt;'112'!$N$8,$L2779='112'!$I$6)),"x",""))</f>
        <v/>
      </c>
      <c r="U2779" s="39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39" t="str">
        <f>IF(OR(TH!L2779=TH!$W$7,M2779=TH!$W$7),"x","")</f>
        <v/>
      </c>
      <c r="X2779" s="39" t="str">
        <f>IF(AND(B2779&gt;='IN-NX'!$P$3,B2779&lt;='IN-NX'!$Q$3,'IN-NX'!$D$7=D2779,OR(LEFT(L2779,2)="15",AND(LEFT(M2779,2)&lt;&gt;"15",LEFT(M2779,2)&lt;&gt;"33"))),"x","")</f>
        <v/>
      </c>
      <c r="Y2779" s="39" t="str">
        <f>IF(AND(OR(LEFT(TH!L2779,2)="15",LEFT(TH!M2779,2)="15"),'152-CT'!$J$8=TH!F2779),"x","")</f>
        <v/>
      </c>
      <c r="Z2779" s="39" t="str">
        <f>IF(AND(OR(LEFT(TH!L2779,2)="15",LEFT(TH!M2779,2)="15"),TK!$E$7=TH!F2779),"x","")</f>
        <v/>
      </c>
      <c r="AA2779" s="39" t="str">
        <f>IF(AND(B2779&lt;=NKC!$N$8,B2779&gt;=NKC!$M$8),"x","")</f>
        <v/>
      </c>
      <c r="AB2779" s="821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15"/>
        <v/>
      </c>
      <c r="C2780" s="191"/>
      <c r="D2780" s="37"/>
      <c r="E2780" s="191"/>
      <c r="F2780" s="192"/>
      <c r="G2780" s="468"/>
      <c r="H2780" s="193"/>
      <c r="I2780" s="256"/>
      <c r="J2780" s="256"/>
      <c r="K2780" s="56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902" t="str">
        <f>IF(AND('341-CT'!$E$9=H2780,OR(LEFT(L2780,3)=$O$7,LEFT(M2780,3)=$O$7)),"x","")</f>
        <v/>
      </c>
      <c r="P2780" s="39" t="str">
        <f>IF(AND($B2780&gt;='111'!$N$11,$B2780&lt;='111'!$O$11,OR($L2780=$P$7,$M2780=$P$7)),"x","")</f>
        <v/>
      </c>
      <c r="Q2780" s="39" t="str">
        <f>IF(AND($L2780=$P$7,$B2780&lt;'111'!$N$11),"x","")</f>
        <v/>
      </c>
      <c r="R2780" s="39" t="str">
        <f>IF(AND($M2780=$P$7,$B2780&lt;'111'!$N$11),"x","")</f>
        <v/>
      </c>
      <c r="S2780" s="39" t="str">
        <f>IF(ISERROR(FIND('112'!$M$9,G2780,1)),"",IF((AND(FIND('112'!$M$9,G2780,1)&gt;=1,$B2780&gt;='112'!$N$8,$B2780&lt;='112'!$O$8,OR($L2780='112'!$I$6,$M2780='112'!$I$6))),"x",""))</f>
        <v/>
      </c>
      <c r="T2780" s="39" t="str">
        <f>IF(ISERROR(FIND('112'!$M$9,G2780,1)),"",IF((AND(LEFT(G2780,2)=LEFT('112'!$M$9,2),B2780&lt;'112'!$N$8,$L2780='112'!$I$6)),"x",""))</f>
        <v/>
      </c>
      <c r="U2780" s="39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39" t="str">
        <f>IF(OR(TH!L2780=TH!$W$7,M2780=TH!$W$7),"x","")</f>
        <v/>
      </c>
      <c r="X2780" s="39" t="str">
        <f>IF(AND(B2780&gt;='IN-NX'!$P$3,B2780&lt;='IN-NX'!$Q$3,'IN-NX'!$D$7=D2780,OR(LEFT(L2780,2)="15",AND(LEFT(M2780,2)&lt;&gt;"15",LEFT(M2780,2)&lt;&gt;"33"))),"x","")</f>
        <v/>
      </c>
      <c r="Y2780" s="39" t="str">
        <f>IF(AND(OR(LEFT(TH!L2780,2)="15",LEFT(TH!M2780,2)="15"),'152-CT'!$J$8=TH!F2780),"x","")</f>
        <v/>
      </c>
      <c r="Z2780" s="39" t="str">
        <f>IF(AND(OR(LEFT(TH!L2780,2)="15",LEFT(TH!M2780,2)="15"),TK!$E$7=TH!F2780),"x","")</f>
        <v/>
      </c>
      <c r="AA2780" s="39" t="str">
        <f>IF(AND(B2780&lt;=NKC!$N$8,B2780&gt;=NKC!$M$8),"x","")</f>
        <v/>
      </c>
      <c r="AB2780" s="821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15"/>
        <v/>
      </c>
      <c r="C2781" s="191"/>
      <c r="D2781" s="37"/>
      <c r="E2781" s="191"/>
      <c r="F2781" s="192"/>
      <c r="G2781" s="468"/>
      <c r="H2781" s="193"/>
      <c r="I2781" s="256"/>
      <c r="J2781" s="256"/>
      <c r="K2781" s="56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902" t="str">
        <f>IF(AND('341-CT'!$E$9=H2781,OR(LEFT(L2781,3)=$O$7,LEFT(M2781,3)=$O$7)),"x","")</f>
        <v/>
      </c>
      <c r="P2781" s="39" t="str">
        <f>IF(AND($B2781&gt;='111'!$N$11,$B2781&lt;='111'!$O$11,OR($L2781=$P$7,$M2781=$P$7)),"x","")</f>
        <v/>
      </c>
      <c r="Q2781" s="39" t="str">
        <f>IF(AND($L2781=$P$7,$B2781&lt;'111'!$N$11),"x","")</f>
        <v/>
      </c>
      <c r="R2781" s="39" t="str">
        <f>IF(AND($M2781=$P$7,$B2781&lt;'111'!$N$11),"x","")</f>
        <v/>
      </c>
      <c r="S2781" s="39" t="str">
        <f>IF(ISERROR(FIND('112'!$M$9,G2781,1)),"",IF((AND(FIND('112'!$M$9,G2781,1)&gt;=1,$B2781&gt;='112'!$N$8,$B2781&lt;='112'!$O$8,OR($L2781='112'!$I$6,$M2781='112'!$I$6))),"x",""))</f>
        <v/>
      </c>
      <c r="T2781" s="39" t="str">
        <f>IF(ISERROR(FIND('112'!$M$9,G2781,1)),"",IF((AND(LEFT(G2781,2)=LEFT('112'!$M$9,2),B2781&lt;'112'!$N$8,$L2781='112'!$I$6)),"x",""))</f>
        <v/>
      </c>
      <c r="U2781" s="39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39" t="str">
        <f>IF(OR(TH!L2781=TH!$W$7,M2781=TH!$W$7),"x","")</f>
        <v/>
      </c>
      <c r="X2781" s="39" t="str">
        <f>IF(AND(B2781&gt;='IN-NX'!$P$3,B2781&lt;='IN-NX'!$Q$3,'IN-NX'!$D$7=D2781,OR(LEFT(L2781,2)="15",AND(LEFT(M2781,2)&lt;&gt;"15",LEFT(M2781,2)&lt;&gt;"33"))),"x","")</f>
        <v/>
      </c>
      <c r="Y2781" s="39" t="str">
        <f>IF(AND(OR(LEFT(TH!L2781,2)="15",LEFT(TH!M2781,2)="15"),'152-CT'!$J$8=TH!F2781),"x","")</f>
        <v/>
      </c>
      <c r="Z2781" s="39" t="str">
        <f>IF(AND(OR(LEFT(TH!L2781,2)="15",LEFT(TH!M2781,2)="15"),TK!$E$7=TH!F2781),"x","")</f>
        <v/>
      </c>
      <c r="AA2781" s="39" t="str">
        <f>IF(AND(B2781&lt;=NKC!$N$8,B2781&gt;=NKC!$M$8),"x","")</f>
        <v/>
      </c>
      <c r="AB2781" s="821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15"/>
        <v/>
      </c>
      <c r="C2782" s="191"/>
      <c r="D2782" s="37"/>
      <c r="E2782" s="191"/>
      <c r="F2782" s="192"/>
      <c r="G2782" s="468"/>
      <c r="H2782" s="193"/>
      <c r="I2782" s="256"/>
      <c r="J2782" s="256"/>
      <c r="K2782" s="56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902" t="str">
        <f>IF(AND('341-CT'!$E$9=H2782,OR(LEFT(L2782,3)=$O$7,LEFT(M2782,3)=$O$7)),"x","")</f>
        <v/>
      </c>
      <c r="P2782" s="39" t="str">
        <f>IF(AND($B2782&gt;='111'!$N$11,$B2782&lt;='111'!$O$11,OR($L2782=$P$7,$M2782=$P$7)),"x","")</f>
        <v/>
      </c>
      <c r="Q2782" s="39" t="str">
        <f>IF(AND($L2782=$P$7,$B2782&lt;'111'!$N$11),"x","")</f>
        <v/>
      </c>
      <c r="R2782" s="39" t="str">
        <f>IF(AND($M2782=$P$7,$B2782&lt;'111'!$N$11),"x","")</f>
        <v/>
      </c>
      <c r="S2782" s="39" t="str">
        <f>IF(ISERROR(FIND('112'!$M$9,G2782,1)),"",IF((AND(FIND('112'!$M$9,G2782,1)&gt;=1,$B2782&gt;='112'!$N$8,$B2782&lt;='112'!$O$8,OR($L2782='112'!$I$6,$M2782='112'!$I$6))),"x",""))</f>
        <v/>
      </c>
      <c r="T2782" s="39" t="str">
        <f>IF(ISERROR(FIND('112'!$M$9,G2782,1)),"",IF((AND(LEFT(G2782,2)=LEFT('112'!$M$9,2),B2782&lt;'112'!$N$8,$L2782='112'!$I$6)),"x",""))</f>
        <v/>
      </c>
      <c r="U2782" s="39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39" t="str">
        <f>IF(OR(TH!L2782=TH!$W$7,M2782=TH!$W$7),"x","")</f>
        <v/>
      </c>
      <c r="X2782" s="39" t="str">
        <f>IF(AND(B2782&gt;='IN-NX'!$P$3,B2782&lt;='IN-NX'!$Q$3,'IN-NX'!$D$7=D2782,OR(LEFT(L2782,2)="15",AND(LEFT(M2782,2)&lt;&gt;"15",LEFT(M2782,2)&lt;&gt;"33"))),"x","")</f>
        <v/>
      </c>
      <c r="Y2782" s="39" t="str">
        <f>IF(AND(OR(LEFT(TH!L2782,2)="15",LEFT(TH!M2782,2)="15"),'152-CT'!$J$8=TH!F2782),"x","")</f>
        <v/>
      </c>
      <c r="Z2782" s="39" t="str">
        <f>IF(AND(OR(LEFT(TH!L2782,2)="15",LEFT(TH!M2782,2)="15"),TK!$E$7=TH!F2782),"x","")</f>
        <v/>
      </c>
      <c r="AA2782" s="39" t="str">
        <f>IF(AND(B2782&lt;=NKC!$N$8,B2782&gt;=NKC!$M$8),"x","")</f>
        <v/>
      </c>
      <c r="AB2782" s="821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15"/>
        <v/>
      </c>
      <c r="C2783" s="191"/>
      <c r="D2783" s="37"/>
      <c r="E2783" s="191"/>
      <c r="F2783" s="192"/>
      <c r="G2783" s="468"/>
      <c r="H2783" s="193"/>
      <c r="I2783" s="256"/>
      <c r="J2783" s="256"/>
      <c r="K2783" s="56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902" t="str">
        <f>IF(AND('341-CT'!$E$9=H2783,OR(LEFT(L2783,3)=$O$7,LEFT(M2783,3)=$O$7)),"x","")</f>
        <v/>
      </c>
      <c r="P2783" s="39" t="str">
        <f>IF(AND($B2783&gt;='111'!$N$11,$B2783&lt;='111'!$O$11,OR($L2783=$P$7,$M2783=$P$7)),"x","")</f>
        <v/>
      </c>
      <c r="Q2783" s="39" t="str">
        <f>IF(AND($L2783=$P$7,$B2783&lt;'111'!$N$11),"x","")</f>
        <v/>
      </c>
      <c r="R2783" s="39" t="str">
        <f>IF(AND($M2783=$P$7,$B2783&lt;'111'!$N$11),"x","")</f>
        <v/>
      </c>
      <c r="S2783" s="39" t="str">
        <f>IF(ISERROR(FIND('112'!$M$9,G2783,1)),"",IF((AND(FIND('112'!$M$9,G2783,1)&gt;=1,$B2783&gt;='112'!$N$8,$B2783&lt;='112'!$O$8,OR($L2783='112'!$I$6,$M2783='112'!$I$6))),"x",""))</f>
        <v/>
      </c>
      <c r="T2783" s="39" t="str">
        <f>IF(ISERROR(FIND('112'!$M$9,G2783,1)),"",IF((AND(LEFT(G2783,2)=LEFT('112'!$M$9,2),B2783&lt;'112'!$N$8,$L2783='112'!$I$6)),"x",""))</f>
        <v/>
      </c>
      <c r="U2783" s="39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39" t="str">
        <f>IF(OR(TH!L2783=TH!$W$7,M2783=TH!$W$7),"x","")</f>
        <v/>
      </c>
      <c r="X2783" s="39" t="str">
        <f>IF(AND(B2783&gt;='IN-NX'!$P$3,B2783&lt;='IN-NX'!$Q$3,'IN-NX'!$D$7=D2783,OR(LEFT(L2783,2)="15",AND(LEFT(M2783,2)&lt;&gt;"15",LEFT(M2783,2)&lt;&gt;"33"))),"x","")</f>
        <v/>
      </c>
      <c r="Y2783" s="39" t="str">
        <f>IF(AND(OR(LEFT(TH!L2783,2)="15",LEFT(TH!M2783,2)="15"),'152-CT'!$J$8=TH!F2783),"x","")</f>
        <v/>
      </c>
      <c r="Z2783" s="39" t="str">
        <f>IF(AND(OR(LEFT(TH!L2783,2)="15",LEFT(TH!M2783,2)="15"),TK!$E$7=TH!F2783),"x","")</f>
        <v/>
      </c>
      <c r="AA2783" s="39" t="str">
        <f>IF(AND(B2783&lt;=NKC!$N$8,B2783&gt;=NKC!$M$8),"x","")</f>
        <v/>
      </c>
      <c r="AB2783" s="821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15"/>
        <v/>
      </c>
      <c r="C2784" s="191"/>
      <c r="D2784" s="37"/>
      <c r="E2784" s="191"/>
      <c r="F2784" s="192"/>
      <c r="G2784" s="468"/>
      <c r="H2784" s="193"/>
      <c r="I2784" s="256"/>
      <c r="J2784" s="256"/>
      <c r="K2784" s="56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902" t="str">
        <f>IF(AND('341-CT'!$E$9=H2784,OR(LEFT(L2784,3)=$O$7,LEFT(M2784,3)=$O$7)),"x","")</f>
        <v/>
      </c>
      <c r="P2784" s="39" t="str">
        <f>IF(AND($B2784&gt;='111'!$N$11,$B2784&lt;='111'!$O$11,OR($L2784=$P$7,$M2784=$P$7)),"x","")</f>
        <v/>
      </c>
      <c r="Q2784" s="39" t="str">
        <f>IF(AND($L2784=$P$7,$B2784&lt;'111'!$N$11),"x","")</f>
        <v/>
      </c>
      <c r="R2784" s="39" t="str">
        <f>IF(AND($M2784=$P$7,$B2784&lt;'111'!$N$11),"x","")</f>
        <v/>
      </c>
      <c r="S2784" s="39" t="str">
        <f>IF(ISERROR(FIND('112'!$M$9,G2784,1)),"",IF((AND(FIND('112'!$M$9,G2784,1)&gt;=1,$B2784&gt;='112'!$N$8,$B2784&lt;='112'!$O$8,OR($L2784='112'!$I$6,$M2784='112'!$I$6))),"x",""))</f>
        <v/>
      </c>
      <c r="T2784" s="39" t="str">
        <f>IF(ISERROR(FIND('112'!$M$9,G2784,1)),"",IF((AND(LEFT(G2784,2)=LEFT('112'!$M$9,2),B2784&lt;'112'!$N$8,$L2784='112'!$I$6)),"x",""))</f>
        <v/>
      </c>
      <c r="U2784" s="39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39" t="str">
        <f>IF(OR(TH!L2784=TH!$W$7,M2784=TH!$W$7),"x","")</f>
        <v/>
      </c>
      <c r="X2784" s="39" t="str">
        <f>IF(AND(B2784&gt;='IN-NX'!$P$3,B2784&lt;='IN-NX'!$Q$3,'IN-NX'!$D$7=D2784,OR(LEFT(L2784,2)="15",AND(LEFT(M2784,2)&lt;&gt;"15",LEFT(M2784,2)&lt;&gt;"33"))),"x","")</f>
        <v/>
      </c>
      <c r="Y2784" s="39" t="str">
        <f>IF(AND(OR(LEFT(TH!L2784,2)="15",LEFT(TH!M2784,2)="15"),'152-CT'!$J$8=TH!F2784),"x","")</f>
        <v/>
      </c>
      <c r="Z2784" s="39" t="str">
        <f>IF(AND(OR(LEFT(TH!L2784,2)="15",LEFT(TH!M2784,2)="15"),TK!$E$7=TH!F2784),"x","")</f>
        <v/>
      </c>
      <c r="AA2784" s="39" t="str">
        <f>IF(AND(B2784&lt;=NKC!$N$8,B2784&gt;=NKC!$M$8),"x","")</f>
        <v/>
      </c>
      <c r="AB2784" s="821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15"/>
        <v/>
      </c>
      <c r="C2785" s="191"/>
      <c r="D2785" s="37"/>
      <c r="E2785" s="191"/>
      <c r="F2785" s="192"/>
      <c r="G2785" s="468"/>
      <c r="H2785" s="193"/>
      <c r="I2785" s="256"/>
      <c r="J2785" s="256"/>
      <c r="K2785" s="568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902" t="str">
        <f>IF(AND('341-CT'!$E$9=H2785,OR(LEFT(L2785,3)=$O$7,LEFT(M2785,3)=$O$7)),"x","")</f>
        <v/>
      </c>
      <c r="P2785" s="39" t="str">
        <f>IF(AND($B2785&gt;='111'!$N$11,$B2785&lt;='111'!$O$11,OR($L2785=$P$7,$M2785=$P$7)),"x","")</f>
        <v/>
      </c>
      <c r="Q2785" s="39" t="str">
        <f>IF(AND($L2785=$P$7,$B2785&lt;'111'!$N$11),"x","")</f>
        <v/>
      </c>
      <c r="R2785" s="39" t="str">
        <f>IF(AND($M2785=$P$7,$B2785&lt;'111'!$N$11),"x","")</f>
        <v/>
      </c>
      <c r="S2785" s="39" t="str">
        <f>IF(ISERROR(FIND('112'!$M$9,G2785,1)),"",IF((AND(FIND('112'!$M$9,G2785,1)&gt;=1,$B2785&gt;='112'!$N$8,$B2785&lt;='112'!$O$8,OR($L2785='112'!$I$6,$M2785='112'!$I$6))),"x",""))</f>
        <v/>
      </c>
      <c r="T2785" s="39" t="str">
        <f>IF(ISERROR(FIND('112'!$M$9,G2785,1)),"",IF((AND(LEFT(G2785,2)=LEFT('112'!$M$9,2),B2785&lt;'112'!$N$8,$L2785='112'!$I$6)),"x",""))</f>
        <v/>
      </c>
      <c r="U2785" s="39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39" t="str">
        <f>IF(OR(TH!L2785=TH!$W$7,M2785=TH!$W$7),"x","")</f>
        <v/>
      </c>
      <c r="X2785" s="39" t="str">
        <f>IF(AND(B2785&gt;='IN-NX'!$P$3,B2785&lt;='IN-NX'!$Q$3,'IN-NX'!$D$7=D2785,OR(LEFT(L2785,2)="15",AND(LEFT(M2785,2)&lt;&gt;"15",LEFT(M2785,2)&lt;&gt;"33"))),"x","")</f>
        <v/>
      </c>
      <c r="Y2785" s="39" t="str">
        <f>IF(AND(OR(LEFT(TH!L2785,2)="15",LEFT(TH!M2785,2)="15"),'152-CT'!$J$8=TH!F2785),"x","")</f>
        <v/>
      </c>
      <c r="Z2785" s="39" t="str">
        <f>IF(AND(OR(LEFT(TH!L2785,2)="15",LEFT(TH!M2785,2)="15"),TK!$E$7=TH!F2785),"x","")</f>
        <v/>
      </c>
      <c r="AA2785" s="39" t="str">
        <f>IF(AND(B2785&lt;=NKC!$N$8,B2785&gt;=NKC!$M$8),"x","")</f>
        <v/>
      </c>
      <c r="AB2785" s="821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15"/>
        <v/>
      </c>
      <c r="C2786" s="191"/>
      <c r="D2786" s="37"/>
      <c r="E2786" s="191"/>
      <c r="F2786" s="192"/>
      <c r="G2786" s="468"/>
      <c r="H2786" s="193"/>
      <c r="I2786" s="256"/>
      <c r="J2786" s="256"/>
      <c r="K2786" s="568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902" t="str">
        <f>IF(AND('341-CT'!$E$9=H2786,OR(LEFT(L2786,3)=$O$7,LEFT(M2786,3)=$O$7)),"x","")</f>
        <v/>
      </c>
      <c r="P2786" s="39" t="str">
        <f>IF(AND($B2786&gt;='111'!$N$11,$B2786&lt;='111'!$O$11,OR($L2786=$P$7,$M2786=$P$7)),"x","")</f>
        <v/>
      </c>
      <c r="Q2786" s="39" t="str">
        <f>IF(AND($L2786=$P$7,$B2786&lt;'111'!$N$11),"x","")</f>
        <v/>
      </c>
      <c r="R2786" s="39" t="str">
        <f>IF(AND($M2786=$P$7,$B2786&lt;'111'!$N$11),"x","")</f>
        <v/>
      </c>
      <c r="S2786" s="39" t="str">
        <f>IF(ISERROR(FIND('112'!$M$9,G2786,1)),"",IF((AND(FIND('112'!$M$9,G2786,1)&gt;=1,$B2786&gt;='112'!$N$8,$B2786&lt;='112'!$O$8,OR($L2786='112'!$I$6,$M2786='112'!$I$6))),"x",""))</f>
        <v/>
      </c>
      <c r="T2786" s="39" t="str">
        <f>IF(ISERROR(FIND('112'!$M$9,G2786,1)),"",IF((AND(LEFT(G2786,2)=LEFT('112'!$M$9,2),B2786&lt;'112'!$N$8,$L2786='112'!$I$6)),"x",""))</f>
        <v/>
      </c>
      <c r="U2786" s="39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39" t="str">
        <f>IF(OR(TH!L2786=TH!$W$7,M2786=TH!$W$7),"x","")</f>
        <v/>
      </c>
      <c r="X2786" s="39" t="str">
        <f>IF(AND(B2786&gt;='IN-NX'!$P$3,B2786&lt;='IN-NX'!$Q$3,'IN-NX'!$D$7=D2786,OR(LEFT(L2786,2)="15",AND(LEFT(M2786,2)&lt;&gt;"15",LEFT(M2786,2)&lt;&gt;"33"))),"x","")</f>
        <v/>
      </c>
      <c r="Y2786" s="39" t="str">
        <f>IF(AND(OR(LEFT(TH!L2786,2)="15",LEFT(TH!M2786,2)="15"),'152-CT'!$J$8=TH!F2786),"x","")</f>
        <v/>
      </c>
      <c r="Z2786" s="39" t="str">
        <f>IF(AND(OR(LEFT(TH!L2786,2)="15",LEFT(TH!M2786,2)="15"),TK!$E$7=TH!F2786),"x","")</f>
        <v/>
      </c>
      <c r="AA2786" s="39" t="str">
        <f>IF(AND(B2786&lt;=NKC!$N$8,B2786&gt;=NKC!$M$8),"x","")</f>
        <v/>
      </c>
      <c r="AB2786" s="821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15"/>
        <v/>
      </c>
      <c r="C2787" s="184"/>
      <c r="D2787" s="184"/>
      <c r="E2787" s="191"/>
      <c r="F2787" s="189"/>
      <c r="G2787" s="570"/>
      <c r="H2787" s="7"/>
      <c r="I2787" s="256"/>
      <c r="J2787" s="256"/>
      <c r="K2787" s="568"/>
      <c r="L2787" s="569"/>
      <c r="M2787" s="569"/>
      <c r="N2787" s="39" t="str">
        <f>IF(AND('331-CT'!$E$7=TH!H2787,OR(L2787="331",M2787="331")),"331",IF(AND(OR(L2787="131",M2787="131"),H2787='131-CT'!$E$7),"131",""))</f>
        <v/>
      </c>
      <c r="O2787" s="902" t="str">
        <f>IF(AND('341-CT'!$E$9=H2787,OR(LEFT(L2787,3)=$O$7,LEFT(M2787,3)=$O$7)),"x","")</f>
        <v/>
      </c>
      <c r="P2787" s="39" t="str">
        <f>IF(AND($B2787&gt;='111'!$N$11,$B2787&lt;='111'!$O$11,OR($L2787=$P$7,$M2787=$P$7)),"x","")</f>
        <v/>
      </c>
      <c r="Q2787" s="39" t="str">
        <f>IF(AND($L2787=$P$7,$B2787&lt;'111'!$N$11),"x","")</f>
        <v/>
      </c>
      <c r="R2787" s="39" t="str">
        <f>IF(AND($M2787=$P$7,$B2787&lt;'111'!$N$11),"x","")</f>
        <v/>
      </c>
      <c r="S2787" s="39" t="str">
        <f>IF(ISERROR(FIND('112'!$M$9,G2787,1)),"",IF((AND(FIND('112'!$M$9,G2787,1)&gt;=1,$B2787&gt;='112'!$N$8,$B2787&lt;='112'!$O$8,OR($L2787='112'!$I$6,$M2787='112'!$I$6))),"x",""))</f>
        <v/>
      </c>
      <c r="T2787" s="39" t="str">
        <f>IF(ISERROR(FIND('112'!$M$9,G2787,1)),"",IF((AND(LEFT(G2787,2)=LEFT('112'!$M$9,2),B2787&lt;'112'!$N$8,$L2787='112'!$I$6)),"x",""))</f>
        <v/>
      </c>
      <c r="U2787" s="39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39" t="str">
        <f>IF(OR(TH!L2787=TH!$W$7,M2787=TH!$W$7),"x","")</f>
        <v/>
      </c>
      <c r="X2787" s="39" t="str">
        <f>IF(AND(B2787&gt;='IN-NX'!$P$3,B2787&lt;='IN-NX'!$Q$3,'IN-NX'!$D$7=D2787,OR(LEFT(L2787,2)="15",AND(LEFT(M2787,2)&lt;&gt;"15",LEFT(M2787,2)&lt;&gt;"33"))),"x","")</f>
        <v/>
      </c>
      <c r="Y2787" s="39" t="str">
        <f>IF(AND(OR(LEFT(TH!L2787,2)="15",LEFT(TH!M2787,2)="15"),'152-CT'!$J$8=TH!F2787),"x","")</f>
        <v/>
      </c>
      <c r="Z2787" s="39" t="str">
        <f>IF(AND(OR(LEFT(TH!L2787,2)="15",LEFT(TH!M2787,2)="15"),TK!$E$7=TH!F2787),"x","")</f>
        <v/>
      </c>
      <c r="AA2787" s="39" t="str">
        <f>IF(AND(B2787&lt;=NKC!$N$8,B2787&gt;=NKC!$M$8),"x","")</f>
        <v/>
      </c>
      <c r="AB2787" s="821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15"/>
        <v/>
      </c>
      <c r="C2788" s="184"/>
      <c r="D2788" s="184"/>
      <c r="E2788" s="191"/>
      <c r="F2788" s="189"/>
      <c r="G2788" s="570"/>
      <c r="H2788" s="7"/>
      <c r="I2788" s="256"/>
      <c r="J2788" s="256"/>
      <c r="K2788" s="568"/>
      <c r="L2788" s="569"/>
      <c r="M2788" s="569"/>
      <c r="N2788" s="39" t="str">
        <f>IF(AND('331-CT'!$E$7=TH!H2788,OR(L2788="331",M2788="331")),"331",IF(AND(OR(L2788="131",M2788="131"),H2788='131-CT'!$E$7),"131",""))</f>
        <v/>
      </c>
      <c r="O2788" s="902" t="str">
        <f>IF(AND('341-CT'!$E$9=H2788,OR(LEFT(L2788,3)=$O$7,LEFT(M2788,3)=$O$7)),"x","")</f>
        <v/>
      </c>
      <c r="P2788" s="39" t="str">
        <f>IF(AND($B2788&gt;='111'!$N$11,$B2788&lt;='111'!$O$11,OR($L2788=$P$7,$M2788=$P$7)),"x","")</f>
        <v/>
      </c>
      <c r="Q2788" s="39" t="str">
        <f>IF(AND($L2788=$P$7,$B2788&lt;'111'!$N$11),"x","")</f>
        <v/>
      </c>
      <c r="R2788" s="39" t="str">
        <f>IF(AND($M2788=$P$7,$B2788&lt;'111'!$N$11),"x","")</f>
        <v/>
      </c>
      <c r="S2788" s="39" t="str">
        <f>IF(ISERROR(FIND('112'!$M$9,G2788,1)),"",IF((AND(FIND('112'!$M$9,G2788,1)&gt;=1,$B2788&gt;='112'!$N$8,$B2788&lt;='112'!$O$8,OR($L2788='112'!$I$6,$M2788='112'!$I$6))),"x",""))</f>
        <v/>
      </c>
      <c r="T2788" s="39" t="str">
        <f>IF(ISERROR(FIND('112'!$M$9,G2788,1)),"",IF((AND(LEFT(G2788,2)=LEFT('112'!$M$9,2),B2788&lt;'112'!$N$8,$L2788='112'!$I$6)),"x",""))</f>
        <v/>
      </c>
      <c r="U2788" s="39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39" t="str">
        <f>IF(OR(TH!L2788=TH!$W$7,M2788=TH!$W$7),"x","")</f>
        <v/>
      </c>
      <c r="X2788" s="39" t="str">
        <f>IF(AND(B2788&gt;='IN-NX'!$P$3,B2788&lt;='IN-NX'!$Q$3,'IN-NX'!$D$7=D2788,OR(LEFT(L2788,2)="15",AND(LEFT(M2788,2)&lt;&gt;"15",LEFT(M2788,2)&lt;&gt;"33"))),"x","")</f>
        <v/>
      </c>
      <c r="Y2788" s="39" t="str">
        <f>IF(AND(OR(LEFT(TH!L2788,2)="15",LEFT(TH!M2788,2)="15"),'152-CT'!$J$8=TH!F2788),"x","")</f>
        <v/>
      </c>
      <c r="Z2788" s="39" t="str">
        <f>IF(AND(OR(LEFT(TH!L2788,2)="15",LEFT(TH!M2788,2)="15"),TK!$E$7=TH!F2788),"x","")</f>
        <v/>
      </c>
      <c r="AA2788" s="39" t="str">
        <f>IF(AND(B2788&lt;=NKC!$N$8,B2788&gt;=NKC!$M$8),"x","")</f>
        <v/>
      </c>
      <c r="AB2788" s="821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15"/>
        <v/>
      </c>
      <c r="C2789" s="184"/>
      <c r="D2789" s="184"/>
      <c r="E2789" s="191"/>
      <c r="F2789" s="189"/>
      <c r="G2789" s="570"/>
      <c r="H2789" s="7"/>
      <c r="I2789" s="256"/>
      <c r="J2789" s="256"/>
      <c r="K2789" s="568"/>
      <c r="L2789" s="569"/>
      <c r="M2789" s="569"/>
      <c r="N2789" s="39" t="str">
        <f>IF(AND('331-CT'!$E$7=TH!H2789,OR(L2789="331",M2789="331")),"331",IF(AND(OR(L2789="131",M2789="131"),H2789='131-CT'!$E$7),"131",""))</f>
        <v/>
      </c>
      <c r="O2789" s="902" t="str">
        <f>IF(AND('341-CT'!$E$9=H2789,OR(LEFT(L2789,3)=$O$7,LEFT(M2789,3)=$O$7)),"x","")</f>
        <v/>
      </c>
      <c r="P2789" s="39" t="str">
        <f>IF(AND($B2789&gt;='111'!$N$11,$B2789&lt;='111'!$O$11,OR($L2789=$P$7,$M2789=$P$7)),"x","")</f>
        <v/>
      </c>
      <c r="Q2789" s="39" t="str">
        <f>IF(AND($L2789=$P$7,$B2789&lt;'111'!$N$11),"x","")</f>
        <v/>
      </c>
      <c r="R2789" s="39" t="str">
        <f>IF(AND($M2789=$P$7,$B2789&lt;'111'!$N$11),"x","")</f>
        <v/>
      </c>
      <c r="S2789" s="39" t="str">
        <f>IF(ISERROR(FIND('112'!$M$9,G2789,1)),"",IF((AND(FIND('112'!$M$9,G2789,1)&gt;=1,$B2789&gt;='112'!$N$8,$B2789&lt;='112'!$O$8,OR($L2789='112'!$I$6,$M2789='112'!$I$6))),"x",""))</f>
        <v/>
      </c>
      <c r="T2789" s="39" t="str">
        <f>IF(ISERROR(FIND('112'!$M$9,G2789,1)),"",IF((AND(LEFT(G2789,2)=LEFT('112'!$M$9,2),B2789&lt;'112'!$N$8,$L2789='112'!$I$6)),"x",""))</f>
        <v/>
      </c>
      <c r="U2789" s="39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39" t="str">
        <f>IF(OR(TH!L2789=TH!$W$7,M2789=TH!$W$7),"x","")</f>
        <v/>
      </c>
      <c r="X2789" s="39" t="str">
        <f>IF(AND(B2789&gt;='IN-NX'!$P$3,B2789&lt;='IN-NX'!$Q$3,'IN-NX'!$D$7=D2789,OR(LEFT(L2789,2)="15",AND(LEFT(M2789,2)&lt;&gt;"15",LEFT(M2789,2)&lt;&gt;"33"))),"x","")</f>
        <v/>
      </c>
      <c r="Y2789" s="39" t="str">
        <f>IF(AND(OR(LEFT(TH!L2789,2)="15",LEFT(TH!M2789,2)="15"),'152-CT'!$J$8=TH!F2789),"x","")</f>
        <v/>
      </c>
      <c r="Z2789" s="39" t="str">
        <f>IF(AND(OR(LEFT(TH!L2789,2)="15",LEFT(TH!M2789,2)="15"),TK!$E$7=TH!F2789),"x","")</f>
        <v/>
      </c>
      <c r="AA2789" s="39" t="str">
        <f>IF(AND(B2789&lt;=NKC!$N$8,B2789&gt;=NKC!$M$8),"x","")</f>
        <v/>
      </c>
      <c r="AB2789" s="821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15"/>
        <v/>
      </c>
      <c r="C2790" s="191"/>
      <c r="D2790" s="191"/>
      <c r="E2790" s="191"/>
      <c r="F2790" s="192"/>
      <c r="G2790" s="468"/>
      <c r="H2790" s="193"/>
      <c r="I2790" s="256"/>
      <c r="J2790" s="256"/>
      <c r="K2790" s="568"/>
      <c r="L2790" s="194"/>
      <c r="M2790" s="194"/>
      <c r="N2790" s="39" t="str">
        <f>IF(AND('331-CT'!$E$7=TH!H2790,OR(L2790="331",M2790="331")),"331",IF(AND(OR(L2790="131",M2790="131"),H2790='131-CT'!$E$7),"131",""))</f>
        <v/>
      </c>
      <c r="O2790" s="902" t="str">
        <f>IF(AND('341-CT'!$E$9=H2790,OR(LEFT(L2790,3)=$O$7,LEFT(M2790,3)=$O$7)),"x","")</f>
        <v/>
      </c>
      <c r="P2790" s="39" t="str">
        <f>IF(AND($B2790&gt;='111'!$N$11,$B2790&lt;='111'!$O$11,OR($L2790=$P$7,$M2790=$P$7)),"x","")</f>
        <v/>
      </c>
      <c r="Q2790" s="39" t="str">
        <f>IF(AND($L2790=$P$7,$B2790&lt;'111'!$N$11),"x","")</f>
        <v/>
      </c>
      <c r="R2790" s="39" t="str">
        <f>IF(AND($M2790=$P$7,$B2790&lt;'111'!$N$11),"x","")</f>
        <v/>
      </c>
      <c r="S2790" s="39" t="str">
        <f>IF(ISERROR(FIND('112'!$M$9,G2790,1)),"",IF((AND(FIND('112'!$M$9,G2790,1)&gt;=1,$B2790&gt;='112'!$N$8,$B2790&lt;='112'!$O$8,OR($L2790='112'!$I$6,$M2790='112'!$I$6))),"x",""))</f>
        <v/>
      </c>
      <c r="T2790" s="39" t="str">
        <f>IF(ISERROR(FIND('112'!$M$9,G2790,1)),"",IF((AND(LEFT(G2790,2)=LEFT('112'!$M$9,2),B2790&lt;'112'!$N$8,$L2790='112'!$I$6)),"x",""))</f>
        <v/>
      </c>
      <c r="U2790" s="39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39" t="str">
        <f>IF(OR(TH!L2790=TH!$W$7,M2790=TH!$W$7),"x","")</f>
        <v/>
      </c>
      <c r="X2790" s="39" t="str">
        <f>IF(AND(B2790&gt;='IN-NX'!$P$3,B2790&lt;='IN-NX'!$Q$3,'IN-NX'!$D$7=D2790,OR(LEFT(L2790,2)="15",AND(LEFT(M2790,2)&lt;&gt;"15",LEFT(M2790,2)&lt;&gt;"33"))),"x","")</f>
        <v/>
      </c>
      <c r="Y2790" s="39" t="str">
        <f>IF(AND(OR(LEFT(TH!L2790,2)="15",LEFT(TH!M2790,2)="15"),'152-CT'!$J$8=TH!F2790),"x","")</f>
        <v/>
      </c>
      <c r="Z2790" s="39" t="str">
        <f>IF(AND(OR(LEFT(TH!L2790,2)="15",LEFT(TH!M2790,2)="15"),TK!$E$7=TH!F2790),"x","")</f>
        <v/>
      </c>
      <c r="AA2790" s="39" t="str">
        <f>IF(AND(B2790&lt;=NKC!$N$8,B2790&gt;=NKC!$M$8),"x","")</f>
        <v/>
      </c>
      <c r="AB2790" s="821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15"/>
        <v/>
      </c>
      <c r="C2791" s="191"/>
      <c r="D2791" s="191"/>
      <c r="E2791" s="191"/>
      <c r="F2791" s="192"/>
      <c r="G2791" s="468"/>
      <c r="H2791" s="193"/>
      <c r="I2791" s="256"/>
      <c r="J2791" s="256"/>
      <c r="K2791" s="568"/>
      <c r="L2791" s="194"/>
      <c r="M2791" s="194"/>
      <c r="N2791" s="39" t="str">
        <f>IF(AND('331-CT'!$E$7=TH!H2791,OR(L2791="331",M2791="331")),"331",IF(AND(OR(L2791="131",M2791="131"),H2791='131-CT'!$E$7),"131",""))</f>
        <v/>
      </c>
      <c r="O2791" s="902" t="str">
        <f>IF(AND('341-CT'!$E$9=H2791,OR(LEFT(L2791,3)=$O$7,LEFT(M2791,3)=$O$7)),"x","")</f>
        <v/>
      </c>
      <c r="P2791" s="39" t="str">
        <f>IF(AND($B2791&gt;='111'!$N$11,$B2791&lt;='111'!$O$11,OR($L2791=$P$7,$M2791=$P$7)),"x","")</f>
        <v/>
      </c>
      <c r="Q2791" s="39" t="str">
        <f>IF(AND($L2791=$P$7,$B2791&lt;'111'!$N$11),"x","")</f>
        <v/>
      </c>
      <c r="R2791" s="39" t="str">
        <f>IF(AND($M2791=$P$7,$B2791&lt;'111'!$N$11),"x","")</f>
        <v/>
      </c>
      <c r="S2791" s="39" t="str">
        <f>IF(ISERROR(FIND('112'!$M$9,G2791,1)),"",IF((AND(FIND('112'!$M$9,G2791,1)&gt;=1,$B2791&gt;='112'!$N$8,$B2791&lt;='112'!$O$8,OR($L2791='112'!$I$6,$M2791='112'!$I$6))),"x",""))</f>
        <v/>
      </c>
      <c r="T2791" s="39" t="str">
        <f>IF(ISERROR(FIND('112'!$M$9,G2791,1)),"",IF((AND(LEFT(G2791,2)=LEFT('112'!$M$9,2),B2791&lt;'112'!$N$8,$L2791='112'!$I$6)),"x",""))</f>
        <v/>
      </c>
      <c r="U2791" s="39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39" t="str">
        <f>IF(OR(TH!L2791=TH!$W$7,M2791=TH!$W$7),"x","")</f>
        <v/>
      </c>
      <c r="X2791" s="39" t="str">
        <f>IF(AND(B2791&gt;='IN-NX'!$P$3,B2791&lt;='IN-NX'!$Q$3,'IN-NX'!$D$7=D2791,OR(LEFT(L2791,2)="15",AND(LEFT(M2791,2)&lt;&gt;"15",LEFT(M2791,2)&lt;&gt;"33"))),"x","")</f>
        <v/>
      </c>
      <c r="Y2791" s="39" t="str">
        <f>IF(AND(OR(LEFT(TH!L2791,2)="15",LEFT(TH!M2791,2)="15"),'152-CT'!$J$8=TH!F2791),"x","")</f>
        <v/>
      </c>
      <c r="Z2791" s="39" t="str">
        <f>IF(AND(OR(LEFT(TH!L2791,2)="15",LEFT(TH!M2791,2)="15"),TK!$E$7=TH!F2791),"x","")</f>
        <v/>
      </c>
      <c r="AA2791" s="39" t="str">
        <f>IF(AND(B2791&lt;=NKC!$N$8,B2791&gt;=NKC!$M$8),"x","")</f>
        <v/>
      </c>
      <c r="AB2791" s="821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15"/>
        <v/>
      </c>
      <c r="C2792" s="191"/>
      <c r="D2792" s="191"/>
      <c r="E2792" s="191"/>
      <c r="F2792" s="192"/>
      <c r="G2792" s="468"/>
      <c r="H2792" s="193"/>
      <c r="I2792" s="256"/>
      <c r="J2792" s="256"/>
      <c r="K2792" s="38"/>
      <c r="L2792" s="194"/>
      <c r="M2792" s="194"/>
      <c r="N2792" s="39" t="str">
        <f>IF(AND('331-CT'!$E$7=TH!H2792,OR(L2792="331",M2792="331")),"331",IF(AND(OR(L2792="131",M2792="131"),H2792='131-CT'!$E$7),"131",""))</f>
        <v/>
      </c>
      <c r="O2792" s="902" t="str">
        <f>IF(AND('341-CT'!$E$9=H2792,OR(LEFT(L2792,3)=$O$7,LEFT(M2792,3)=$O$7)),"x","")</f>
        <v/>
      </c>
      <c r="P2792" s="39" t="str">
        <f>IF(AND($B2792&gt;='111'!$N$11,$B2792&lt;='111'!$O$11,OR($L2792=$P$7,$M2792=$P$7)),"x","")</f>
        <v/>
      </c>
      <c r="Q2792" s="39" t="str">
        <f>IF(AND($L2792=$P$7,$B2792&lt;'111'!$N$11),"x","")</f>
        <v/>
      </c>
      <c r="R2792" s="39" t="str">
        <f>IF(AND($M2792=$P$7,$B2792&lt;'111'!$N$11),"x","")</f>
        <v/>
      </c>
      <c r="S2792" s="39" t="str">
        <f>IF(ISERROR(FIND('112'!$M$9,G2792,1)),"",IF((AND(FIND('112'!$M$9,G2792,1)&gt;=1,$B2792&gt;='112'!$N$8,$B2792&lt;='112'!$O$8,OR($L2792='112'!$I$6,$M2792='112'!$I$6))),"x",""))</f>
        <v/>
      </c>
      <c r="T2792" s="39" t="str">
        <f>IF(ISERROR(FIND('112'!$M$9,G2792,1)),"",IF((AND(LEFT(G2792,2)=LEFT('112'!$M$9,2),B2792&lt;'112'!$N$8,$L2792='112'!$I$6)),"x",""))</f>
        <v/>
      </c>
      <c r="U2792" s="39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39" t="str">
        <f>IF(OR(TH!L2792=TH!$W$7,M2792=TH!$W$7),"x","")</f>
        <v/>
      </c>
      <c r="X2792" s="39" t="str">
        <f>IF(AND(B2792&gt;='IN-NX'!$P$3,B2792&lt;='IN-NX'!$Q$3,'IN-NX'!$D$7=D2792,OR(LEFT(L2792,2)="15",AND(LEFT(M2792,2)&lt;&gt;"15",LEFT(M2792,2)&lt;&gt;"33"))),"x","")</f>
        <v/>
      </c>
      <c r="Y2792" s="39" t="str">
        <f>IF(AND(OR(LEFT(TH!L2792,2)="15",LEFT(TH!M2792,2)="15"),'152-CT'!$J$8=TH!F2792),"x","")</f>
        <v/>
      </c>
      <c r="Z2792" s="39" t="str">
        <f>IF(AND(OR(LEFT(TH!L2792,2)="15",LEFT(TH!M2792,2)="15"),TK!$E$7=TH!F2792),"x","")</f>
        <v/>
      </c>
      <c r="AA2792" s="39" t="str">
        <f>IF(AND(B2792&lt;=NKC!$N$8,B2792&gt;=NKC!$M$8),"x","")</f>
        <v/>
      </c>
      <c r="AB2792" s="821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ref="B2793:B2798" si="116">IF(C2793&lt;&gt;"",MONTH(C2793),"")</f>
        <v/>
      </c>
      <c r="C2793" s="191"/>
      <c r="D2793" s="37"/>
      <c r="E2793" s="191"/>
      <c r="F2793" s="192"/>
      <c r="G2793" s="40"/>
      <c r="H2793" s="44"/>
      <c r="I2793" s="256"/>
      <c r="J2793" s="256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902" t="str">
        <f>IF(AND('341-CT'!$E$9=H2793,OR(LEFT(L2793,3)=$O$7,LEFT(M2793,3)=$O$7)),"x","")</f>
        <v/>
      </c>
      <c r="P2793" s="39" t="str">
        <f>IF(AND($B2793&gt;='111'!$N$11,$B2793&lt;='111'!$O$11,OR($L2793=$P$7,$M2793=$P$7)),"x","")</f>
        <v/>
      </c>
      <c r="Q2793" s="39" t="str">
        <f>IF(AND($L2793=$P$7,$B2793&lt;'111'!$N$11),"x","")</f>
        <v/>
      </c>
      <c r="R2793" s="39" t="str">
        <f>IF(AND($M2793=$P$7,$B2793&lt;'111'!$N$11),"x","")</f>
        <v/>
      </c>
      <c r="S2793" s="39" t="str">
        <f>IF(ISERROR(FIND('112'!$M$9,G2793,1)),"",IF((AND(FIND('112'!$M$9,G2793,1)&gt;=1,$B2793&gt;='112'!$N$8,$B2793&lt;='112'!$O$8,OR($L2793='112'!$I$6,$M2793='112'!$I$6))),"x",""))</f>
        <v/>
      </c>
      <c r="T2793" s="39" t="str">
        <f>IF(ISERROR(FIND('112'!$M$9,G2793,1)),"",IF((AND(LEFT(G2793,2)=LEFT('112'!$M$9,2),B2793&lt;'112'!$N$8,$L2793='112'!$I$6)),"x",""))</f>
        <v/>
      </c>
      <c r="U2793" s="39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39" t="str">
        <f>IF(OR(TH!L2793=TH!$W$7,M2793=TH!$W$7),"x","")</f>
        <v/>
      </c>
      <c r="X2793" s="39" t="str">
        <f>IF(AND(B2793&gt;='IN-NX'!$P$3,B2793&lt;='IN-NX'!$Q$3,'IN-NX'!$D$7=D2793,OR(LEFT(L2793,2)="15",AND(LEFT(M2793,2)&lt;&gt;"15",LEFT(M2793,2)&lt;&gt;"33"))),"x","")</f>
        <v/>
      </c>
      <c r="Y2793" s="39" t="str">
        <f>IF(AND(OR(LEFT(TH!L2793,2)="15",LEFT(TH!M2793,2)="15"),'152-CT'!$J$8=TH!F2793),"x","")</f>
        <v/>
      </c>
      <c r="Z2793" s="39" t="str">
        <f>IF(AND(OR(LEFT(TH!L2793,2)="15",LEFT(TH!M2793,2)="15"),TK!$E$7=TH!F2793),"x","")</f>
        <v/>
      </c>
      <c r="AA2793" s="39" t="str">
        <f>IF(AND(B2793&lt;=NKC!$N$8,B2793&gt;=NKC!$M$8),"x","")</f>
        <v/>
      </c>
      <c r="AB2793" s="821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16"/>
        <v/>
      </c>
      <c r="C2794" s="37"/>
      <c r="D2794" s="37"/>
      <c r="E2794" s="37"/>
      <c r="F2794" s="40"/>
      <c r="G2794" s="40"/>
      <c r="H2794" s="44"/>
      <c r="I2794" s="256"/>
      <c r="J2794" s="256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902" t="str">
        <f>IF(AND('341-CT'!$E$9=H2794,OR(LEFT(L2794,3)=$O$7,LEFT(M2794,3)=$O$7)),"x","")</f>
        <v/>
      </c>
      <c r="P2794" s="39" t="str">
        <f>IF(AND($B2794&gt;='111'!$N$11,$B2794&lt;='111'!$O$11,OR($L2794=$P$7,$M2794=$P$7)),"x","")</f>
        <v/>
      </c>
      <c r="Q2794" s="39" t="str">
        <f>IF(AND($L2794=$P$7,$B2794&lt;'111'!$N$11),"x","")</f>
        <v/>
      </c>
      <c r="R2794" s="39" t="str">
        <f>IF(AND($M2794=$P$7,$B2794&lt;'111'!$N$11),"x","")</f>
        <v/>
      </c>
      <c r="S2794" s="39" t="str">
        <f>IF(ISERROR(FIND('112'!$M$9,G2794,1)),"",IF((AND(FIND('112'!$M$9,G2794,1)&gt;=1,$B2794&gt;='112'!$N$8,$B2794&lt;='112'!$O$8,OR($L2794='112'!$I$6,$M2794='112'!$I$6))),"x",""))</f>
        <v/>
      </c>
      <c r="T2794" s="39" t="str">
        <f>IF(ISERROR(FIND('112'!$M$9,G2794,1)),"",IF((AND(LEFT(G2794,2)=LEFT('112'!$M$9,2),B2794&lt;'112'!$N$8,$L2794='112'!$I$6)),"x",""))</f>
        <v/>
      </c>
      <c r="U2794" s="39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39" t="str">
        <f>IF(OR(TH!L2794=TH!$W$7,M2794=TH!$W$7),"x","")</f>
        <v/>
      </c>
      <c r="X2794" s="39" t="str">
        <f>IF(AND(B2794&gt;='IN-NX'!$P$3,B2794&lt;='IN-NX'!$Q$3,'IN-NX'!$D$7=D2794,OR(LEFT(L2794,2)="15",AND(LEFT(M2794,2)&lt;&gt;"15",LEFT(M2794,2)&lt;&gt;"33"))),"x","")</f>
        <v/>
      </c>
      <c r="Y2794" s="39" t="str">
        <f>IF(AND(OR(LEFT(TH!L2794,2)="15",LEFT(TH!M2794,2)="15"),'152-CT'!$J$8=TH!F2794),"x","")</f>
        <v/>
      </c>
      <c r="Z2794" s="39" t="str">
        <f>IF(AND(OR(LEFT(TH!L2794,2)="15",LEFT(TH!M2794,2)="15"),TK!$E$7=TH!F2794),"x","")</f>
        <v/>
      </c>
      <c r="AA2794" s="39" t="str">
        <f>IF(AND(B2794&lt;=NKC!$N$8,B2794&gt;=NKC!$M$8),"x","")</f>
        <v/>
      </c>
      <c r="AB2794" s="821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16"/>
        <v/>
      </c>
      <c r="C2795" s="37"/>
      <c r="D2795" s="37"/>
      <c r="E2795" s="37"/>
      <c r="F2795" s="40"/>
      <c r="G2795" s="40"/>
      <c r="H2795" s="44"/>
      <c r="I2795" s="256"/>
      <c r="J2795" s="256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902" t="str">
        <f>IF(AND('341-CT'!$E$9=H2795,OR(LEFT(L2795,3)=$O$7,LEFT(M2795,3)=$O$7)),"x","")</f>
        <v/>
      </c>
      <c r="P2795" s="39" t="str">
        <f>IF(AND($B2795&gt;='111'!$N$11,$B2795&lt;='111'!$O$11,OR($L2795=$P$7,$M2795=$P$7)),"x","")</f>
        <v/>
      </c>
      <c r="Q2795" s="39" t="str">
        <f>IF(AND($L2795=$P$7,$B2795&lt;'111'!$N$11),"x","")</f>
        <v/>
      </c>
      <c r="R2795" s="39" t="str">
        <f>IF(AND($M2795=$P$7,$B2795&lt;'111'!$N$11),"x","")</f>
        <v/>
      </c>
      <c r="S2795" s="39" t="str">
        <f>IF(ISERROR(FIND('112'!$M$9,G2795,1)),"",IF((AND(FIND('112'!$M$9,G2795,1)&gt;=1,$B2795&gt;='112'!$N$8,$B2795&lt;='112'!$O$8,OR($L2795='112'!$I$6,$M2795='112'!$I$6))),"x",""))</f>
        <v/>
      </c>
      <c r="T2795" s="39" t="str">
        <f>IF(ISERROR(FIND('112'!$M$9,G2795,1)),"",IF((AND(LEFT(G2795,2)=LEFT('112'!$M$9,2),B2795&lt;'112'!$N$8,$L2795='112'!$I$6)),"x",""))</f>
        <v/>
      </c>
      <c r="U2795" s="39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39" t="str">
        <f>IF(OR(TH!L2795=TH!$W$7,M2795=TH!$W$7),"x","")</f>
        <v/>
      </c>
      <c r="X2795" s="39" t="str">
        <f>IF(AND(B2795&gt;='IN-NX'!$P$3,B2795&lt;='IN-NX'!$Q$3,'IN-NX'!$D$7=D2795,OR(LEFT(L2795,2)="15",AND(LEFT(M2795,2)&lt;&gt;"15",LEFT(M2795,2)&lt;&gt;"33"))),"x","")</f>
        <v/>
      </c>
      <c r="Y2795" s="39" t="str">
        <f>IF(AND(OR(LEFT(TH!L2795,2)="15",LEFT(TH!M2795,2)="15"),'152-CT'!$J$8=TH!F2795),"x","")</f>
        <v/>
      </c>
      <c r="Z2795" s="39" t="str">
        <f>IF(AND(OR(LEFT(TH!L2795,2)="15",LEFT(TH!M2795,2)="15"),TK!$E$7=TH!F2795),"x","")</f>
        <v/>
      </c>
      <c r="AA2795" s="39" t="str">
        <f>IF(AND(B2795&lt;=NKC!$N$8,B2795&gt;=NKC!$M$8),"x","")</f>
        <v/>
      </c>
      <c r="AB2795" s="821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16"/>
        <v/>
      </c>
      <c r="C2796" s="37"/>
      <c r="D2796" s="37"/>
      <c r="E2796" s="37"/>
      <c r="F2796" s="40"/>
      <c r="G2796" s="40"/>
      <c r="H2796" s="44"/>
      <c r="I2796" s="256"/>
      <c r="J2796" s="256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902" t="str">
        <f>IF(AND('341-CT'!$E$9=H2796,OR(LEFT(L2796,3)=$O$7,LEFT(M2796,3)=$O$7)),"x","")</f>
        <v/>
      </c>
      <c r="P2796" s="39" t="str">
        <f>IF(AND($B2796&gt;='111'!$N$11,$B2796&lt;='111'!$O$11,OR($L2796=$P$7,$M2796=$P$7)),"x","")</f>
        <v/>
      </c>
      <c r="Q2796" s="39" t="str">
        <f>IF(AND($L2796=$P$7,$B2796&lt;'111'!$N$11),"x","")</f>
        <v/>
      </c>
      <c r="R2796" s="39" t="str">
        <f>IF(AND($M2796=$P$7,$B2796&lt;'111'!$N$11),"x","")</f>
        <v/>
      </c>
      <c r="S2796" s="39" t="str">
        <f>IF(ISERROR(FIND('112'!$M$9,G2796,1)),"",IF((AND(FIND('112'!$M$9,G2796,1)&gt;=1,$B2796&gt;='112'!$N$8,$B2796&lt;='112'!$O$8,OR($L2796='112'!$I$6,$M2796='112'!$I$6))),"x",""))</f>
        <v/>
      </c>
      <c r="T2796" s="39" t="str">
        <f>IF(ISERROR(FIND('112'!$M$9,G2796,1)),"",IF((AND(LEFT(G2796,2)=LEFT('112'!$M$9,2),B2796&lt;'112'!$N$8,$L2796='112'!$I$6)),"x",""))</f>
        <v/>
      </c>
      <c r="U2796" s="39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39" t="str">
        <f>IF(OR(TH!L2796=TH!$W$7,M2796=TH!$W$7),"x","")</f>
        <v/>
      </c>
      <c r="X2796" s="39" t="str">
        <f>IF(AND(B2796&gt;='IN-NX'!$P$3,B2796&lt;='IN-NX'!$Q$3,'IN-NX'!$D$7=D2796,OR(LEFT(L2796,2)="15",AND(LEFT(M2796,2)&lt;&gt;"15",LEFT(M2796,2)&lt;&gt;"33"))),"x","")</f>
        <v/>
      </c>
      <c r="Y2796" s="39" t="str">
        <f>IF(AND(OR(LEFT(TH!L2796,2)="15",LEFT(TH!M2796,2)="15"),'152-CT'!$J$8=TH!F2796),"x","")</f>
        <v/>
      </c>
      <c r="Z2796" s="39" t="str">
        <f>IF(AND(OR(LEFT(TH!L2796,2)="15",LEFT(TH!M2796,2)="15"),TK!$E$7=TH!F2796),"x","")</f>
        <v/>
      </c>
      <c r="AA2796" s="39" t="str">
        <f>IF(AND(B2796&lt;=NKC!$N$8,B2796&gt;=NKC!$M$8),"x","")</f>
        <v/>
      </c>
      <c r="AB2796" s="821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16"/>
        <v/>
      </c>
      <c r="C2797" s="37"/>
      <c r="D2797" s="37"/>
      <c r="E2797" s="37"/>
      <c r="F2797" s="40"/>
      <c r="G2797" s="40"/>
      <c r="H2797" s="44"/>
      <c r="I2797" s="256"/>
      <c r="J2797" s="256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902" t="str">
        <f>IF(AND('341-CT'!$E$9=H2797,OR(LEFT(L2797,3)=$O$7,LEFT(M2797,3)=$O$7)),"x","")</f>
        <v/>
      </c>
      <c r="P2797" s="39" t="str">
        <f>IF(AND($B2797&gt;='111'!$N$11,$B2797&lt;='111'!$O$11,OR($L2797=$P$7,$M2797=$P$7)),"x","")</f>
        <v/>
      </c>
      <c r="Q2797" s="39" t="str">
        <f>IF(AND($L2797=$P$7,$B2797&lt;'111'!$N$11),"x","")</f>
        <v/>
      </c>
      <c r="R2797" s="39" t="str">
        <f>IF(AND($M2797=$P$7,$B2797&lt;'111'!$N$11),"x","")</f>
        <v/>
      </c>
      <c r="S2797" s="39" t="str">
        <f>IF(ISERROR(FIND('112'!$M$9,G2797,1)),"",IF((AND(FIND('112'!$M$9,G2797,1)&gt;=1,$B2797&gt;='112'!$N$8,$B2797&lt;='112'!$O$8,OR($L2797='112'!$I$6,$M2797='112'!$I$6))),"x",""))</f>
        <v/>
      </c>
      <c r="T2797" s="39" t="str">
        <f>IF(ISERROR(FIND('112'!$M$9,G2797,1)),"",IF((AND(LEFT(G2797,2)=LEFT('112'!$M$9,2),B2797&lt;'112'!$N$8,$L2797='112'!$I$6)),"x",""))</f>
        <v/>
      </c>
      <c r="U2797" s="39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39" t="str">
        <f>IF(OR(TH!L2797=TH!$W$7,M2797=TH!$W$7),"x","")</f>
        <v/>
      </c>
      <c r="X2797" s="39" t="str">
        <f>IF(AND(B2797&gt;='IN-NX'!$P$3,B2797&lt;='IN-NX'!$Q$3,'IN-NX'!$D$7=D2797,OR(LEFT(L2797,2)="15",AND(LEFT(M2797,2)&lt;&gt;"15",LEFT(M2797,2)&lt;&gt;"33"))),"x","")</f>
        <v/>
      </c>
      <c r="Y2797" s="39" t="str">
        <f>IF(AND(OR(LEFT(TH!L2797,2)="15",LEFT(TH!M2797,2)="15"),'152-CT'!$J$8=TH!F2797),"x","")</f>
        <v/>
      </c>
      <c r="Z2797" s="39" t="str">
        <f>IF(AND(OR(LEFT(TH!L2797,2)="15",LEFT(TH!M2797,2)="15"),TK!$E$7=TH!F2797),"x","")</f>
        <v/>
      </c>
      <c r="AA2797" s="39" t="str">
        <f>IF(AND(B2797&lt;=NKC!$N$8,B2797&gt;=NKC!$M$8),"x","")</f>
        <v/>
      </c>
      <c r="AB2797" s="821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16"/>
        <v/>
      </c>
      <c r="C2798" s="37"/>
      <c r="D2798" s="37"/>
      <c r="E2798" s="37"/>
      <c r="F2798" s="40"/>
      <c r="G2798" s="40"/>
      <c r="H2798" s="44"/>
      <c r="I2798" s="256"/>
      <c r="J2798" s="256"/>
      <c r="K2798" s="38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902" t="str">
        <f>IF(AND('341-CT'!$E$9=H2798,OR(LEFT(L2798,3)=$O$7,LEFT(M2798,3)=$O$7)),"x","")</f>
        <v/>
      </c>
      <c r="P2798" s="39" t="str">
        <f>IF(AND($B2798&gt;='111'!$N$11,$B2798&lt;='111'!$O$11,OR($L2798=$P$7,$M2798=$P$7)),"x","")</f>
        <v/>
      </c>
      <c r="Q2798" s="39" t="str">
        <f>IF(AND($L2798=$P$7,$B2798&lt;'111'!$N$11),"x","")</f>
        <v/>
      </c>
      <c r="R2798" s="39" t="str">
        <f>IF(AND($M2798=$P$7,$B2798&lt;'111'!$N$11),"x","")</f>
        <v/>
      </c>
      <c r="S2798" s="39" t="str">
        <f>IF(ISERROR(FIND('112'!$M$9,G2798,1)),"",IF((AND(FIND('112'!$M$9,G2798,1)&gt;=1,$B2798&gt;='112'!$N$8,$B2798&lt;='112'!$O$8,OR($L2798='112'!$I$6,$M2798='112'!$I$6))),"x",""))</f>
        <v/>
      </c>
      <c r="T2798" s="39" t="str">
        <f>IF(ISERROR(FIND('112'!$M$9,G2798,1)),"",IF((AND(LEFT(G2798,2)=LEFT('112'!$M$9,2),B2798&lt;'112'!$N$8,$L2798='112'!$I$6)),"x",""))</f>
        <v/>
      </c>
      <c r="U2798" s="39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39" t="str">
        <f>IF(OR(TH!L2798=TH!$W$7,M2798=TH!$W$7),"x","")</f>
        <v/>
      </c>
      <c r="X2798" s="39" t="str">
        <f>IF(AND(B2798&gt;='IN-NX'!$P$3,B2798&lt;='IN-NX'!$Q$3,'IN-NX'!$D$7=D2798,OR(LEFT(L2798,2)="15",AND(LEFT(M2798,2)&lt;&gt;"15",LEFT(M2798,2)&lt;&gt;"33"))),"x","")</f>
        <v/>
      </c>
      <c r="Y2798" s="39" t="str">
        <f>IF(AND(OR(LEFT(TH!L2798,2)="15",LEFT(TH!M2798,2)="15"),'152-CT'!$J$8=TH!F2798),"x","")</f>
        <v/>
      </c>
      <c r="Z2798" s="39" t="str">
        <f>IF(AND(OR(LEFT(TH!L2798,2)="15",LEFT(TH!M2798,2)="15"),TK!$E$7=TH!F2798),"x","")</f>
        <v/>
      </c>
      <c r="AA2798" s="39" t="str">
        <f>IF(AND(B2798&lt;=NKC!$N$8,B2798&gt;=NKC!$M$8),"x","")</f>
        <v/>
      </c>
      <c r="AB2798" s="821"/>
    </row>
    <row r="2800" spans="1:28">
      <c r="J2800" s="782"/>
    </row>
    <row r="2803" spans="8:11">
      <c r="H2803" s="781"/>
    </row>
    <row r="2804" spans="8:11">
      <c r="K2804" s="464">
        <f>SUBTOTAL(9,K10:K2798)</f>
        <v>849758557</v>
      </c>
    </row>
  </sheetData>
  <autoFilter ref="A9:AE2798">
    <filterColumn colId="11">
      <filters>
        <filter val="331"/>
      </filters>
    </filterColumn>
  </autoFilter>
  <sortState ref="A886:AD1193">
    <sortCondition ref="C886:C1193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W7:W8"/>
    <mergeCell ref="V7:V8"/>
    <mergeCell ref="P7:R8"/>
    <mergeCell ref="N7:N8"/>
    <mergeCell ref="I7:J7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0" customWidth="1"/>
    <col min="2" max="2" width="9.28515625" style="590" customWidth="1"/>
    <col min="3" max="3" width="10" style="590" customWidth="1"/>
    <col min="4" max="4" width="41.42578125" style="590" customWidth="1"/>
    <col min="5" max="5" width="6" style="590" customWidth="1"/>
    <col min="6" max="6" width="7.85546875" style="590" customWidth="1"/>
    <col min="7" max="7" width="8.5703125" style="590" customWidth="1"/>
    <col min="8" max="8" width="13.85546875" style="590" customWidth="1"/>
    <col min="9" max="9" width="14.140625" style="590" customWidth="1"/>
    <col min="10" max="11" width="9.140625" style="590"/>
    <col min="12" max="12" width="3.5703125" style="590" customWidth="1"/>
    <col min="13" max="256" width="9.140625" style="590"/>
    <col min="257" max="257" width="13" style="590" customWidth="1"/>
    <col min="258" max="258" width="9.140625" style="590"/>
    <col min="259" max="259" width="13" style="590" customWidth="1"/>
    <col min="260" max="260" width="29.7109375" style="590" customWidth="1"/>
    <col min="261" max="261" width="7.7109375" style="590" customWidth="1"/>
    <col min="262" max="262" width="6" style="590" customWidth="1"/>
    <col min="263" max="263" width="11.5703125" style="590" customWidth="1"/>
    <col min="264" max="264" width="13.42578125" style="590" customWidth="1"/>
    <col min="265" max="265" width="13.85546875" style="590" customWidth="1"/>
    <col min="266" max="512" width="9.140625" style="590"/>
    <col min="513" max="513" width="13" style="590" customWidth="1"/>
    <col min="514" max="514" width="9.140625" style="590"/>
    <col min="515" max="515" width="13" style="590" customWidth="1"/>
    <col min="516" max="516" width="29.7109375" style="590" customWidth="1"/>
    <col min="517" max="517" width="7.7109375" style="590" customWidth="1"/>
    <col min="518" max="518" width="6" style="590" customWidth="1"/>
    <col min="519" max="519" width="11.5703125" style="590" customWidth="1"/>
    <col min="520" max="520" width="13.42578125" style="590" customWidth="1"/>
    <col min="521" max="521" width="13.85546875" style="590" customWidth="1"/>
    <col min="522" max="768" width="9.140625" style="590"/>
    <col min="769" max="769" width="13" style="590" customWidth="1"/>
    <col min="770" max="770" width="9.140625" style="590"/>
    <col min="771" max="771" width="13" style="590" customWidth="1"/>
    <col min="772" max="772" width="29.7109375" style="590" customWidth="1"/>
    <col min="773" max="773" width="7.7109375" style="590" customWidth="1"/>
    <col min="774" max="774" width="6" style="590" customWidth="1"/>
    <col min="775" max="775" width="11.5703125" style="590" customWidth="1"/>
    <col min="776" max="776" width="13.42578125" style="590" customWidth="1"/>
    <col min="777" max="777" width="13.85546875" style="590" customWidth="1"/>
    <col min="778" max="1024" width="9.140625" style="590"/>
    <col min="1025" max="1025" width="13" style="590" customWidth="1"/>
    <col min="1026" max="1026" width="9.140625" style="590"/>
    <col min="1027" max="1027" width="13" style="590" customWidth="1"/>
    <col min="1028" max="1028" width="29.7109375" style="590" customWidth="1"/>
    <col min="1029" max="1029" width="7.7109375" style="590" customWidth="1"/>
    <col min="1030" max="1030" width="6" style="590" customWidth="1"/>
    <col min="1031" max="1031" width="11.5703125" style="590" customWidth="1"/>
    <col min="1032" max="1032" width="13.42578125" style="590" customWidth="1"/>
    <col min="1033" max="1033" width="13.85546875" style="590" customWidth="1"/>
    <col min="1034" max="1280" width="9.140625" style="590"/>
    <col min="1281" max="1281" width="13" style="590" customWidth="1"/>
    <col min="1282" max="1282" width="9.140625" style="590"/>
    <col min="1283" max="1283" width="13" style="590" customWidth="1"/>
    <col min="1284" max="1284" width="29.7109375" style="590" customWidth="1"/>
    <col min="1285" max="1285" width="7.7109375" style="590" customWidth="1"/>
    <col min="1286" max="1286" width="6" style="590" customWidth="1"/>
    <col min="1287" max="1287" width="11.5703125" style="590" customWidth="1"/>
    <col min="1288" max="1288" width="13.42578125" style="590" customWidth="1"/>
    <col min="1289" max="1289" width="13.85546875" style="590" customWidth="1"/>
    <col min="1290" max="1536" width="9.140625" style="590"/>
    <col min="1537" max="1537" width="13" style="590" customWidth="1"/>
    <col min="1538" max="1538" width="9.140625" style="590"/>
    <col min="1539" max="1539" width="13" style="590" customWidth="1"/>
    <col min="1540" max="1540" width="29.7109375" style="590" customWidth="1"/>
    <col min="1541" max="1541" width="7.7109375" style="590" customWidth="1"/>
    <col min="1542" max="1542" width="6" style="590" customWidth="1"/>
    <col min="1543" max="1543" width="11.5703125" style="590" customWidth="1"/>
    <col min="1544" max="1544" width="13.42578125" style="590" customWidth="1"/>
    <col min="1545" max="1545" width="13.85546875" style="590" customWidth="1"/>
    <col min="1546" max="1792" width="9.140625" style="590"/>
    <col min="1793" max="1793" width="13" style="590" customWidth="1"/>
    <col min="1794" max="1794" width="9.140625" style="590"/>
    <col min="1795" max="1795" width="13" style="590" customWidth="1"/>
    <col min="1796" max="1796" width="29.7109375" style="590" customWidth="1"/>
    <col min="1797" max="1797" width="7.7109375" style="590" customWidth="1"/>
    <col min="1798" max="1798" width="6" style="590" customWidth="1"/>
    <col min="1799" max="1799" width="11.5703125" style="590" customWidth="1"/>
    <col min="1800" max="1800" width="13.42578125" style="590" customWidth="1"/>
    <col min="1801" max="1801" width="13.85546875" style="590" customWidth="1"/>
    <col min="1802" max="2048" width="9.140625" style="590"/>
    <col min="2049" max="2049" width="13" style="590" customWidth="1"/>
    <col min="2050" max="2050" width="9.140625" style="590"/>
    <col min="2051" max="2051" width="13" style="590" customWidth="1"/>
    <col min="2052" max="2052" width="29.7109375" style="590" customWidth="1"/>
    <col min="2053" max="2053" width="7.7109375" style="590" customWidth="1"/>
    <col min="2054" max="2054" width="6" style="590" customWidth="1"/>
    <col min="2055" max="2055" width="11.5703125" style="590" customWidth="1"/>
    <col min="2056" max="2056" width="13.42578125" style="590" customWidth="1"/>
    <col min="2057" max="2057" width="13.85546875" style="590" customWidth="1"/>
    <col min="2058" max="2304" width="9.140625" style="590"/>
    <col min="2305" max="2305" width="13" style="590" customWidth="1"/>
    <col min="2306" max="2306" width="9.140625" style="590"/>
    <col min="2307" max="2307" width="13" style="590" customWidth="1"/>
    <col min="2308" max="2308" width="29.7109375" style="590" customWidth="1"/>
    <col min="2309" max="2309" width="7.7109375" style="590" customWidth="1"/>
    <col min="2310" max="2310" width="6" style="590" customWidth="1"/>
    <col min="2311" max="2311" width="11.5703125" style="590" customWidth="1"/>
    <col min="2312" max="2312" width="13.42578125" style="590" customWidth="1"/>
    <col min="2313" max="2313" width="13.85546875" style="590" customWidth="1"/>
    <col min="2314" max="2560" width="9.140625" style="590"/>
    <col min="2561" max="2561" width="13" style="590" customWidth="1"/>
    <col min="2562" max="2562" width="9.140625" style="590"/>
    <col min="2563" max="2563" width="13" style="590" customWidth="1"/>
    <col min="2564" max="2564" width="29.7109375" style="590" customWidth="1"/>
    <col min="2565" max="2565" width="7.7109375" style="590" customWidth="1"/>
    <col min="2566" max="2566" width="6" style="590" customWidth="1"/>
    <col min="2567" max="2567" width="11.5703125" style="590" customWidth="1"/>
    <col min="2568" max="2568" width="13.42578125" style="590" customWidth="1"/>
    <col min="2569" max="2569" width="13.85546875" style="590" customWidth="1"/>
    <col min="2570" max="2816" width="9.140625" style="590"/>
    <col min="2817" max="2817" width="13" style="590" customWidth="1"/>
    <col min="2818" max="2818" width="9.140625" style="590"/>
    <col min="2819" max="2819" width="13" style="590" customWidth="1"/>
    <col min="2820" max="2820" width="29.7109375" style="590" customWidth="1"/>
    <col min="2821" max="2821" width="7.7109375" style="590" customWidth="1"/>
    <col min="2822" max="2822" width="6" style="590" customWidth="1"/>
    <col min="2823" max="2823" width="11.5703125" style="590" customWidth="1"/>
    <col min="2824" max="2824" width="13.42578125" style="590" customWidth="1"/>
    <col min="2825" max="2825" width="13.85546875" style="590" customWidth="1"/>
    <col min="2826" max="3072" width="9.140625" style="590"/>
    <col min="3073" max="3073" width="13" style="590" customWidth="1"/>
    <col min="3074" max="3074" width="9.140625" style="590"/>
    <col min="3075" max="3075" width="13" style="590" customWidth="1"/>
    <col min="3076" max="3076" width="29.7109375" style="590" customWidth="1"/>
    <col min="3077" max="3077" width="7.7109375" style="590" customWidth="1"/>
    <col min="3078" max="3078" width="6" style="590" customWidth="1"/>
    <col min="3079" max="3079" width="11.5703125" style="590" customWidth="1"/>
    <col min="3080" max="3080" width="13.42578125" style="590" customWidth="1"/>
    <col min="3081" max="3081" width="13.85546875" style="590" customWidth="1"/>
    <col min="3082" max="3328" width="9.140625" style="590"/>
    <col min="3329" max="3329" width="13" style="590" customWidth="1"/>
    <col min="3330" max="3330" width="9.140625" style="590"/>
    <col min="3331" max="3331" width="13" style="590" customWidth="1"/>
    <col min="3332" max="3332" width="29.7109375" style="590" customWidth="1"/>
    <col min="3333" max="3333" width="7.7109375" style="590" customWidth="1"/>
    <col min="3334" max="3334" width="6" style="590" customWidth="1"/>
    <col min="3335" max="3335" width="11.5703125" style="590" customWidth="1"/>
    <col min="3336" max="3336" width="13.42578125" style="590" customWidth="1"/>
    <col min="3337" max="3337" width="13.85546875" style="590" customWidth="1"/>
    <col min="3338" max="3584" width="9.140625" style="590"/>
    <col min="3585" max="3585" width="13" style="590" customWidth="1"/>
    <col min="3586" max="3586" width="9.140625" style="590"/>
    <col min="3587" max="3587" width="13" style="590" customWidth="1"/>
    <col min="3588" max="3588" width="29.7109375" style="590" customWidth="1"/>
    <col min="3589" max="3589" width="7.7109375" style="590" customWidth="1"/>
    <col min="3590" max="3590" width="6" style="590" customWidth="1"/>
    <col min="3591" max="3591" width="11.5703125" style="590" customWidth="1"/>
    <col min="3592" max="3592" width="13.42578125" style="590" customWidth="1"/>
    <col min="3593" max="3593" width="13.85546875" style="590" customWidth="1"/>
    <col min="3594" max="3840" width="9.140625" style="590"/>
    <col min="3841" max="3841" width="13" style="590" customWidth="1"/>
    <col min="3842" max="3842" width="9.140625" style="590"/>
    <col min="3843" max="3843" width="13" style="590" customWidth="1"/>
    <col min="3844" max="3844" width="29.7109375" style="590" customWidth="1"/>
    <col min="3845" max="3845" width="7.7109375" style="590" customWidth="1"/>
    <col min="3846" max="3846" width="6" style="590" customWidth="1"/>
    <col min="3847" max="3847" width="11.5703125" style="590" customWidth="1"/>
    <col min="3848" max="3848" width="13.42578125" style="590" customWidth="1"/>
    <col min="3849" max="3849" width="13.85546875" style="590" customWidth="1"/>
    <col min="3850" max="4096" width="9.140625" style="590"/>
    <col min="4097" max="4097" width="13" style="590" customWidth="1"/>
    <col min="4098" max="4098" width="9.140625" style="590"/>
    <col min="4099" max="4099" width="13" style="590" customWidth="1"/>
    <col min="4100" max="4100" width="29.7109375" style="590" customWidth="1"/>
    <col min="4101" max="4101" width="7.7109375" style="590" customWidth="1"/>
    <col min="4102" max="4102" width="6" style="590" customWidth="1"/>
    <col min="4103" max="4103" width="11.5703125" style="590" customWidth="1"/>
    <col min="4104" max="4104" width="13.42578125" style="590" customWidth="1"/>
    <col min="4105" max="4105" width="13.85546875" style="590" customWidth="1"/>
    <col min="4106" max="4352" width="9.140625" style="590"/>
    <col min="4353" max="4353" width="13" style="590" customWidth="1"/>
    <col min="4354" max="4354" width="9.140625" style="590"/>
    <col min="4355" max="4355" width="13" style="590" customWidth="1"/>
    <col min="4356" max="4356" width="29.7109375" style="590" customWidth="1"/>
    <col min="4357" max="4357" width="7.7109375" style="590" customWidth="1"/>
    <col min="4358" max="4358" width="6" style="590" customWidth="1"/>
    <col min="4359" max="4359" width="11.5703125" style="590" customWidth="1"/>
    <col min="4360" max="4360" width="13.42578125" style="590" customWidth="1"/>
    <col min="4361" max="4361" width="13.85546875" style="590" customWidth="1"/>
    <col min="4362" max="4608" width="9.140625" style="590"/>
    <col min="4609" max="4609" width="13" style="590" customWidth="1"/>
    <col min="4610" max="4610" width="9.140625" style="590"/>
    <col min="4611" max="4611" width="13" style="590" customWidth="1"/>
    <col min="4612" max="4612" width="29.7109375" style="590" customWidth="1"/>
    <col min="4613" max="4613" width="7.7109375" style="590" customWidth="1"/>
    <col min="4614" max="4614" width="6" style="590" customWidth="1"/>
    <col min="4615" max="4615" width="11.5703125" style="590" customWidth="1"/>
    <col min="4616" max="4616" width="13.42578125" style="590" customWidth="1"/>
    <col min="4617" max="4617" width="13.85546875" style="590" customWidth="1"/>
    <col min="4618" max="4864" width="9.140625" style="590"/>
    <col min="4865" max="4865" width="13" style="590" customWidth="1"/>
    <col min="4866" max="4866" width="9.140625" style="590"/>
    <col min="4867" max="4867" width="13" style="590" customWidth="1"/>
    <col min="4868" max="4868" width="29.7109375" style="590" customWidth="1"/>
    <col min="4869" max="4869" width="7.7109375" style="590" customWidth="1"/>
    <col min="4870" max="4870" width="6" style="590" customWidth="1"/>
    <col min="4871" max="4871" width="11.5703125" style="590" customWidth="1"/>
    <col min="4872" max="4872" width="13.42578125" style="590" customWidth="1"/>
    <col min="4873" max="4873" width="13.85546875" style="590" customWidth="1"/>
    <col min="4874" max="5120" width="9.140625" style="590"/>
    <col min="5121" max="5121" width="13" style="590" customWidth="1"/>
    <col min="5122" max="5122" width="9.140625" style="590"/>
    <col min="5123" max="5123" width="13" style="590" customWidth="1"/>
    <col min="5124" max="5124" width="29.7109375" style="590" customWidth="1"/>
    <col min="5125" max="5125" width="7.7109375" style="590" customWidth="1"/>
    <col min="5126" max="5126" width="6" style="590" customWidth="1"/>
    <col min="5127" max="5127" width="11.5703125" style="590" customWidth="1"/>
    <col min="5128" max="5128" width="13.42578125" style="590" customWidth="1"/>
    <col min="5129" max="5129" width="13.85546875" style="590" customWidth="1"/>
    <col min="5130" max="5376" width="9.140625" style="590"/>
    <col min="5377" max="5377" width="13" style="590" customWidth="1"/>
    <col min="5378" max="5378" width="9.140625" style="590"/>
    <col min="5379" max="5379" width="13" style="590" customWidth="1"/>
    <col min="5380" max="5380" width="29.7109375" style="590" customWidth="1"/>
    <col min="5381" max="5381" width="7.7109375" style="590" customWidth="1"/>
    <col min="5382" max="5382" width="6" style="590" customWidth="1"/>
    <col min="5383" max="5383" width="11.5703125" style="590" customWidth="1"/>
    <col min="5384" max="5384" width="13.42578125" style="590" customWidth="1"/>
    <col min="5385" max="5385" width="13.85546875" style="590" customWidth="1"/>
    <col min="5386" max="5632" width="9.140625" style="590"/>
    <col min="5633" max="5633" width="13" style="590" customWidth="1"/>
    <col min="5634" max="5634" width="9.140625" style="590"/>
    <col min="5635" max="5635" width="13" style="590" customWidth="1"/>
    <col min="5636" max="5636" width="29.7109375" style="590" customWidth="1"/>
    <col min="5637" max="5637" width="7.7109375" style="590" customWidth="1"/>
    <col min="5638" max="5638" width="6" style="590" customWidth="1"/>
    <col min="5639" max="5639" width="11.5703125" style="590" customWidth="1"/>
    <col min="5640" max="5640" width="13.42578125" style="590" customWidth="1"/>
    <col min="5641" max="5641" width="13.85546875" style="590" customWidth="1"/>
    <col min="5642" max="5888" width="9.140625" style="590"/>
    <col min="5889" max="5889" width="13" style="590" customWidth="1"/>
    <col min="5890" max="5890" width="9.140625" style="590"/>
    <col min="5891" max="5891" width="13" style="590" customWidth="1"/>
    <col min="5892" max="5892" width="29.7109375" style="590" customWidth="1"/>
    <col min="5893" max="5893" width="7.7109375" style="590" customWidth="1"/>
    <col min="5894" max="5894" width="6" style="590" customWidth="1"/>
    <col min="5895" max="5895" width="11.5703125" style="590" customWidth="1"/>
    <col min="5896" max="5896" width="13.42578125" style="590" customWidth="1"/>
    <col min="5897" max="5897" width="13.85546875" style="590" customWidth="1"/>
    <col min="5898" max="6144" width="9.140625" style="590"/>
    <col min="6145" max="6145" width="13" style="590" customWidth="1"/>
    <col min="6146" max="6146" width="9.140625" style="590"/>
    <col min="6147" max="6147" width="13" style="590" customWidth="1"/>
    <col min="6148" max="6148" width="29.7109375" style="590" customWidth="1"/>
    <col min="6149" max="6149" width="7.7109375" style="590" customWidth="1"/>
    <col min="6150" max="6150" width="6" style="590" customWidth="1"/>
    <col min="6151" max="6151" width="11.5703125" style="590" customWidth="1"/>
    <col min="6152" max="6152" width="13.42578125" style="590" customWidth="1"/>
    <col min="6153" max="6153" width="13.85546875" style="590" customWidth="1"/>
    <col min="6154" max="6400" width="9.140625" style="590"/>
    <col min="6401" max="6401" width="13" style="590" customWidth="1"/>
    <col min="6402" max="6402" width="9.140625" style="590"/>
    <col min="6403" max="6403" width="13" style="590" customWidth="1"/>
    <col min="6404" max="6404" width="29.7109375" style="590" customWidth="1"/>
    <col min="6405" max="6405" width="7.7109375" style="590" customWidth="1"/>
    <col min="6406" max="6406" width="6" style="590" customWidth="1"/>
    <col min="6407" max="6407" width="11.5703125" style="590" customWidth="1"/>
    <col min="6408" max="6408" width="13.42578125" style="590" customWidth="1"/>
    <col min="6409" max="6409" width="13.85546875" style="590" customWidth="1"/>
    <col min="6410" max="6656" width="9.140625" style="590"/>
    <col min="6657" max="6657" width="13" style="590" customWidth="1"/>
    <col min="6658" max="6658" width="9.140625" style="590"/>
    <col min="6659" max="6659" width="13" style="590" customWidth="1"/>
    <col min="6660" max="6660" width="29.7109375" style="590" customWidth="1"/>
    <col min="6661" max="6661" width="7.7109375" style="590" customWidth="1"/>
    <col min="6662" max="6662" width="6" style="590" customWidth="1"/>
    <col min="6663" max="6663" width="11.5703125" style="590" customWidth="1"/>
    <col min="6664" max="6664" width="13.42578125" style="590" customWidth="1"/>
    <col min="6665" max="6665" width="13.85546875" style="590" customWidth="1"/>
    <col min="6666" max="6912" width="9.140625" style="590"/>
    <col min="6913" max="6913" width="13" style="590" customWidth="1"/>
    <col min="6914" max="6914" width="9.140625" style="590"/>
    <col min="6915" max="6915" width="13" style="590" customWidth="1"/>
    <col min="6916" max="6916" width="29.7109375" style="590" customWidth="1"/>
    <col min="6917" max="6917" width="7.7109375" style="590" customWidth="1"/>
    <col min="6918" max="6918" width="6" style="590" customWidth="1"/>
    <col min="6919" max="6919" width="11.5703125" style="590" customWidth="1"/>
    <col min="6920" max="6920" width="13.42578125" style="590" customWidth="1"/>
    <col min="6921" max="6921" width="13.85546875" style="590" customWidth="1"/>
    <col min="6922" max="7168" width="9.140625" style="590"/>
    <col min="7169" max="7169" width="13" style="590" customWidth="1"/>
    <col min="7170" max="7170" width="9.140625" style="590"/>
    <col min="7171" max="7171" width="13" style="590" customWidth="1"/>
    <col min="7172" max="7172" width="29.7109375" style="590" customWidth="1"/>
    <col min="7173" max="7173" width="7.7109375" style="590" customWidth="1"/>
    <col min="7174" max="7174" width="6" style="590" customWidth="1"/>
    <col min="7175" max="7175" width="11.5703125" style="590" customWidth="1"/>
    <col min="7176" max="7176" width="13.42578125" style="590" customWidth="1"/>
    <col min="7177" max="7177" width="13.85546875" style="590" customWidth="1"/>
    <col min="7178" max="7424" width="9.140625" style="590"/>
    <col min="7425" max="7425" width="13" style="590" customWidth="1"/>
    <col min="7426" max="7426" width="9.140625" style="590"/>
    <col min="7427" max="7427" width="13" style="590" customWidth="1"/>
    <col min="7428" max="7428" width="29.7109375" style="590" customWidth="1"/>
    <col min="7429" max="7429" width="7.7109375" style="590" customWidth="1"/>
    <col min="7430" max="7430" width="6" style="590" customWidth="1"/>
    <col min="7431" max="7431" width="11.5703125" style="590" customWidth="1"/>
    <col min="7432" max="7432" width="13.42578125" style="590" customWidth="1"/>
    <col min="7433" max="7433" width="13.85546875" style="590" customWidth="1"/>
    <col min="7434" max="7680" width="9.140625" style="590"/>
    <col min="7681" max="7681" width="13" style="590" customWidth="1"/>
    <col min="7682" max="7682" width="9.140625" style="590"/>
    <col min="7683" max="7683" width="13" style="590" customWidth="1"/>
    <col min="7684" max="7684" width="29.7109375" style="590" customWidth="1"/>
    <col min="7685" max="7685" width="7.7109375" style="590" customWidth="1"/>
    <col min="7686" max="7686" width="6" style="590" customWidth="1"/>
    <col min="7687" max="7687" width="11.5703125" style="590" customWidth="1"/>
    <col min="7688" max="7688" width="13.42578125" style="590" customWidth="1"/>
    <col min="7689" max="7689" width="13.85546875" style="590" customWidth="1"/>
    <col min="7690" max="7936" width="9.140625" style="590"/>
    <col min="7937" max="7937" width="13" style="590" customWidth="1"/>
    <col min="7938" max="7938" width="9.140625" style="590"/>
    <col min="7939" max="7939" width="13" style="590" customWidth="1"/>
    <col min="7940" max="7940" width="29.7109375" style="590" customWidth="1"/>
    <col min="7941" max="7941" width="7.7109375" style="590" customWidth="1"/>
    <col min="7942" max="7942" width="6" style="590" customWidth="1"/>
    <col min="7943" max="7943" width="11.5703125" style="590" customWidth="1"/>
    <col min="7944" max="7944" width="13.42578125" style="590" customWidth="1"/>
    <col min="7945" max="7945" width="13.85546875" style="590" customWidth="1"/>
    <col min="7946" max="8192" width="9.140625" style="590"/>
    <col min="8193" max="8193" width="13" style="590" customWidth="1"/>
    <col min="8194" max="8194" width="9.140625" style="590"/>
    <col min="8195" max="8195" width="13" style="590" customWidth="1"/>
    <col min="8196" max="8196" width="29.7109375" style="590" customWidth="1"/>
    <col min="8197" max="8197" width="7.7109375" style="590" customWidth="1"/>
    <col min="8198" max="8198" width="6" style="590" customWidth="1"/>
    <col min="8199" max="8199" width="11.5703125" style="590" customWidth="1"/>
    <col min="8200" max="8200" width="13.42578125" style="590" customWidth="1"/>
    <col min="8201" max="8201" width="13.85546875" style="590" customWidth="1"/>
    <col min="8202" max="8448" width="9.140625" style="590"/>
    <col min="8449" max="8449" width="13" style="590" customWidth="1"/>
    <col min="8450" max="8450" width="9.140625" style="590"/>
    <col min="8451" max="8451" width="13" style="590" customWidth="1"/>
    <col min="8452" max="8452" width="29.7109375" style="590" customWidth="1"/>
    <col min="8453" max="8453" width="7.7109375" style="590" customWidth="1"/>
    <col min="8454" max="8454" width="6" style="590" customWidth="1"/>
    <col min="8455" max="8455" width="11.5703125" style="590" customWidth="1"/>
    <col min="8456" max="8456" width="13.42578125" style="590" customWidth="1"/>
    <col min="8457" max="8457" width="13.85546875" style="590" customWidth="1"/>
    <col min="8458" max="8704" width="9.140625" style="590"/>
    <col min="8705" max="8705" width="13" style="590" customWidth="1"/>
    <col min="8706" max="8706" width="9.140625" style="590"/>
    <col min="8707" max="8707" width="13" style="590" customWidth="1"/>
    <col min="8708" max="8708" width="29.7109375" style="590" customWidth="1"/>
    <col min="8709" max="8709" width="7.7109375" style="590" customWidth="1"/>
    <col min="8710" max="8710" width="6" style="590" customWidth="1"/>
    <col min="8711" max="8711" width="11.5703125" style="590" customWidth="1"/>
    <col min="8712" max="8712" width="13.42578125" style="590" customWidth="1"/>
    <col min="8713" max="8713" width="13.85546875" style="590" customWidth="1"/>
    <col min="8714" max="8960" width="9.140625" style="590"/>
    <col min="8961" max="8961" width="13" style="590" customWidth="1"/>
    <col min="8962" max="8962" width="9.140625" style="590"/>
    <col min="8963" max="8963" width="13" style="590" customWidth="1"/>
    <col min="8964" max="8964" width="29.7109375" style="590" customWidth="1"/>
    <col min="8965" max="8965" width="7.7109375" style="590" customWidth="1"/>
    <col min="8966" max="8966" width="6" style="590" customWidth="1"/>
    <col min="8967" max="8967" width="11.5703125" style="590" customWidth="1"/>
    <col min="8968" max="8968" width="13.42578125" style="590" customWidth="1"/>
    <col min="8969" max="8969" width="13.85546875" style="590" customWidth="1"/>
    <col min="8970" max="9216" width="9.140625" style="590"/>
    <col min="9217" max="9217" width="13" style="590" customWidth="1"/>
    <col min="9218" max="9218" width="9.140625" style="590"/>
    <col min="9219" max="9219" width="13" style="590" customWidth="1"/>
    <col min="9220" max="9220" width="29.7109375" style="590" customWidth="1"/>
    <col min="9221" max="9221" width="7.7109375" style="590" customWidth="1"/>
    <col min="9222" max="9222" width="6" style="590" customWidth="1"/>
    <col min="9223" max="9223" width="11.5703125" style="590" customWidth="1"/>
    <col min="9224" max="9224" width="13.42578125" style="590" customWidth="1"/>
    <col min="9225" max="9225" width="13.85546875" style="590" customWidth="1"/>
    <col min="9226" max="9472" width="9.140625" style="590"/>
    <col min="9473" max="9473" width="13" style="590" customWidth="1"/>
    <col min="9474" max="9474" width="9.140625" style="590"/>
    <col min="9475" max="9475" width="13" style="590" customWidth="1"/>
    <col min="9476" max="9476" width="29.7109375" style="590" customWidth="1"/>
    <col min="9477" max="9477" width="7.7109375" style="590" customWidth="1"/>
    <col min="9478" max="9478" width="6" style="590" customWidth="1"/>
    <col min="9479" max="9479" width="11.5703125" style="590" customWidth="1"/>
    <col min="9480" max="9480" width="13.42578125" style="590" customWidth="1"/>
    <col min="9481" max="9481" width="13.85546875" style="590" customWidth="1"/>
    <col min="9482" max="9728" width="9.140625" style="590"/>
    <col min="9729" max="9729" width="13" style="590" customWidth="1"/>
    <col min="9730" max="9730" width="9.140625" style="590"/>
    <col min="9731" max="9731" width="13" style="590" customWidth="1"/>
    <col min="9732" max="9732" width="29.7109375" style="590" customWidth="1"/>
    <col min="9733" max="9733" width="7.7109375" style="590" customWidth="1"/>
    <col min="9734" max="9734" width="6" style="590" customWidth="1"/>
    <col min="9735" max="9735" width="11.5703125" style="590" customWidth="1"/>
    <col min="9736" max="9736" width="13.42578125" style="590" customWidth="1"/>
    <col min="9737" max="9737" width="13.85546875" style="590" customWidth="1"/>
    <col min="9738" max="9984" width="9.140625" style="590"/>
    <col min="9985" max="9985" width="13" style="590" customWidth="1"/>
    <col min="9986" max="9986" width="9.140625" style="590"/>
    <col min="9987" max="9987" width="13" style="590" customWidth="1"/>
    <col min="9988" max="9988" width="29.7109375" style="590" customWidth="1"/>
    <col min="9989" max="9989" width="7.7109375" style="590" customWidth="1"/>
    <col min="9990" max="9990" width="6" style="590" customWidth="1"/>
    <col min="9991" max="9991" width="11.5703125" style="590" customWidth="1"/>
    <col min="9992" max="9992" width="13.42578125" style="590" customWidth="1"/>
    <col min="9993" max="9993" width="13.85546875" style="590" customWidth="1"/>
    <col min="9994" max="10240" width="9.140625" style="590"/>
    <col min="10241" max="10241" width="13" style="590" customWidth="1"/>
    <col min="10242" max="10242" width="9.140625" style="590"/>
    <col min="10243" max="10243" width="13" style="590" customWidth="1"/>
    <col min="10244" max="10244" width="29.7109375" style="590" customWidth="1"/>
    <col min="10245" max="10245" width="7.7109375" style="590" customWidth="1"/>
    <col min="10246" max="10246" width="6" style="590" customWidth="1"/>
    <col min="10247" max="10247" width="11.5703125" style="590" customWidth="1"/>
    <col min="10248" max="10248" width="13.42578125" style="590" customWidth="1"/>
    <col min="10249" max="10249" width="13.85546875" style="590" customWidth="1"/>
    <col min="10250" max="10496" width="9.140625" style="590"/>
    <col min="10497" max="10497" width="13" style="590" customWidth="1"/>
    <col min="10498" max="10498" width="9.140625" style="590"/>
    <col min="10499" max="10499" width="13" style="590" customWidth="1"/>
    <col min="10500" max="10500" width="29.7109375" style="590" customWidth="1"/>
    <col min="10501" max="10501" width="7.7109375" style="590" customWidth="1"/>
    <col min="10502" max="10502" width="6" style="590" customWidth="1"/>
    <col min="10503" max="10503" width="11.5703125" style="590" customWidth="1"/>
    <col min="10504" max="10504" width="13.42578125" style="590" customWidth="1"/>
    <col min="10505" max="10505" width="13.85546875" style="590" customWidth="1"/>
    <col min="10506" max="10752" width="9.140625" style="590"/>
    <col min="10753" max="10753" width="13" style="590" customWidth="1"/>
    <col min="10754" max="10754" width="9.140625" style="590"/>
    <col min="10755" max="10755" width="13" style="590" customWidth="1"/>
    <col min="10756" max="10756" width="29.7109375" style="590" customWidth="1"/>
    <col min="10757" max="10757" width="7.7109375" style="590" customWidth="1"/>
    <col min="10758" max="10758" width="6" style="590" customWidth="1"/>
    <col min="10759" max="10759" width="11.5703125" style="590" customWidth="1"/>
    <col min="10760" max="10760" width="13.42578125" style="590" customWidth="1"/>
    <col min="10761" max="10761" width="13.85546875" style="590" customWidth="1"/>
    <col min="10762" max="11008" width="9.140625" style="590"/>
    <col min="11009" max="11009" width="13" style="590" customWidth="1"/>
    <col min="11010" max="11010" width="9.140625" style="590"/>
    <col min="11011" max="11011" width="13" style="590" customWidth="1"/>
    <col min="11012" max="11012" width="29.7109375" style="590" customWidth="1"/>
    <col min="11013" max="11013" width="7.7109375" style="590" customWidth="1"/>
    <col min="11014" max="11014" width="6" style="590" customWidth="1"/>
    <col min="11015" max="11015" width="11.5703125" style="590" customWidth="1"/>
    <col min="11016" max="11016" width="13.42578125" style="590" customWidth="1"/>
    <col min="11017" max="11017" width="13.85546875" style="590" customWidth="1"/>
    <col min="11018" max="11264" width="9.140625" style="590"/>
    <col min="11265" max="11265" width="13" style="590" customWidth="1"/>
    <col min="11266" max="11266" width="9.140625" style="590"/>
    <col min="11267" max="11267" width="13" style="590" customWidth="1"/>
    <col min="11268" max="11268" width="29.7109375" style="590" customWidth="1"/>
    <col min="11269" max="11269" width="7.7109375" style="590" customWidth="1"/>
    <col min="11270" max="11270" width="6" style="590" customWidth="1"/>
    <col min="11271" max="11271" width="11.5703125" style="590" customWidth="1"/>
    <col min="11272" max="11272" width="13.42578125" style="590" customWidth="1"/>
    <col min="11273" max="11273" width="13.85546875" style="590" customWidth="1"/>
    <col min="11274" max="11520" width="9.140625" style="590"/>
    <col min="11521" max="11521" width="13" style="590" customWidth="1"/>
    <col min="11522" max="11522" width="9.140625" style="590"/>
    <col min="11523" max="11523" width="13" style="590" customWidth="1"/>
    <col min="11524" max="11524" width="29.7109375" style="590" customWidth="1"/>
    <col min="11525" max="11525" width="7.7109375" style="590" customWidth="1"/>
    <col min="11526" max="11526" width="6" style="590" customWidth="1"/>
    <col min="11527" max="11527" width="11.5703125" style="590" customWidth="1"/>
    <col min="11528" max="11528" width="13.42578125" style="590" customWidth="1"/>
    <col min="11529" max="11529" width="13.85546875" style="590" customWidth="1"/>
    <col min="11530" max="11776" width="9.140625" style="590"/>
    <col min="11777" max="11777" width="13" style="590" customWidth="1"/>
    <col min="11778" max="11778" width="9.140625" style="590"/>
    <col min="11779" max="11779" width="13" style="590" customWidth="1"/>
    <col min="11780" max="11780" width="29.7109375" style="590" customWidth="1"/>
    <col min="11781" max="11781" width="7.7109375" style="590" customWidth="1"/>
    <col min="11782" max="11782" width="6" style="590" customWidth="1"/>
    <col min="11783" max="11783" width="11.5703125" style="590" customWidth="1"/>
    <col min="11784" max="11784" width="13.42578125" style="590" customWidth="1"/>
    <col min="11785" max="11785" width="13.85546875" style="590" customWidth="1"/>
    <col min="11786" max="12032" width="9.140625" style="590"/>
    <col min="12033" max="12033" width="13" style="590" customWidth="1"/>
    <col min="12034" max="12034" width="9.140625" style="590"/>
    <col min="12035" max="12035" width="13" style="590" customWidth="1"/>
    <col min="12036" max="12036" width="29.7109375" style="590" customWidth="1"/>
    <col min="12037" max="12037" width="7.7109375" style="590" customWidth="1"/>
    <col min="12038" max="12038" width="6" style="590" customWidth="1"/>
    <col min="12039" max="12039" width="11.5703125" style="590" customWidth="1"/>
    <col min="12040" max="12040" width="13.42578125" style="590" customWidth="1"/>
    <col min="12041" max="12041" width="13.85546875" style="590" customWidth="1"/>
    <col min="12042" max="12288" width="9.140625" style="590"/>
    <col min="12289" max="12289" width="13" style="590" customWidth="1"/>
    <col min="12290" max="12290" width="9.140625" style="590"/>
    <col min="12291" max="12291" width="13" style="590" customWidth="1"/>
    <col min="12292" max="12292" width="29.7109375" style="590" customWidth="1"/>
    <col min="12293" max="12293" width="7.7109375" style="590" customWidth="1"/>
    <col min="12294" max="12294" width="6" style="590" customWidth="1"/>
    <col min="12295" max="12295" width="11.5703125" style="590" customWidth="1"/>
    <col min="12296" max="12296" width="13.42578125" style="590" customWidth="1"/>
    <col min="12297" max="12297" width="13.85546875" style="590" customWidth="1"/>
    <col min="12298" max="12544" width="9.140625" style="590"/>
    <col min="12545" max="12545" width="13" style="590" customWidth="1"/>
    <col min="12546" max="12546" width="9.140625" style="590"/>
    <col min="12547" max="12547" width="13" style="590" customWidth="1"/>
    <col min="12548" max="12548" width="29.7109375" style="590" customWidth="1"/>
    <col min="12549" max="12549" width="7.7109375" style="590" customWidth="1"/>
    <col min="12550" max="12550" width="6" style="590" customWidth="1"/>
    <col min="12551" max="12551" width="11.5703125" style="590" customWidth="1"/>
    <col min="12552" max="12552" width="13.42578125" style="590" customWidth="1"/>
    <col min="12553" max="12553" width="13.85546875" style="590" customWidth="1"/>
    <col min="12554" max="12800" width="9.140625" style="590"/>
    <col min="12801" max="12801" width="13" style="590" customWidth="1"/>
    <col min="12802" max="12802" width="9.140625" style="590"/>
    <col min="12803" max="12803" width="13" style="590" customWidth="1"/>
    <col min="12804" max="12804" width="29.7109375" style="590" customWidth="1"/>
    <col min="12805" max="12805" width="7.7109375" style="590" customWidth="1"/>
    <col min="12806" max="12806" width="6" style="590" customWidth="1"/>
    <col min="12807" max="12807" width="11.5703125" style="590" customWidth="1"/>
    <col min="12808" max="12808" width="13.42578125" style="590" customWidth="1"/>
    <col min="12809" max="12809" width="13.85546875" style="590" customWidth="1"/>
    <col min="12810" max="13056" width="9.140625" style="590"/>
    <col min="13057" max="13057" width="13" style="590" customWidth="1"/>
    <col min="13058" max="13058" width="9.140625" style="590"/>
    <col min="13059" max="13059" width="13" style="590" customWidth="1"/>
    <col min="13060" max="13060" width="29.7109375" style="590" customWidth="1"/>
    <col min="13061" max="13061" width="7.7109375" style="590" customWidth="1"/>
    <col min="13062" max="13062" width="6" style="590" customWidth="1"/>
    <col min="13063" max="13063" width="11.5703125" style="590" customWidth="1"/>
    <col min="13064" max="13064" width="13.42578125" style="590" customWidth="1"/>
    <col min="13065" max="13065" width="13.85546875" style="590" customWidth="1"/>
    <col min="13066" max="13312" width="9.140625" style="590"/>
    <col min="13313" max="13313" width="13" style="590" customWidth="1"/>
    <col min="13314" max="13314" width="9.140625" style="590"/>
    <col min="13315" max="13315" width="13" style="590" customWidth="1"/>
    <col min="13316" max="13316" width="29.7109375" style="590" customWidth="1"/>
    <col min="13317" max="13317" width="7.7109375" style="590" customWidth="1"/>
    <col min="13318" max="13318" width="6" style="590" customWidth="1"/>
    <col min="13319" max="13319" width="11.5703125" style="590" customWidth="1"/>
    <col min="13320" max="13320" width="13.42578125" style="590" customWidth="1"/>
    <col min="13321" max="13321" width="13.85546875" style="590" customWidth="1"/>
    <col min="13322" max="13568" width="9.140625" style="590"/>
    <col min="13569" max="13569" width="13" style="590" customWidth="1"/>
    <col min="13570" max="13570" width="9.140625" style="590"/>
    <col min="13571" max="13571" width="13" style="590" customWidth="1"/>
    <col min="13572" max="13572" width="29.7109375" style="590" customWidth="1"/>
    <col min="13573" max="13573" width="7.7109375" style="590" customWidth="1"/>
    <col min="13574" max="13574" width="6" style="590" customWidth="1"/>
    <col min="13575" max="13575" width="11.5703125" style="590" customWidth="1"/>
    <col min="13576" max="13576" width="13.42578125" style="590" customWidth="1"/>
    <col min="13577" max="13577" width="13.85546875" style="590" customWidth="1"/>
    <col min="13578" max="13824" width="9.140625" style="590"/>
    <col min="13825" max="13825" width="13" style="590" customWidth="1"/>
    <col min="13826" max="13826" width="9.140625" style="590"/>
    <col min="13827" max="13827" width="13" style="590" customWidth="1"/>
    <col min="13828" max="13828" width="29.7109375" style="590" customWidth="1"/>
    <col min="13829" max="13829" width="7.7109375" style="590" customWidth="1"/>
    <col min="13830" max="13830" width="6" style="590" customWidth="1"/>
    <col min="13831" max="13831" width="11.5703125" style="590" customWidth="1"/>
    <col min="13832" max="13832" width="13.42578125" style="590" customWidth="1"/>
    <col min="13833" max="13833" width="13.85546875" style="590" customWidth="1"/>
    <col min="13834" max="14080" width="9.140625" style="590"/>
    <col min="14081" max="14081" width="13" style="590" customWidth="1"/>
    <col min="14082" max="14082" width="9.140625" style="590"/>
    <col min="14083" max="14083" width="13" style="590" customWidth="1"/>
    <col min="14084" max="14084" width="29.7109375" style="590" customWidth="1"/>
    <col min="14085" max="14085" width="7.7109375" style="590" customWidth="1"/>
    <col min="14086" max="14086" width="6" style="590" customWidth="1"/>
    <col min="14087" max="14087" width="11.5703125" style="590" customWidth="1"/>
    <col min="14088" max="14088" width="13.42578125" style="590" customWidth="1"/>
    <col min="14089" max="14089" width="13.85546875" style="590" customWidth="1"/>
    <col min="14090" max="14336" width="9.140625" style="590"/>
    <col min="14337" max="14337" width="13" style="590" customWidth="1"/>
    <col min="14338" max="14338" width="9.140625" style="590"/>
    <col min="14339" max="14339" width="13" style="590" customWidth="1"/>
    <col min="14340" max="14340" width="29.7109375" style="590" customWidth="1"/>
    <col min="14341" max="14341" width="7.7109375" style="590" customWidth="1"/>
    <col min="14342" max="14342" width="6" style="590" customWidth="1"/>
    <col min="14343" max="14343" width="11.5703125" style="590" customWidth="1"/>
    <col min="14344" max="14344" width="13.42578125" style="590" customWidth="1"/>
    <col min="14345" max="14345" width="13.85546875" style="590" customWidth="1"/>
    <col min="14346" max="14592" width="9.140625" style="590"/>
    <col min="14593" max="14593" width="13" style="590" customWidth="1"/>
    <col min="14594" max="14594" width="9.140625" style="590"/>
    <col min="14595" max="14595" width="13" style="590" customWidth="1"/>
    <col min="14596" max="14596" width="29.7109375" style="590" customWidth="1"/>
    <col min="14597" max="14597" width="7.7109375" style="590" customWidth="1"/>
    <col min="14598" max="14598" width="6" style="590" customWidth="1"/>
    <col min="14599" max="14599" width="11.5703125" style="590" customWidth="1"/>
    <col min="14600" max="14600" width="13.42578125" style="590" customWidth="1"/>
    <col min="14601" max="14601" width="13.85546875" style="590" customWidth="1"/>
    <col min="14602" max="14848" width="9.140625" style="590"/>
    <col min="14849" max="14849" width="13" style="590" customWidth="1"/>
    <col min="14850" max="14850" width="9.140625" style="590"/>
    <col min="14851" max="14851" width="13" style="590" customWidth="1"/>
    <col min="14852" max="14852" width="29.7109375" style="590" customWidth="1"/>
    <col min="14853" max="14853" width="7.7109375" style="590" customWidth="1"/>
    <col min="14854" max="14854" width="6" style="590" customWidth="1"/>
    <col min="14855" max="14855" width="11.5703125" style="590" customWidth="1"/>
    <col min="14856" max="14856" width="13.42578125" style="590" customWidth="1"/>
    <col min="14857" max="14857" width="13.85546875" style="590" customWidth="1"/>
    <col min="14858" max="15104" width="9.140625" style="590"/>
    <col min="15105" max="15105" width="13" style="590" customWidth="1"/>
    <col min="15106" max="15106" width="9.140625" style="590"/>
    <col min="15107" max="15107" width="13" style="590" customWidth="1"/>
    <col min="15108" max="15108" width="29.7109375" style="590" customWidth="1"/>
    <col min="15109" max="15109" width="7.7109375" style="590" customWidth="1"/>
    <col min="15110" max="15110" width="6" style="590" customWidth="1"/>
    <col min="15111" max="15111" width="11.5703125" style="590" customWidth="1"/>
    <col min="15112" max="15112" width="13.42578125" style="590" customWidth="1"/>
    <col min="15113" max="15113" width="13.85546875" style="590" customWidth="1"/>
    <col min="15114" max="15360" width="9.140625" style="590"/>
    <col min="15361" max="15361" width="13" style="590" customWidth="1"/>
    <col min="15362" max="15362" width="9.140625" style="590"/>
    <col min="15363" max="15363" width="13" style="590" customWidth="1"/>
    <col min="15364" max="15364" width="29.7109375" style="590" customWidth="1"/>
    <col min="15365" max="15365" width="7.7109375" style="590" customWidth="1"/>
    <col min="15366" max="15366" width="6" style="590" customWidth="1"/>
    <col min="15367" max="15367" width="11.5703125" style="590" customWidth="1"/>
    <col min="15368" max="15368" width="13.42578125" style="590" customWidth="1"/>
    <col min="15369" max="15369" width="13.85546875" style="590" customWidth="1"/>
    <col min="15370" max="15616" width="9.140625" style="590"/>
    <col min="15617" max="15617" width="13" style="590" customWidth="1"/>
    <col min="15618" max="15618" width="9.140625" style="590"/>
    <col min="15619" max="15619" width="13" style="590" customWidth="1"/>
    <col min="15620" max="15620" width="29.7109375" style="590" customWidth="1"/>
    <col min="15621" max="15621" width="7.7109375" style="590" customWidth="1"/>
    <col min="15622" max="15622" width="6" style="590" customWidth="1"/>
    <col min="15623" max="15623" width="11.5703125" style="590" customWidth="1"/>
    <col min="15624" max="15624" width="13.42578125" style="590" customWidth="1"/>
    <col min="15625" max="15625" width="13.85546875" style="590" customWidth="1"/>
    <col min="15626" max="15872" width="9.140625" style="590"/>
    <col min="15873" max="15873" width="13" style="590" customWidth="1"/>
    <col min="15874" max="15874" width="9.140625" style="590"/>
    <col min="15875" max="15875" width="13" style="590" customWidth="1"/>
    <col min="15876" max="15876" width="29.7109375" style="590" customWidth="1"/>
    <col min="15877" max="15877" width="7.7109375" style="590" customWidth="1"/>
    <col min="15878" max="15878" width="6" style="590" customWidth="1"/>
    <col min="15879" max="15879" width="11.5703125" style="590" customWidth="1"/>
    <col min="15880" max="15880" width="13.42578125" style="590" customWidth="1"/>
    <col min="15881" max="15881" width="13.85546875" style="590" customWidth="1"/>
    <col min="15882" max="16128" width="9.140625" style="590"/>
    <col min="16129" max="16129" width="13" style="590" customWidth="1"/>
    <col min="16130" max="16130" width="9.140625" style="590"/>
    <col min="16131" max="16131" width="13" style="590" customWidth="1"/>
    <col min="16132" max="16132" width="29.7109375" style="590" customWidth="1"/>
    <col min="16133" max="16133" width="7.7109375" style="590" customWidth="1"/>
    <col min="16134" max="16134" width="6" style="590" customWidth="1"/>
    <col min="16135" max="16135" width="11.5703125" style="590" customWidth="1"/>
    <col min="16136" max="16136" width="13.42578125" style="590" customWidth="1"/>
    <col min="16137" max="16137" width="13.85546875" style="590" customWidth="1"/>
    <col min="16138" max="16384" width="9.140625" style="590"/>
  </cols>
  <sheetData>
    <row r="1" spans="1:14">
      <c r="A1" s="589" t="str">
        <f>TH!A1</f>
        <v>Đơn vị: CÔNG TY TNHH SX TM KIM DUNG PHÁT</v>
      </c>
      <c r="F1" s="956" t="s">
        <v>335</v>
      </c>
      <c r="G1" s="956"/>
      <c r="H1" s="956"/>
      <c r="I1" s="956"/>
    </row>
    <row r="2" spans="1:14">
      <c r="A2" s="590" t="str">
        <f>TH!A2</f>
        <v>Địa chỉ: 1A227/1 Ấp 1, Phạm Văn Hai, Bình Chánh, TPHCM</v>
      </c>
      <c r="F2" s="95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5"/>
      <c r="H2" s="955"/>
      <c r="I2" s="955"/>
    </row>
    <row r="3" spans="1:14">
      <c r="F3" s="955"/>
      <c r="G3" s="955"/>
      <c r="H3" s="955"/>
      <c r="I3" s="955"/>
    </row>
    <row r="4" spans="1:14">
      <c r="H4" s="591"/>
      <c r="I4" s="591"/>
    </row>
    <row r="5" spans="1:14" ht="26.25" customHeight="1">
      <c r="B5" s="592"/>
      <c r="C5" s="592"/>
      <c r="D5" s="593" t="s">
        <v>336</v>
      </c>
      <c r="E5" s="592"/>
      <c r="F5" s="592"/>
      <c r="G5" s="592"/>
      <c r="H5" s="592"/>
      <c r="I5" s="592"/>
      <c r="J5" s="592"/>
      <c r="K5" s="592"/>
    </row>
    <row r="6" spans="1:14">
      <c r="B6" s="594"/>
      <c r="C6" s="594"/>
      <c r="D6" s="595" t="str">
        <f ca="1">$K$9&amp;"   -   Năm:  " &amp;YEAR(A11)</f>
        <v>Quý III   -   Năm:  2014</v>
      </c>
      <c r="E6" s="594"/>
      <c r="F6" s="594"/>
      <c r="G6" s="594"/>
      <c r="H6" s="594"/>
      <c r="I6" s="594"/>
      <c r="J6" s="594"/>
      <c r="K6" s="594"/>
    </row>
    <row r="7" spans="1:14">
      <c r="A7" s="596"/>
      <c r="B7" s="596"/>
      <c r="C7" s="596"/>
      <c r="D7" s="596"/>
      <c r="E7" s="596"/>
      <c r="F7" s="596"/>
      <c r="G7" s="596"/>
      <c r="H7" s="959" t="s">
        <v>123</v>
      </c>
      <c r="I7" s="959"/>
      <c r="J7" s="596"/>
      <c r="K7" s="596"/>
      <c r="M7" s="958" t="s">
        <v>325</v>
      </c>
      <c r="N7" s="958"/>
    </row>
    <row r="8" spans="1:14" s="797" customFormat="1" ht="23.25" customHeight="1" thickBot="1">
      <c r="A8" s="949" t="s">
        <v>337</v>
      </c>
      <c r="B8" s="951" t="s">
        <v>1</v>
      </c>
      <c r="C8" s="952"/>
      <c r="D8" s="953" t="s">
        <v>0</v>
      </c>
      <c r="E8" s="949" t="s">
        <v>338</v>
      </c>
      <c r="F8" s="957" t="s">
        <v>94</v>
      </c>
      <c r="G8" s="957"/>
      <c r="H8" s="951" t="s">
        <v>21</v>
      </c>
      <c r="I8" s="952"/>
      <c r="J8" s="796"/>
      <c r="K8" s="796"/>
      <c r="M8" s="798">
        <f>IF(K9="Quý I",1,IF(K9="Quý II",4,IF(K9="Quý III",7,IF(K9="Quý IV",10,""))))</f>
        <v>7</v>
      </c>
      <c r="N8" s="798">
        <f>IF(K9="Quý I",3,IF(K9="Quý II",6,IF(K9="Quý III",9,IF(K9="Quý IV",12,""))))</f>
        <v>9</v>
      </c>
    </row>
    <row r="9" spans="1:14" s="797" customFormat="1" ht="28.5" customHeight="1" thickBot="1">
      <c r="A9" s="950"/>
      <c r="B9" s="799" t="s">
        <v>15</v>
      </c>
      <c r="C9" s="799" t="s">
        <v>32</v>
      </c>
      <c r="D9" s="954"/>
      <c r="E9" s="950"/>
      <c r="F9" s="800" t="s">
        <v>22</v>
      </c>
      <c r="G9" s="800" t="s">
        <v>23</v>
      </c>
      <c r="H9" s="799" t="s">
        <v>339</v>
      </c>
      <c r="I9" s="799" t="s">
        <v>23</v>
      </c>
      <c r="K9" s="692" t="s">
        <v>410</v>
      </c>
    </row>
    <row r="10" spans="1:14" s="797" customFormat="1" ht="21" customHeight="1">
      <c r="A10" s="801"/>
      <c r="B10" s="801"/>
      <c r="C10" s="801"/>
      <c r="D10" s="802" t="s">
        <v>342</v>
      </c>
      <c r="E10" s="803"/>
      <c r="F10" s="801"/>
      <c r="G10" s="801"/>
      <c r="H10" s="804">
        <f>SUMIF(_M,"&lt;"&amp;$M$8,TH)</f>
        <v>4327465818</v>
      </c>
      <c r="I10" s="804">
        <f>SUMIF(_M,"&lt;"&amp;$M$8,TH)</f>
        <v>4327465818</v>
      </c>
    </row>
    <row r="11" spans="1:14" s="797" customFormat="1" ht="21" customHeight="1">
      <c r="A11" s="805">
        <f ca="1">IF(ROWS($1:1)&gt;COUNT(Dong6),"",OFFSET(TH!C$1,SMALL(Dong6,ROWS($1:1)),))</f>
        <v>41831</v>
      </c>
      <c r="B11" s="806" t="str">
        <f ca="1">IF(ROWS($1:1)&gt;COUNT(Dong6),"",OFFSET(TH!D$1,SMALL(Dong6,ROWS($1:1)),))</f>
        <v>TP/X01</v>
      </c>
      <c r="C11" s="805">
        <f ca="1">IF(ROWS($1:1)&gt;COUNT(Dong6),"",OFFSET(TH!E$1,SMALL(Dong6,ROWS($1:1)),))</f>
        <v>41831</v>
      </c>
      <c r="D11" s="807" t="str">
        <f ca="1">IF(ROWS($1:1)&gt;COUNT(Dong6),"",OFFSET(TH!F$1,SMALL(Dong6,ROWS($1:1)),))</f>
        <v>Thùng (59x38x17)</v>
      </c>
      <c r="E11" s="806">
        <f t="shared" ref="E11:E40" ca="1" si="0">IF(D11&lt;&gt;"",ROW()-10,"")</f>
        <v>1</v>
      </c>
      <c r="F11" s="808" t="str">
        <f ca="1">IF(ROWS($1:1)&gt;COUNT(Dong6),"",OFFSET(TH!L$1,SMALL(Dong6,ROWS($1:1)),))</f>
        <v>131</v>
      </c>
      <c r="G11" s="808" t="str">
        <f ca="1">IF(ROWS($1:1)&gt;COUNT(Dong6),"",OFFSET(TH!M$1,SMALL(Dong6,ROWS($1:1)),))</f>
        <v>5112</v>
      </c>
      <c r="H11" s="677">
        <f ca="1">IF(ROWS($1:1)&gt;COUNT(Dong6),"",OFFSET(TH!K$1,SMALL(Dong6,ROWS($1:1)),))</f>
        <v>4788000</v>
      </c>
      <c r="I11" s="677">
        <f ca="1">IF(ROWS($1:1)&gt;COUNT(Dong6),"",OFFSET(TH!K$1,SMALL(Dong6,ROWS($1:1)),))</f>
        <v>4788000</v>
      </c>
    </row>
    <row r="12" spans="1:14" s="797" customFormat="1" ht="21" customHeight="1">
      <c r="A12" s="805">
        <f ca="1">IF(ROWS($1:2)&gt;COUNT(Dong6),"",OFFSET(TH!C$1,SMALL(Dong6,ROWS($1:2)),))</f>
        <v>41831</v>
      </c>
      <c r="B12" s="806" t="str">
        <f ca="1">IF(ROWS($1:2)&gt;COUNT(Dong6),"",OFFSET(TH!D$1,SMALL(Dong6,ROWS($1:2)),))</f>
        <v>TP/X01</v>
      </c>
      <c r="C12" s="805">
        <f ca="1">IF(ROWS($1:2)&gt;COUNT(Dong6),"",OFFSET(TH!E$1,SMALL(Dong6,ROWS($1:2)),))</f>
        <v>41831</v>
      </c>
      <c r="D12" s="807" t="str">
        <f ca="1">IF(ROWS($1:2)&gt;COUNT(Dong6),"",OFFSET(TH!F$1,SMALL(Dong6,ROWS($1:2)),))</f>
        <v>Thùng (59x38x17)</v>
      </c>
      <c r="E12" s="806">
        <f t="shared" ca="1" si="0"/>
        <v>2</v>
      </c>
      <c r="F12" s="808" t="str">
        <f ca="1">IF(ROWS($1:2)&gt;COUNT(Dong6),"",OFFSET(TH!L$1,SMALL(Dong6,ROWS($1:2)),))</f>
        <v>131</v>
      </c>
      <c r="G12" s="808" t="str">
        <f ca="1">IF(ROWS($1:2)&gt;COUNT(Dong6),"",OFFSET(TH!M$1,SMALL(Dong6,ROWS($1:2)),))</f>
        <v>5112</v>
      </c>
      <c r="H12" s="677">
        <f ca="1">IF(ROWS($1:2)&gt;COUNT(Dong6),"",OFFSET(TH!K$1,SMALL(Dong6,ROWS($1:2)),))</f>
        <v>6768000</v>
      </c>
      <c r="I12" s="677">
        <f ca="1">IF(ROWS($1:2)&gt;COUNT(Dong6),"",OFFSET(TH!K$1,SMALL(Dong6,ROWS($1:2)),))</f>
        <v>6768000</v>
      </c>
    </row>
    <row r="13" spans="1:14" s="797" customFormat="1" ht="21" customHeight="1">
      <c r="A13" s="805">
        <f ca="1">IF(ROWS($1:3)&gt;COUNT(Dong6),"",OFFSET(TH!C$1,SMALL(Dong6,ROWS($1:3)),))</f>
        <v>41831</v>
      </c>
      <c r="B13" s="806" t="str">
        <f ca="1">IF(ROWS($1:3)&gt;COUNT(Dong6),"",OFFSET(TH!D$1,SMALL(Dong6,ROWS($1:3)),))</f>
        <v>TP/X01</v>
      </c>
      <c r="C13" s="805">
        <f ca="1">IF(ROWS($1:3)&gt;COUNT(Dong6),"",OFFSET(TH!E$1,SMALL(Dong6,ROWS($1:3)),))</f>
        <v>41831</v>
      </c>
      <c r="D13" s="807" t="str">
        <f ca="1">IF(ROWS($1:3)&gt;COUNT(Dong6),"",OFFSET(TH!F$1,SMALL(Dong6,ROWS($1:3)),))</f>
        <v>VAT Thùng carton</v>
      </c>
      <c r="E13" s="806">
        <f t="shared" ca="1" si="0"/>
        <v>3</v>
      </c>
      <c r="F13" s="808" t="str">
        <f ca="1">IF(ROWS($1:3)&gt;COUNT(Dong6),"",OFFSET(TH!L$1,SMALL(Dong6,ROWS($1:3)),))</f>
        <v>131</v>
      </c>
      <c r="G13" s="808" t="str">
        <f ca="1">IF(ROWS($1:3)&gt;COUNT(Dong6),"",OFFSET(TH!M$1,SMALL(Dong6,ROWS($1:3)),))</f>
        <v>3331</v>
      </c>
      <c r="H13" s="677">
        <f ca="1">IF(ROWS($1:3)&gt;COUNT(Dong6),"",OFFSET(TH!K$1,SMALL(Dong6,ROWS($1:3)),))</f>
        <v>1155600</v>
      </c>
      <c r="I13" s="677">
        <f ca="1">IF(ROWS($1:3)&gt;COUNT(Dong6),"",OFFSET(TH!K$1,SMALL(Dong6,ROWS($1:3)),))</f>
        <v>1155600</v>
      </c>
    </row>
    <row r="14" spans="1:14" s="797" customFormat="1" ht="21" customHeight="1">
      <c r="A14" s="805">
        <f ca="1">IF(ROWS($1:4)&gt;COUNT(Dong6),"",OFFSET(TH!C$1,SMALL(Dong6,ROWS($1:4)),))</f>
        <v>41832</v>
      </c>
      <c r="B14" s="806" t="str">
        <f ca="1">IF(ROWS($1:4)&gt;COUNT(Dong6),"",OFFSET(TH!D$1,SMALL(Dong6,ROWS($1:4)),))</f>
        <v>TP/X02</v>
      </c>
      <c r="C14" s="805">
        <f ca="1">IF(ROWS($1:4)&gt;COUNT(Dong6),"",OFFSET(TH!E$1,SMALL(Dong6,ROWS($1:4)),))</f>
        <v>41832</v>
      </c>
      <c r="D14" s="807" t="str">
        <f ca="1">IF(ROWS($1:4)&gt;COUNT(Dong6),"",OFFSET(TH!F$1,SMALL(Dong6,ROWS($1:4)),))</f>
        <v>Thùng (47x34x25)</v>
      </c>
      <c r="E14" s="806">
        <f t="shared" ca="1" si="0"/>
        <v>4</v>
      </c>
      <c r="F14" s="808" t="str">
        <f ca="1">IF(ROWS($1:4)&gt;COUNT(Dong6),"",OFFSET(TH!L$1,SMALL(Dong6,ROWS($1:4)),))</f>
        <v>131</v>
      </c>
      <c r="G14" s="808" t="str">
        <f ca="1">IF(ROWS($1:4)&gt;COUNT(Dong6),"",OFFSET(TH!M$1,SMALL(Dong6,ROWS($1:4)),))</f>
        <v>5112</v>
      </c>
      <c r="H14" s="677">
        <f ca="1">IF(ROWS($1:4)&gt;COUNT(Dong6),"",OFFSET(TH!K$1,SMALL(Dong6,ROWS($1:4)),))</f>
        <v>4126500</v>
      </c>
      <c r="I14" s="677">
        <f ca="1">IF(ROWS($1:4)&gt;COUNT(Dong6),"",OFFSET(TH!K$1,SMALL(Dong6,ROWS($1:4)),))</f>
        <v>4126500</v>
      </c>
    </row>
    <row r="15" spans="1:14" s="797" customFormat="1" ht="21" customHeight="1">
      <c r="A15" s="805">
        <f ca="1">IF(ROWS($1:5)&gt;COUNT(Dong6),"",OFFSET(TH!C$1,SMALL(Dong6,ROWS($1:5)),))</f>
        <v>41832</v>
      </c>
      <c r="B15" s="806" t="str">
        <f ca="1">IF(ROWS($1:5)&gt;COUNT(Dong6),"",OFFSET(TH!D$1,SMALL(Dong6,ROWS($1:5)),))</f>
        <v>TP/X02</v>
      </c>
      <c r="C15" s="805">
        <f ca="1">IF(ROWS($1:5)&gt;COUNT(Dong6),"",OFFSET(TH!E$1,SMALL(Dong6,ROWS($1:5)),))</f>
        <v>41832</v>
      </c>
      <c r="D15" s="807" t="str">
        <f ca="1">IF(ROWS($1:5)&gt;COUNT(Dong6),"",OFFSET(TH!F$1,SMALL(Dong6,ROWS($1:5)),))</f>
        <v>Thùng (51x38x25)</v>
      </c>
      <c r="E15" s="806">
        <f t="shared" ca="1" si="0"/>
        <v>5</v>
      </c>
      <c r="F15" s="808" t="str">
        <f ca="1">IF(ROWS($1:5)&gt;COUNT(Dong6),"",OFFSET(TH!L$1,SMALL(Dong6,ROWS($1:5)),))</f>
        <v>131</v>
      </c>
      <c r="G15" s="808" t="str">
        <f ca="1">IF(ROWS($1:5)&gt;COUNT(Dong6),"",OFFSET(TH!M$1,SMALL(Dong6,ROWS($1:5)),))</f>
        <v>5112</v>
      </c>
      <c r="H15" s="677">
        <f ca="1">IF(ROWS($1:5)&gt;COUNT(Dong6),"",OFFSET(TH!K$1,SMALL(Dong6,ROWS($1:5)),))</f>
        <v>6144000</v>
      </c>
      <c r="I15" s="677">
        <f ca="1">IF(ROWS($1:5)&gt;COUNT(Dong6),"",OFFSET(TH!K$1,SMALL(Dong6,ROWS($1:5)),))</f>
        <v>6144000</v>
      </c>
    </row>
    <row r="16" spans="1:14" s="797" customFormat="1" ht="21" customHeight="1">
      <c r="A16" s="805">
        <f ca="1">IF(ROWS($1:6)&gt;COUNT(Dong6),"",OFFSET(TH!C$1,SMALL(Dong6,ROWS($1:6)),))</f>
        <v>41832</v>
      </c>
      <c r="B16" s="806" t="str">
        <f ca="1">IF(ROWS($1:6)&gt;COUNT(Dong6),"",OFFSET(TH!D$1,SMALL(Dong6,ROWS($1:6)),))</f>
        <v>TP/X02</v>
      </c>
      <c r="C16" s="805">
        <f ca="1">IF(ROWS($1:6)&gt;COUNT(Dong6),"",OFFSET(TH!E$1,SMALL(Dong6,ROWS($1:6)),))</f>
        <v>41832</v>
      </c>
      <c r="D16" s="807" t="str">
        <f ca="1">IF(ROWS($1:6)&gt;COUNT(Dong6),"",OFFSET(TH!F$1,SMALL(Dong6,ROWS($1:6)),))</f>
        <v>Thùng (45x42x22)</v>
      </c>
      <c r="E16" s="806">
        <f t="shared" ca="1" si="0"/>
        <v>6</v>
      </c>
      <c r="F16" s="808" t="str">
        <f ca="1">IF(ROWS($1:6)&gt;COUNT(Dong6),"",OFFSET(TH!L$1,SMALL(Dong6,ROWS($1:6)),))</f>
        <v>131</v>
      </c>
      <c r="G16" s="808" t="str">
        <f ca="1">IF(ROWS($1:6)&gt;COUNT(Dong6),"",OFFSET(TH!M$1,SMALL(Dong6,ROWS($1:6)),))</f>
        <v>5112</v>
      </c>
      <c r="H16" s="677">
        <f ca="1">IF(ROWS($1:6)&gt;COUNT(Dong6),"",OFFSET(TH!K$1,SMALL(Dong6,ROWS($1:6)),))</f>
        <v>2781300</v>
      </c>
      <c r="I16" s="677">
        <f ca="1">IF(ROWS($1:6)&gt;COUNT(Dong6),"",OFFSET(TH!K$1,SMALL(Dong6,ROWS($1:6)),))</f>
        <v>2781300</v>
      </c>
    </row>
    <row r="17" spans="1:9" s="797" customFormat="1" ht="21" customHeight="1">
      <c r="A17" s="805">
        <f ca="1">IF(ROWS($1:7)&gt;COUNT(Dong6),"",OFFSET(TH!C$1,SMALL(Dong6,ROWS($1:7)),))</f>
        <v>41832</v>
      </c>
      <c r="B17" s="806" t="str">
        <f ca="1">IF(ROWS($1:7)&gt;COUNT(Dong6),"",OFFSET(TH!D$1,SMALL(Dong6,ROWS($1:7)),))</f>
        <v>TP/X02</v>
      </c>
      <c r="C17" s="805">
        <f ca="1">IF(ROWS($1:7)&gt;COUNT(Dong6),"",OFFSET(TH!E$1,SMALL(Dong6,ROWS($1:7)),))</f>
        <v>41832</v>
      </c>
      <c r="D17" s="807" t="str">
        <f ca="1">IF(ROWS($1:7)&gt;COUNT(Dong6),"",OFFSET(TH!F$1,SMALL(Dong6,ROWS($1:7)),))</f>
        <v>VAT Thùng carton</v>
      </c>
      <c r="E17" s="806">
        <f t="shared" ca="1" si="0"/>
        <v>7</v>
      </c>
      <c r="F17" s="808" t="str">
        <f ca="1">IF(ROWS($1:7)&gt;COUNT(Dong6),"",OFFSET(TH!L$1,SMALL(Dong6,ROWS($1:7)),))</f>
        <v>131</v>
      </c>
      <c r="G17" s="808" t="str">
        <f ca="1">IF(ROWS($1:7)&gt;COUNT(Dong6),"",OFFSET(TH!M$1,SMALL(Dong6,ROWS($1:7)),))</f>
        <v>3331</v>
      </c>
      <c r="H17" s="677">
        <f ca="1">IF(ROWS($1:7)&gt;COUNT(Dong6),"",OFFSET(TH!K$1,SMALL(Dong6,ROWS($1:7)),))</f>
        <v>1305180</v>
      </c>
      <c r="I17" s="677">
        <f ca="1">IF(ROWS($1:7)&gt;COUNT(Dong6),"",OFFSET(TH!K$1,SMALL(Dong6,ROWS($1:7)),))</f>
        <v>1305180</v>
      </c>
    </row>
    <row r="18" spans="1:9" s="797" customFormat="1" ht="21" customHeight="1">
      <c r="A18" s="805">
        <f ca="1">IF(ROWS($1:8)&gt;COUNT(Dong6),"",OFFSET(TH!C$1,SMALL(Dong6,ROWS($1:8)),))</f>
        <v>41834</v>
      </c>
      <c r="B18" s="806" t="str">
        <f ca="1">IF(ROWS($1:8)&gt;COUNT(Dong6),"",OFFSET(TH!D$1,SMALL(Dong6,ROWS($1:8)),))</f>
        <v>TP/X03</v>
      </c>
      <c r="C18" s="805">
        <f ca="1">IF(ROWS($1:8)&gt;COUNT(Dong6),"",OFFSET(TH!E$1,SMALL(Dong6,ROWS($1:8)),))</f>
        <v>41834</v>
      </c>
      <c r="D18" s="807" t="str">
        <f ca="1">IF(ROWS($1:8)&gt;COUNT(Dong6),"",OFFSET(TH!F$1,SMALL(Dong6,ROWS($1:8)),))</f>
        <v>Thùng (34x34x40)</v>
      </c>
      <c r="E18" s="806">
        <f t="shared" ca="1" si="0"/>
        <v>8</v>
      </c>
      <c r="F18" s="808" t="str">
        <f ca="1">IF(ROWS($1:8)&gt;COUNT(Dong6),"",OFFSET(TH!L$1,SMALL(Dong6,ROWS($1:8)),))</f>
        <v>131</v>
      </c>
      <c r="G18" s="808" t="str">
        <f ca="1">IF(ROWS($1:8)&gt;COUNT(Dong6),"",OFFSET(TH!M$1,SMALL(Dong6,ROWS($1:8)),))</f>
        <v>5112</v>
      </c>
      <c r="H18" s="677">
        <f ca="1">IF(ROWS($1:8)&gt;COUNT(Dong6),"",OFFSET(TH!K$1,SMALL(Dong6,ROWS($1:8)),))</f>
        <v>3485700</v>
      </c>
      <c r="I18" s="677">
        <f ca="1">IF(ROWS($1:8)&gt;COUNT(Dong6),"",OFFSET(TH!K$1,SMALL(Dong6,ROWS($1:8)),))</f>
        <v>3485700</v>
      </c>
    </row>
    <row r="19" spans="1:9" s="797" customFormat="1" ht="21" customHeight="1">
      <c r="A19" s="805">
        <f ca="1">IF(ROWS($1:9)&gt;COUNT(Dong6),"",OFFSET(TH!C$1,SMALL(Dong6,ROWS($1:9)),))</f>
        <v>41834</v>
      </c>
      <c r="B19" s="806" t="str">
        <f ca="1">IF(ROWS($1:9)&gt;COUNT(Dong6),"",OFFSET(TH!D$1,SMALL(Dong6,ROWS($1:9)),))</f>
        <v>TP/X03</v>
      </c>
      <c r="C19" s="805">
        <f ca="1">IF(ROWS($1:9)&gt;COUNT(Dong6),"",OFFSET(TH!E$1,SMALL(Dong6,ROWS($1:9)),))</f>
        <v>41834</v>
      </c>
      <c r="D19" s="807" t="str">
        <f ca="1">IF(ROWS($1:9)&gt;COUNT(Dong6),"",OFFSET(TH!F$1,SMALL(Dong6,ROWS($1:9)),))</f>
        <v>Thùng (34x34x43)</v>
      </c>
      <c r="E19" s="806">
        <f t="shared" ca="1" si="0"/>
        <v>9</v>
      </c>
      <c r="F19" s="808" t="str">
        <f ca="1">IF(ROWS($1:9)&gt;COUNT(Dong6),"",OFFSET(TH!L$1,SMALL(Dong6,ROWS($1:9)),))</f>
        <v>131</v>
      </c>
      <c r="G19" s="808" t="str">
        <f ca="1">IF(ROWS($1:9)&gt;COUNT(Dong6),"",OFFSET(TH!M$1,SMALL(Dong6,ROWS($1:9)),))</f>
        <v>5112</v>
      </c>
      <c r="H19" s="677">
        <f ca="1">IF(ROWS($1:9)&gt;COUNT(Dong6),"",OFFSET(TH!K$1,SMALL(Dong6,ROWS($1:9)),))</f>
        <v>8676000</v>
      </c>
      <c r="I19" s="677">
        <f ca="1">IF(ROWS($1:9)&gt;COUNT(Dong6),"",OFFSET(TH!K$1,SMALL(Dong6,ROWS($1:9)),))</f>
        <v>8676000</v>
      </c>
    </row>
    <row r="20" spans="1:9" s="797" customFormat="1" ht="21" customHeight="1">
      <c r="A20" s="805">
        <f ca="1">IF(ROWS($1:10)&gt;COUNT(Dong6),"",OFFSET(TH!C$1,SMALL(Dong6,ROWS($1:10)),))</f>
        <v>41834</v>
      </c>
      <c r="B20" s="806" t="str">
        <f ca="1">IF(ROWS($1:10)&gt;COUNT(Dong6),"",OFFSET(TH!D$1,SMALL(Dong6,ROWS($1:10)),))</f>
        <v>TP/X03</v>
      </c>
      <c r="C20" s="805">
        <f ca="1">IF(ROWS($1:10)&gt;COUNT(Dong6),"",OFFSET(TH!E$1,SMALL(Dong6,ROWS($1:10)),))</f>
        <v>41834</v>
      </c>
      <c r="D20" s="807" t="str">
        <f ca="1">IF(ROWS($1:10)&gt;COUNT(Dong6),"",OFFSET(TH!F$1,SMALL(Dong6,ROWS($1:10)),))</f>
        <v>VAT Thùng carton</v>
      </c>
      <c r="E20" s="806">
        <f t="shared" ca="1" si="0"/>
        <v>10</v>
      </c>
      <c r="F20" s="808" t="str">
        <f ca="1">IF(ROWS($1:10)&gt;COUNT(Dong6),"",OFFSET(TH!L$1,SMALL(Dong6,ROWS($1:10)),))</f>
        <v>131</v>
      </c>
      <c r="G20" s="808" t="str">
        <f ca="1">IF(ROWS($1:10)&gt;COUNT(Dong6),"",OFFSET(TH!M$1,SMALL(Dong6,ROWS($1:10)),))</f>
        <v>3331</v>
      </c>
      <c r="H20" s="677">
        <f ca="1">IF(ROWS($1:10)&gt;COUNT(Dong6),"",OFFSET(TH!K$1,SMALL(Dong6,ROWS($1:10)),))</f>
        <v>1216170</v>
      </c>
      <c r="I20" s="677">
        <f ca="1">IF(ROWS($1:10)&gt;COUNT(Dong6),"",OFFSET(TH!K$1,SMALL(Dong6,ROWS($1:10)),))</f>
        <v>1216170</v>
      </c>
    </row>
    <row r="21" spans="1:9" s="797" customFormat="1" ht="21" customHeight="1">
      <c r="A21" s="805">
        <f ca="1">IF(ROWS($1:11)&gt;COUNT(Dong6),"",OFFSET(TH!C$1,SMALL(Dong6,ROWS($1:11)),))</f>
        <v>41834</v>
      </c>
      <c r="B21" s="806" t="str">
        <f ca="1">IF(ROWS($1:11)&gt;COUNT(Dong6),"",OFFSET(TH!D$1,SMALL(Dong6,ROWS($1:11)),))</f>
        <v>TP/X04</v>
      </c>
      <c r="C21" s="805">
        <f ca="1">IF(ROWS($1:11)&gt;COUNT(Dong6),"",OFFSET(TH!E$1,SMALL(Dong6,ROWS($1:11)),))</f>
        <v>41834</v>
      </c>
      <c r="D21" s="807" t="str">
        <f ca="1">IF(ROWS($1:11)&gt;COUNT(Dong6),"",OFFSET(TH!F$1,SMALL(Dong6,ROWS($1:11)),))</f>
        <v>Thùng (49x38x12)</v>
      </c>
      <c r="E21" s="806">
        <f t="shared" ca="1" si="0"/>
        <v>11</v>
      </c>
      <c r="F21" s="808" t="str">
        <f ca="1">IF(ROWS($1:11)&gt;COUNT(Dong6),"",OFFSET(TH!L$1,SMALL(Dong6,ROWS($1:11)),))</f>
        <v>131</v>
      </c>
      <c r="G21" s="808" t="str">
        <f ca="1">IF(ROWS($1:11)&gt;COUNT(Dong6),"",OFFSET(TH!M$1,SMALL(Dong6,ROWS($1:11)),))</f>
        <v>5112</v>
      </c>
      <c r="H21" s="677">
        <f ca="1">IF(ROWS($1:11)&gt;COUNT(Dong6),"",OFFSET(TH!K$1,SMALL(Dong6,ROWS($1:11)),))</f>
        <v>5481000</v>
      </c>
      <c r="I21" s="677">
        <f ca="1">IF(ROWS($1:11)&gt;COUNT(Dong6),"",OFFSET(TH!K$1,SMALL(Dong6,ROWS($1:11)),))</f>
        <v>5481000</v>
      </c>
    </row>
    <row r="22" spans="1:9" s="797" customFormat="1" ht="21" customHeight="1">
      <c r="A22" s="805">
        <f ca="1">IF(ROWS($1:12)&gt;COUNT(Dong6),"",OFFSET(TH!C$1,SMALL(Dong6,ROWS($1:12)),))</f>
        <v>41834</v>
      </c>
      <c r="B22" s="806" t="str">
        <f ca="1">IF(ROWS($1:12)&gt;COUNT(Dong6),"",OFFSET(TH!D$1,SMALL(Dong6,ROWS($1:12)),))</f>
        <v>TP/X04</v>
      </c>
      <c r="C22" s="805">
        <f ca="1">IF(ROWS($1:12)&gt;COUNT(Dong6),"",OFFSET(TH!E$1,SMALL(Dong6,ROWS($1:12)),))</f>
        <v>41834</v>
      </c>
      <c r="D22" s="807" t="str">
        <f ca="1">IF(ROWS($1:12)&gt;COUNT(Dong6),"",OFFSET(TH!F$1,SMALL(Dong6,ROWS($1:12)),))</f>
        <v>Thùng (45x42x22)</v>
      </c>
      <c r="E22" s="806">
        <f t="shared" ca="1" si="0"/>
        <v>12</v>
      </c>
      <c r="F22" s="808" t="str">
        <f ca="1">IF(ROWS($1:12)&gt;COUNT(Dong6),"",OFFSET(TH!L$1,SMALL(Dong6,ROWS($1:12)),))</f>
        <v>131</v>
      </c>
      <c r="G22" s="808" t="str">
        <f ca="1">IF(ROWS($1:12)&gt;COUNT(Dong6),"",OFFSET(TH!M$1,SMALL(Dong6,ROWS($1:12)),))</f>
        <v>5112</v>
      </c>
      <c r="H22" s="677">
        <f ca="1">IF(ROWS($1:12)&gt;COUNT(Dong6),"",OFFSET(TH!K$1,SMALL(Dong6,ROWS($1:12)),))</f>
        <v>4987500</v>
      </c>
      <c r="I22" s="677">
        <f ca="1">IF(ROWS($1:12)&gt;COUNT(Dong6),"",OFFSET(TH!K$1,SMALL(Dong6,ROWS($1:12)),))</f>
        <v>4987500</v>
      </c>
    </row>
    <row r="23" spans="1:9" s="797" customFormat="1" ht="21" customHeight="1">
      <c r="A23" s="805">
        <f ca="1">IF(ROWS($1:13)&gt;COUNT(Dong6),"",OFFSET(TH!C$1,SMALL(Dong6,ROWS($1:13)),))</f>
        <v>41834</v>
      </c>
      <c r="B23" s="806" t="str">
        <f ca="1">IF(ROWS($1:13)&gt;COUNT(Dong6),"",OFFSET(TH!D$1,SMALL(Dong6,ROWS($1:13)),))</f>
        <v>TP/X04</v>
      </c>
      <c r="C23" s="805">
        <f ca="1">IF(ROWS($1:13)&gt;COUNT(Dong6),"",OFFSET(TH!E$1,SMALL(Dong6,ROWS($1:13)),))</f>
        <v>41834</v>
      </c>
      <c r="D23" s="807" t="str">
        <f ca="1">IF(ROWS($1:13)&gt;COUNT(Dong6),"",OFFSET(TH!F$1,SMALL(Dong6,ROWS($1:13)),))</f>
        <v>VAT Thùng carton</v>
      </c>
      <c r="E23" s="806">
        <f t="shared" ca="1" si="0"/>
        <v>13</v>
      </c>
      <c r="F23" s="808" t="str">
        <f ca="1">IF(ROWS($1:13)&gt;COUNT(Dong6),"",OFFSET(TH!L$1,SMALL(Dong6,ROWS($1:13)),))</f>
        <v>131</v>
      </c>
      <c r="G23" s="808" t="str">
        <f ca="1">IF(ROWS($1:13)&gt;COUNT(Dong6),"",OFFSET(TH!M$1,SMALL(Dong6,ROWS($1:13)),))</f>
        <v>3331</v>
      </c>
      <c r="H23" s="677">
        <f ca="1">IF(ROWS($1:13)&gt;COUNT(Dong6),"",OFFSET(TH!K$1,SMALL(Dong6,ROWS($1:13)),))</f>
        <v>1046850</v>
      </c>
      <c r="I23" s="677">
        <f ca="1">IF(ROWS($1:13)&gt;COUNT(Dong6),"",OFFSET(TH!K$1,SMALL(Dong6,ROWS($1:13)),))</f>
        <v>1046850</v>
      </c>
    </row>
    <row r="24" spans="1:9" s="797" customFormat="1" ht="21" customHeight="1">
      <c r="A24" s="805">
        <f ca="1">IF(ROWS($1:14)&gt;COUNT(Dong6),"",OFFSET(TH!C$1,SMALL(Dong6,ROWS($1:14)),))</f>
        <v>41834</v>
      </c>
      <c r="B24" s="806" t="str">
        <f ca="1">IF(ROWS($1:14)&gt;COUNT(Dong6),"",OFFSET(TH!D$1,SMALL(Dong6,ROWS($1:14)),))</f>
        <v>TP/X06</v>
      </c>
      <c r="C24" s="805">
        <f ca="1">IF(ROWS($1:14)&gt;COUNT(Dong6),"",OFFSET(TH!E$1,SMALL(Dong6,ROWS($1:14)),))</f>
        <v>41834</v>
      </c>
      <c r="D24" s="807" t="str">
        <f ca="1">IF(ROWS($1:14)&gt;COUNT(Dong6),"",OFFSET(TH!F$1,SMALL(Dong6,ROWS($1:14)),))</f>
        <v>Thùng (39,5x32,3x27,7)</v>
      </c>
      <c r="E24" s="806">
        <f t="shared" ca="1" si="0"/>
        <v>14</v>
      </c>
      <c r="F24" s="808" t="str">
        <f ca="1">IF(ROWS($1:14)&gt;COUNT(Dong6),"",OFFSET(TH!L$1,SMALL(Dong6,ROWS($1:14)),))</f>
        <v>131</v>
      </c>
      <c r="G24" s="808" t="str">
        <f ca="1">IF(ROWS($1:14)&gt;COUNT(Dong6),"",OFFSET(TH!M$1,SMALL(Dong6,ROWS($1:14)),))</f>
        <v>5112</v>
      </c>
      <c r="H24" s="677">
        <f ca="1">IF(ROWS($1:14)&gt;COUNT(Dong6),"",OFFSET(TH!K$1,SMALL(Dong6,ROWS($1:14)),))</f>
        <v>2011600</v>
      </c>
      <c r="I24" s="677">
        <f ca="1">IF(ROWS($1:14)&gt;COUNT(Dong6),"",OFFSET(TH!K$1,SMALL(Dong6,ROWS($1:14)),))</f>
        <v>2011600</v>
      </c>
    </row>
    <row r="25" spans="1:9" s="797" customFormat="1" ht="21" customHeight="1">
      <c r="A25" s="805">
        <f ca="1">IF(ROWS($1:15)&gt;COUNT(Dong6),"",OFFSET(TH!C$1,SMALL(Dong6,ROWS($1:15)),))</f>
        <v>41834</v>
      </c>
      <c r="B25" s="806" t="str">
        <f ca="1">IF(ROWS($1:15)&gt;COUNT(Dong6),"",OFFSET(TH!D$1,SMALL(Dong6,ROWS($1:15)),))</f>
        <v>TP/X06</v>
      </c>
      <c r="C25" s="805">
        <f ca="1">IF(ROWS($1:15)&gt;COUNT(Dong6),"",OFFSET(TH!E$1,SMALL(Dong6,ROWS($1:15)),))</f>
        <v>41834</v>
      </c>
      <c r="D25" s="807" t="str">
        <f ca="1">IF(ROWS($1:15)&gt;COUNT(Dong6),"",OFFSET(TH!F$1,SMALL(Dong6,ROWS($1:15)),))</f>
        <v>Thùng (41x31x25,5)</v>
      </c>
      <c r="E25" s="806">
        <f t="shared" ca="1" si="0"/>
        <v>15</v>
      </c>
      <c r="F25" s="808" t="str">
        <f ca="1">IF(ROWS($1:15)&gt;COUNT(Dong6),"",OFFSET(TH!L$1,SMALL(Dong6,ROWS($1:15)),))</f>
        <v>131</v>
      </c>
      <c r="G25" s="808" t="str">
        <f ca="1">IF(ROWS($1:15)&gt;COUNT(Dong6),"",OFFSET(TH!M$1,SMALL(Dong6,ROWS($1:15)),))</f>
        <v>5112</v>
      </c>
      <c r="H25" s="677">
        <f ca="1">IF(ROWS($1:15)&gt;COUNT(Dong6),"",OFFSET(TH!K$1,SMALL(Dong6,ROWS($1:15)),))</f>
        <v>1236900</v>
      </c>
      <c r="I25" s="677">
        <f ca="1">IF(ROWS($1:15)&gt;COUNT(Dong6),"",OFFSET(TH!K$1,SMALL(Dong6,ROWS($1:15)),))</f>
        <v>1236900</v>
      </c>
    </row>
    <row r="26" spans="1:9" s="797" customFormat="1" ht="21" customHeight="1">
      <c r="A26" s="805">
        <f ca="1">IF(ROWS($1:16)&gt;COUNT(Dong6),"",OFFSET(TH!C$1,SMALL(Dong6,ROWS($1:16)),))</f>
        <v>41834</v>
      </c>
      <c r="B26" s="806" t="str">
        <f ca="1">IF(ROWS($1:16)&gt;COUNT(Dong6),"",OFFSET(TH!D$1,SMALL(Dong6,ROWS($1:16)),))</f>
        <v>TP/X06</v>
      </c>
      <c r="C26" s="805">
        <f ca="1">IF(ROWS($1:16)&gt;COUNT(Dong6),"",OFFSET(TH!E$1,SMALL(Dong6,ROWS($1:16)),))</f>
        <v>41834</v>
      </c>
      <c r="D26" s="807" t="str">
        <f ca="1">IF(ROWS($1:16)&gt;COUNT(Dong6),"",OFFSET(TH!F$1,SMALL(Dong6,ROWS($1:16)),))</f>
        <v>VAT Thùng carton</v>
      </c>
      <c r="E26" s="806">
        <f t="shared" ca="1" si="0"/>
        <v>16</v>
      </c>
      <c r="F26" s="808" t="str">
        <f ca="1">IF(ROWS($1:16)&gt;COUNT(Dong6),"",OFFSET(TH!L$1,SMALL(Dong6,ROWS($1:16)),))</f>
        <v>131</v>
      </c>
      <c r="G26" s="808" t="str">
        <f ca="1">IF(ROWS($1:16)&gt;COUNT(Dong6),"",OFFSET(TH!M$1,SMALL(Dong6,ROWS($1:16)),))</f>
        <v>3331</v>
      </c>
      <c r="H26" s="677">
        <f ca="1">IF(ROWS($1:16)&gt;COUNT(Dong6),"",OFFSET(TH!K$1,SMALL(Dong6,ROWS($1:16)),))</f>
        <v>324850</v>
      </c>
      <c r="I26" s="677">
        <f ca="1">IF(ROWS($1:16)&gt;COUNT(Dong6),"",OFFSET(TH!K$1,SMALL(Dong6,ROWS($1:16)),))</f>
        <v>324850</v>
      </c>
    </row>
    <row r="27" spans="1:9" s="797" customFormat="1" ht="21" customHeight="1">
      <c r="A27" s="805">
        <f ca="1">IF(ROWS($1:17)&gt;COUNT(Dong6),"",OFFSET(TH!C$1,SMALL(Dong6,ROWS($1:17)),))</f>
        <v>41837</v>
      </c>
      <c r="B27" s="806" t="str">
        <f ca="1">IF(ROWS($1:17)&gt;COUNT(Dong6),"",OFFSET(TH!D$1,SMALL(Dong6,ROWS($1:17)),))</f>
        <v>TP/X07</v>
      </c>
      <c r="C27" s="805">
        <f ca="1">IF(ROWS($1:17)&gt;COUNT(Dong6),"",OFFSET(TH!E$1,SMALL(Dong6,ROWS($1:17)),))</f>
        <v>41837</v>
      </c>
      <c r="D27" s="807" t="str">
        <f ca="1">IF(ROWS($1:17)&gt;COUNT(Dong6),"",OFFSET(TH!F$1,SMALL(Dong6,ROWS($1:17)),))</f>
        <v>Thùng (46,5x41,5x25)</v>
      </c>
      <c r="E27" s="806">
        <f t="shared" ca="1" si="0"/>
        <v>17</v>
      </c>
      <c r="F27" s="808" t="str">
        <f ca="1">IF(ROWS($1:17)&gt;COUNT(Dong6),"",OFFSET(TH!L$1,SMALL(Dong6,ROWS($1:17)),))</f>
        <v>131</v>
      </c>
      <c r="G27" s="808" t="str">
        <f ca="1">IF(ROWS($1:17)&gt;COUNT(Dong6),"",OFFSET(TH!M$1,SMALL(Dong6,ROWS($1:17)),))</f>
        <v>5112</v>
      </c>
      <c r="H27" s="677">
        <f ca="1">IF(ROWS($1:17)&gt;COUNT(Dong6),"",OFFSET(TH!K$1,SMALL(Dong6,ROWS($1:17)),))</f>
        <v>1166100</v>
      </c>
      <c r="I27" s="677">
        <f ca="1">IF(ROWS($1:17)&gt;COUNT(Dong6),"",OFFSET(TH!K$1,SMALL(Dong6,ROWS($1:17)),))</f>
        <v>1166100</v>
      </c>
    </row>
    <row r="28" spans="1:9" s="797" customFormat="1" ht="21" customHeight="1">
      <c r="A28" s="805">
        <f ca="1">IF(ROWS($1:18)&gt;COUNT(Dong6),"",OFFSET(TH!C$1,SMALL(Dong6,ROWS($1:18)),))</f>
        <v>41837</v>
      </c>
      <c r="B28" s="806" t="str">
        <f ca="1">IF(ROWS($1:18)&gt;COUNT(Dong6),"",OFFSET(TH!D$1,SMALL(Dong6,ROWS($1:18)),))</f>
        <v>TP/X07</v>
      </c>
      <c r="C28" s="805">
        <f ca="1">IF(ROWS($1:18)&gt;COUNT(Dong6),"",OFFSET(TH!E$1,SMALL(Dong6,ROWS($1:18)),))</f>
        <v>41837</v>
      </c>
      <c r="D28" s="807" t="str">
        <f ca="1">IF(ROWS($1:18)&gt;COUNT(Dong6),"",OFFSET(TH!F$1,SMALL(Dong6,ROWS($1:18)),))</f>
        <v>Thùng (62x42x36)</v>
      </c>
      <c r="E28" s="806">
        <f t="shared" ca="1" si="0"/>
        <v>18</v>
      </c>
      <c r="F28" s="808" t="str">
        <f ca="1">IF(ROWS($1:18)&gt;COUNT(Dong6),"",OFFSET(TH!L$1,SMALL(Dong6,ROWS($1:18)),))</f>
        <v>131</v>
      </c>
      <c r="G28" s="808" t="str">
        <f ca="1">IF(ROWS($1:18)&gt;COUNT(Dong6),"",OFFSET(TH!M$1,SMALL(Dong6,ROWS($1:18)),))</f>
        <v>5112</v>
      </c>
      <c r="H28" s="677">
        <f ca="1">IF(ROWS($1:18)&gt;COUNT(Dong6),"",OFFSET(TH!K$1,SMALL(Dong6,ROWS($1:18)),))</f>
        <v>202350</v>
      </c>
      <c r="I28" s="677">
        <f ca="1">IF(ROWS($1:18)&gt;COUNT(Dong6),"",OFFSET(TH!K$1,SMALL(Dong6,ROWS($1:18)),))</f>
        <v>202350</v>
      </c>
    </row>
    <row r="29" spans="1:9" s="797" customFormat="1" ht="21" customHeight="1">
      <c r="A29" s="805">
        <f ca="1">IF(ROWS($1:19)&gt;COUNT(Dong6),"",OFFSET(TH!C$1,SMALL(Dong6,ROWS($1:19)),))</f>
        <v>41837</v>
      </c>
      <c r="B29" s="806" t="str">
        <f ca="1">IF(ROWS($1:19)&gt;COUNT(Dong6),"",OFFSET(TH!D$1,SMALL(Dong6,ROWS($1:19)),))</f>
        <v>TP/X07</v>
      </c>
      <c r="C29" s="805">
        <f ca="1">IF(ROWS($1:19)&gt;COUNT(Dong6),"",OFFSET(TH!E$1,SMALL(Dong6,ROWS($1:19)),))</f>
        <v>41837</v>
      </c>
      <c r="D29" s="807" t="str">
        <f ca="1">IF(ROWS($1:19)&gt;COUNT(Dong6),"",OFFSET(TH!F$1,SMALL(Dong6,ROWS($1:19)),))</f>
        <v>Thùng (39,5x39,5x25)</v>
      </c>
      <c r="E29" s="806">
        <f t="shared" ca="1" si="0"/>
        <v>19</v>
      </c>
      <c r="F29" s="808" t="str">
        <f ca="1">IF(ROWS($1:19)&gt;COUNT(Dong6),"",OFFSET(TH!L$1,SMALL(Dong6,ROWS($1:19)),))</f>
        <v>131</v>
      </c>
      <c r="G29" s="808" t="str">
        <f ca="1">IF(ROWS($1:19)&gt;COUNT(Dong6),"",OFFSET(TH!M$1,SMALL(Dong6,ROWS($1:19)),))</f>
        <v>5112</v>
      </c>
      <c r="H29" s="677">
        <f ca="1">IF(ROWS($1:19)&gt;COUNT(Dong6),"",OFFSET(TH!K$1,SMALL(Dong6,ROWS($1:19)),))</f>
        <v>360000</v>
      </c>
      <c r="I29" s="677">
        <f ca="1">IF(ROWS($1:19)&gt;COUNT(Dong6),"",OFFSET(TH!K$1,SMALL(Dong6,ROWS($1:19)),))</f>
        <v>360000</v>
      </c>
    </row>
    <row r="30" spans="1:9" s="797" customFormat="1" ht="21" customHeight="1">
      <c r="A30" s="805">
        <f ca="1">IF(ROWS($1:20)&gt;COUNT(Dong6),"",OFFSET(TH!C$1,SMALL(Dong6,ROWS($1:20)),))</f>
        <v>41837</v>
      </c>
      <c r="B30" s="806" t="str">
        <f ca="1">IF(ROWS($1:20)&gt;COUNT(Dong6),"",OFFSET(TH!D$1,SMALL(Dong6,ROWS($1:20)),))</f>
        <v>TP/X07</v>
      </c>
      <c r="C30" s="805">
        <f ca="1">IF(ROWS($1:20)&gt;COUNT(Dong6),"",OFFSET(TH!E$1,SMALL(Dong6,ROWS($1:20)),))</f>
        <v>41837</v>
      </c>
      <c r="D30" s="807" t="str">
        <f ca="1">IF(ROWS($1:20)&gt;COUNT(Dong6),"",OFFSET(TH!F$1,SMALL(Dong6,ROWS($1:20)),))</f>
        <v>Thùng (46,5x41,5x31)</v>
      </c>
      <c r="E30" s="806">
        <f t="shared" ca="1" si="0"/>
        <v>20</v>
      </c>
      <c r="F30" s="808" t="str">
        <f ca="1">IF(ROWS($1:20)&gt;COUNT(Dong6),"",OFFSET(TH!L$1,SMALL(Dong6,ROWS($1:20)),))</f>
        <v>131</v>
      </c>
      <c r="G30" s="808" t="str">
        <f ca="1">IF(ROWS($1:20)&gt;COUNT(Dong6),"",OFFSET(TH!M$1,SMALL(Dong6,ROWS($1:20)),))</f>
        <v>5112</v>
      </c>
      <c r="H30" s="677">
        <f ca="1">IF(ROWS($1:20)&gt;COUNT(Dong6),"",OFFSET(TH!K$1,SMALL(Dong6,ROWS($1:20)),))</f>
        <v>7876800</v>
      </c>
      <c r="I30" s="677">
        <f ca="1">IF(ROWS($1:20)&gt;COUNT(Dong6),"",OFFSET(TH!K$1,SMALL(Dong6,ROWS($1:20)),))</f>
        <v>7876800</v>
      </c>
    </row>
    <row r="31" spans="1:9" s="797" customFormat="1" ht="21" customHeight="1">
      <c r="A31" s="805">
        <f ca="1">IF(ROWS($1:21)&gt;COUNT(Dong6),"",OFFSET(TH!C$1,SMALL(Dong6,ROWS($1:21)),))</f>
        <v>41837</v>
      </c>
      <c r="B31" s="806" t="str">
        <f ca="1">IF(ROWS($1:21)&gt;COUNT(Dong6),"",OFFSET(TH!D$1,SMALL(Dong6,ROWS($1:21)),))</f>
        <v>TP/X07</v>
      </c>
      <c r="C31" s="805">
        <f ca="1">IF(ROWS($1:21)&gt;COUNT(Dong6),"",OFFSET(TH!E$1,SMALL(Dong6,ROWS($1:21)),))</f>
        <v>41837</v>
      </c>
      <c r="D31" s="807" t="str">
        <f ca="1">IF(ROWS($1:21)&gt;COUNT(Dong6),"",OFFSET(TH!F$1,SMALL(Dong6,ROWS($1:21)),))</f>
        <v>Thùng (45,5x41,5x25)</v>
      </c>
      <c r="E31" s="806">
        <f t="shared" ca="1" si="0"/>
        <v>21</v>
      </c>
      <c r="F31" s="808" t="str">
        <f ca="1">IF(ROWS($1:21)&gt;COUNT(Dong6),"",OFFSET(TH!L$1,SMALL(Dong6,ROWS($1:21)),))</f>
        <v>131</v>
      </c>
      <c r="G31" s="808" t="str">
        <f ca="1">IF(ROWS($1:21)&gt;COUNT(Dong6),"",OFFSET(TH!M$1,SMALL(Dong6,ROWS($1:21)),))</f>
        <v>5112</v>
      </c>
      <c r="H31" s="677">
        <f ca="1">IF(ROWS($1:21)&gt;COUNT(Dong6),"",OFFSET(TH!K$1,SMALL(Dong6,ROWS($1:21)),))</f>
        <v>3714800</v>
      </c>
      <c r="I31" s="677">
        <f ca="1">IF(ROWS($1:21)&gt;COUNT(Dong6),"",OFFSET(TH!K$1,SMALL(Dong6,ROWS($1:21)),))</f>
        <v>3714800</v>
      </c>
    </row>
    <row r="32" spans="1:9" s="797" customFormat="1" ht="21" customHeight="1">
      <c r="A32" s="805">
        <f ca="1">IF(ROWS($1:22)&gt;COUNT(Dong6),"",OFFSET(TH!C$1,SMALL(Dong6,ROWS($1:22)),))</f>
        <v>41837</v>
      </c>
      <c r="B32" s="806" t="str">
        <f ca="1">IF(ROWS($1:22)&gt;COUNT(Dong6),"",OFFSET(TH!D$1,SMALL(Dong6,ROWS($1:22)),))</f>
        <v>TP/X07</v>
      </c>
      <c r="C32" s="805">
        <f ca="1">IF(ROWS($1:22)&gt;COUNT(Dong6),"",OFFSET(TH!E$1,SMALL(Dong6,ROWS($1:22)),))</f>
        <v>41837</v>
      </c>
      <c r="D32" s="807" t="str">
        <f ca="1">IF(ROWS($1:22)&gt;COUNT(Dong6),"",OFFSET(TH!F$1,SMALL(Dong6,ROWS($1:22)),))</f>
        <v>VAT Thùng carton</v>
      </c>
      <c r="E32" s="806">
        <f t="shared" ca="1" si="0"/>
        <v>22</v>
      </c>
      <c r="F32" s="808" t="str">
        <f ca="1">IF(ROWS($1:22)&gt;COUNT(Dong6),"",OFFSET(TH!L$1,SMALL(Dong6,ROWS($1:22)),))</f>
        <v>131</v>
      </c>
      <c r="G32" s="808" t="str">
        <f ca="1">IF(ROWS($1:22)&gt;COUNT(Dong6),"",OFFSET(TH!M$1,SMALL(Dong6,ROWS($1:22)),))</f>
        <v>3331</v>
      </c>
      <c r="H32" s="677">
        <f ca="1">IF(ROWS($1:22)&gt;COUNT(Dong6),"",OFFSET(TH!K$1,SMALL(Dong6,ROWS($1:22)),))</f>
        <v>1332005</v>
      </c>
      <c r="I32" s="677">
        <f ca="1">IF(ROWS($1:22)&gt;COUNT(Dong6),"",OFFSET(TH!K$1,SMALL(Dong6,ROWS($1:22)),))</f>
        <v>1332005</v>
      </c>
    </row>
    <row r="33" spans="1:9" s="797" customFormat="1" ht="21" customHeight="1">
      <c r="A33" s="805">
        <f ca="1">IF(ROWS($1:23)&gt;COUNT(Dong6),"",OFFSET(TH!C$1,SMALL(Dong6,ROWS($1:23)),))</f>
        <v>41837</v>
      </c>
      <c r="B33" s="806" t="str">
        <f ca="1">IF(ROWS($1:23)&gt;COUNT(Dong6),"",OFFSET(TH!D$1,SMALL(Dong6,ROWS($1:23)),))</f>
        <v>TP/X08</v>
      </c>
      <c r="C33" s="805">
        <f ca="1">IF(ROWS($1:23)&gt;COUNT(Dong6),"",OFFSET(TH!E$1,SMALL(Dong6,ROWS($1:23)),))</f>
        <v>41837</v>
      </c>
      <c r="D33" s="807" t="str">
        <f ca="1">IF(ROWS($1:23)&gt;COUNT(Dong6),"",OFFSET(TH!F$1,SMALL(Dong6,ROWS($1:23)),))</f>
        <v>Thùng (42x26x33)</v>
      </c>
      <c r="E33" s="806">
        <f t="shared" ca="1" si="0"/>
        <v>23</v>
      </c>
      <c r="F33" s="808" t="str">
        <f ca="1">IF(ROWS($1:23)&gt;COUNT(Dong6),"",OFFSET(TH!L$1,SMALL(Dong6,ROWS($1:23)),))</f>
        <v>131</v>
      </c>
      <c r="G33" s="808" t="str">
        <f ca="1">IF(ROWS($1:23)&gt;COUNT(Dong6),"",OFFSET(TH!M$1,SMALL(Dong6,ROWS($1:23)),))</f>
        <v>5112</v>
      </c>
      <c r="H33" s="677">
        <f ca="1">IF(ROWS($1:23)&gt;COUNT(Dong6),"",OFFSET(TH!K$1,SMALL(Dong6,ROWS($1:23)),))</f>
        <v>4300000</v>
      </c>
      <c r="I33" s="677">
        <f ca="1">IF(ROWS($1:23)&gt;COUNT(Dong6),"",OFFSET(TH!K$1,SMALL(Dong6,ROWS($1:23)),))</f>
        <v>4300000</v>
      </c>
    </row>
    <row r="34" spans="1:9" s="797" customFormat="1" ht="21" customHeight="1">
      <c r="A34" s="805">
        <f ca="1">IF(ROWS($1:24)&gt;COUNT(Dong6),"",OFFSET(TH!C$1,SMALL(Dong6,ROWS($1:24)),))</f>
        <v>41837</v>
      </c>
      <c r="B34" s="806" t="str">
        <f ca="1">IF(ROWS($1:24)&gt;COUNT(Dong6),"",OFFSET(TH!D$1,SMALL(Dong6,ROWS($1:24)),))</f>
        <v>TP/X08</v>
      </c>
      <c r="C34" s="805">
        <f ca="1">IF(ROWS($1:24)&gt;COUNT(Dong6),"",OFFSET(TH!E$1,SMALL(Dong6,ROWS($1:24)),))</f>
        <v>41837</v>
      </c>
      <c r="D34" s="807" t="str">
        <f ca="1">IF(ROWS($1:24)&gt;COUNT(Dong6),"",OFFSET(TH!F$1,SMALL(Dong6,ROWS($1:24)),))</f>
        <v>Thùng (32,5x32,5x16)</v>
      </c>
      <c r="E34" s="806">
        <f t="shared" ca="1" si="0"/>
        <v>24</v>
      </c>
      <c r="F34" s="808" t="str">
        <f ca="1">IF(ROWS($1:24)&gt;COUNT(Dong6),"",OFFSET(TH!L$1,SMALL(Dong6,ROWS($1:24)),))</f>
        <v>131</v>
      </c>
      <c r="G34" s="808" t="str">
        <f ca="1">IF(ROWS($1:24)&gt;COUNT(Dong6),"",OFFSET(TH!M$1,SMALL(Dong6,ROWS($1:24)),))</f>
        <v>5112</v>
      </c>
      <c r="H34" s="677">
        <f ca="1">IF(ROWS($1:24)&gt;COUNT(Dong6),"",OFFSET(TH!K$1,SMALL(Dong6,ROWS($1:24)),))</f>
        <v>2870000</v>
      </c>
      <c r="I34" s="677">
        <f ca="1">IF(ROWS($1:24)&gt;COUNT(Dong6),"",OFFSET(TH!K$1,SMALL(Dong6,ROWS($1:24)),))</f>
        <v>2870000</v>
      </c>
    </row>
    <row r="35" spans="1:9" s="797" customFormat="1" ht="21" customHeight="1">
      <c r="A35" s="805">
        <f ca="1">IF(ROWS($1:25)&gt;COUNT(Dong6),"",OFFSET(TH!C$1,SMALL(Dong6,ROWS($1:25)),))</f>
        <v>41837</v>
      </c>
      <c r="B35" s="806" t="str">
        <f ca="1">IF(ROWS($1:25)&gt;COUNT(Dong6),"",OFFSET(TH!D$1,SMALL(Dong6,ROWS($1:25)),))</f>
        <v>TP/X08</v>
      </c>
      <c r="C35" s="805">
        <f ca="1">IF(ROWS($1:25)&gt;COUNT(Dong6),"",OFFSET(TH!E$1,SMALL(Dong6,ROWS($1:25)),))</f>
        <v>41837</v>
      </c>
      <c r="D35" s="807" t="str">
        <f ca="1">IF(ROWS($1:25)&gt;COUNT(Dong6),"",OFFSET(TH!F$1,SMALL(Dong6,ROWS($1:25)),))</f>
        <v>Thùng (49,5x38,5x32,5)</v>
      </c>
      <c r="E35" s="806">
        <f t="shared" ca="1" si="0"/>
        <v>25</v>
      </c>
      <c r="F35" s="808" t="str">
        <f ca="1">IF(ROWS($1:25)&gt;COUNT(Dong6),"",OFFSET(TH!L$1,SMALL(Dong6,ROWS($1:25)),))</f>
        <v>131</v>
      </c>
      <c r="G35" s="808" t="str">
        <f ca="1">IF(ROWS($1:25)&gt;COUNT(Dong6),"",OFFSET(TH!M$1,SMALL(Dong6,ROWS($1:25)),))</f>
        <v>5112</v>
      </c>
      <c r="H35" s="677">
        <f ca="1">IF(ROWS($1:25)&gt;COUNT(Dong6),"",OFFSET(TH!K$1,SMALL(Dong6,ROWS($1:25)),))</f>
        <v>3612000</v>
      </c>
      <c r="I35" s="677">
        <f ca="1">IF(ROWS($1:25)&gt;COUNT(Dong6),"",OFFSET(TH!K$1,SMALL(Dong6,ROWS($1:25)),))</f>
        <v>3612000</v>
      </c>
    </row>
    <row r="36" spans="1:9" s="797" customFormat="1" ht="21" customHeight="1">
      <c r="A36" s="805">
        <f ca="1">IF(ROWS($1:26)&gt;COUNT(Dong6),"",OFFSET(TH!C$1,SMALL(Dong6,ROWS($1:26)),))</f>
        <v>41837</v>
      </c>
      <c r="B36" s="806" t="str">
        <f ca="1">IF(ROWS($1:26)&gt;COUNT(Dong6),"",OFFSET(TH!D$1,SMALL(Dong6,ROWS($1:26)),))</f>
        <v>TP/X08</v>
      </c>
      <c r="C36" s="805">
        <f ca="1">IF(ROWS($1:26)&gt;COUNT(Dong6),"",OFFSET(TH!E$1,SMALL(Dong6,ROWS($1:26)),))</f>
        <v>41837</v>
      </c>
      <c r="D36" s="807" t="str">
        <f ca="1">IF(ROWS($1:26)&gt;COUNT(Dong6),"",OFFSET(TH!F$1,SMALL(Dong6,ROWS($1:26)),))</f>
        <v>VAT Thùng carton</v>
      </c>
      <c r="E36" s="806">
        <f t="shared" ca="1" si="0"/>
        <v>26</v>
      </c>
      <c r="F36" s="808" t="str">
        <f ca="1">IF(ROWS($1:26)&gt;COUNT(Dong6),"",OFFSET(TH!L$1,SMALL(Dong6,ROWS($1:26)),))</f>
        <v>131</v>
      </c>
      <c r="G36" s="808" t="str">
        <f ca="1">IF(ROWS($1:26)&gt;COUNT(Dong6),"",OFFSET(TH!M$1,SMALL(Dong6,ROWS($1:26)),))</f>
        <v>3331</v>
      </c>
      <c r="H36" s="677">
        <f ca="1">IF(ROWS($1:26)&gt;COUNT(Dong6),"",OFFSET(TH!K$1,SMALL(Dong6,ROWS($1:26)),))</f>
        <v>1078200</v>
      </c>
      <c r="I36" s="677">
        <f ca="1">IF(ROWS($1:26)&gt;COUNT(Dong6),"",OFFSET(TH!K$1,SMALL(Dong6,ROWS($1:26)),))</f>
        <v>1078200</v>
      </c>
    </row>
    <row r="37" spans="1:9" s="797" customFormat="1" ht="21" customHeight="1">
      <c r="A37" s="805">
        <f ca="1">IF(ROWS($1:27)&gt;COUNT(Dong6),"",OFFSET(TH!C$1,SMALL(Dong6,ROWS($1:27)),))</f>
        <v>41842</v>
      </c>
      <c r="B37" s="806" t="str">
        <f ca="1">IF(ROWS($1:27)&gt;COUNT(Dong6),"",OFFSET(TH!D$1,SMALL(Dong6,ROWS($1:27)),))</f>
        <v>TP/X09</v>
      </c>
      <c r="C37" s="805">
        <f ca="1">IF(ROWS($1:27)&gt;COUNT(Dong6),"",OFFSET(TH!E$1,SMALL(Dong6,ROWS($1:27)),))</f>
        <v>41842</v>
      </c>
      <c r="D37" s="807" t="str">
        <f ca="1">IF(ROWS($1:27)&gt;COUNT(Dong6),"",OFFSET(TH!F$1,SMALL(Dong6,ROWS($1:27)),))</f>
        <v>Thùng (56x48x17)</v>
      </c>
      <c r="E37" s="806">
        <f t="shared" ca="1" si="0"/>
        <v>27</v>
      </c>
      <c r="F37" s="808" t="str">
        <f ca="1">IF(ROWS($1:27)&gt;COUNT(Dong6),"",OFFSET(TH!L$1,SMALL(Dong6,ROWS($1:27)),))</f>
        <v>131</v>
      </c>
      <c r="G37" s="808" t="str">
        <f ca="1">IF(ROWS($1:27)&gt;COUNT(Dong6),"",OFFSET(TH!M$1,SMALL(Dong6,ROWS($1:27)),))</f>
        <v>5112</v>
      </c>
      <c r="H37" s="677">
        <f ca="1">IF(ROWS($1:27)&gt;COUNT(Dong6),"",OFFSET(TH!K$1,SMALL(Dong6,ROWS($1:27)),))</f>
        <v>8874900</v>
      </c>
      <c r="I37" s="677">
        <f ca="1">IF(ROWS($1:27)&gt;COUNT(Dong6),"",OFFSET(TH!K$1,SMALL(Dong6,ROWS($1:27)),))</f>
        <v>8874900</v>
      </c>
    </row>
    <row r="38" spans="1:9" s="797" customFormat="1" ht="21" customHeight="1">
      <c r="A38" s="805">
        <f ca="1">IF(ROWS($1:28)&gt;COUNT(Dong6),"",OFFSET(TH!C$1,SMALL(Dong6,ROWS($1:28)),))</f>
        <v>41842</v>
      </c>
      <c r="B38" s="806" t="str">
        <f ca="1">IF(ROWS($1:28)&gt;COUNT(Dong6),"",OFFSET(TH!D$1,SMALL(Dong6,ROWS($1:28)),))</f>
        <v>TP/X09</v>
      </c>
      <c r="C38" s="805">
        <f ca="1">IF(ROWS($1:28)&gt;COUNT(Dong6),"",OFFSET(TH!E$1,SMALL(Dong6,ROWS($1:28)),))</f>
        <v>41842</v>
      </c>
      <c r="D38" s="807" t="str">
        <f ca="1">IF(ROWS($1:28)&gt;COUNT(Dong6),"",OFFSET(TH!F$1,SMALL(Dong6,ROWS($1:28)),))</f>
        <v>Tấm lót (50x20)</v>
      </c>
      <c r="E38" s="806">
        <f t="shared" ca="1" si="0"/>
        <v>28</v>
      </c>
      <c r="F38" s="808" t="str">
        <f ca="1">IF(ROWS($1:28)&gt;COUNT(Dong6),"",OFFSET(TH!L$1,SMALL(Dong6,ROWS($1:28)),))</f>
        <v>131</v>
      </c>
      <c r="G38" s="808" t="str">
        <f ca="1">IF(ROWS($1:28)&gt;COUNT(Dong6),"",OFFSET(TH!M$1,SMALL(Dong6,ROWS($1:28)),))</f>
        <v>5112</v>
      </c>
      <c r="H38" s="677">
        <f ca="1">IF(ROWS($1:28)&gt;COUNT(Dong6),"",OFFSET(TH!K$1,SMALL(Dong6,ROWS($1:28)),))</f>
        <v>1539000</v>
      </c>
      <c r="I38" s="677">
        <f ca="1">IF(ROWS($1:28)&gt;COUNT(Dong6),"",OFFSET(TH!K$1,SMALL(Dong6,ROWS($1:28)),))</f>
        <v>1539000</v>
      </c>
    </row>
    <row r="39" spans="1:9" s="797" customFormat="1" ht="21" customHeight="1">
      <c r="A39" s="805">
        <f ca="1">IF(ROWS($1:29)&gt;COUNT(Dong6),"",OFFSET(TH!C$1,SMALL(Dong6,ROWS($1:29)),))</f>
        <v>41842</v>
      </c>
      <c r="B39" s="806" t="str">
        <f ca="1">IF(ROWS($1:29)&gt;COUNT(Dong6),"",OFFSET(TH!D$1,SMALL(Dong6,ROWS($1:29)),))</f>
        <v>TP/X09</v>
      </c>
      <c r="C39" s="805">
        <f ca="1">IF(ROWS($1:29)&gt;COUNT(Dong6),"",OFFSET(TH!E$1,SMALL(Dong6,ROWS($1:29)),))</f>
        <v>41842</v>
      </c>
      <c r="D39" s="807" t="str">
        <f ca="1">IF(ROWS($1:29)&gt;COUNT(Dong6),"",OFFSET(TH!F$1,SMALL(Dong6,ROWS($1:29)),))</f>
        <v>VAT Thùng carton</v>
      </c>
      <c r="E39" s="806">
        <f t="shared" ca="1" si="0"/>
        <v>29</v>
      </c>
      <c r="F39" s="808" t="str">
        <f ca="1">IF(ROWS($1:29)&gt;COUNT(Dong6),"",OFFSET(TH!L$1,SMALL(Dong6,ROWS($1:29)),))</f>
        <v>131</v>
      </c>
      <c r="G39" s="808" t="str">
        <f ca="1">IF(ROWS($1:29)&gt;COUNT(Dong6),"",OFFSET(TH!M$1,SMALL(Dong6,ROWS($1:29)),))</f>
        <v>3331</v>
      </c>
      <c r="H39" s="677">
        <f ca="1">IF(ROWS($1:29)&gt;COUNT(Dong6),"",OFFSET(TH!K$1,SMALL(Dong6,ROWS($1:29)),))</f>
        <v>1041390</v>
      </c>
      <c r="I39" s="677">
        <f ca="1">IF(ROWS($1:29)&gt;COUNT(Dong6),"",OFFSET(TH!K$1,SMALL(Dong6,ROWS($1:29)),))</f>
        <v>1041390</v>
      </c>
    </row>
    <row r="40" spans="1:9" s="797" customFormat="1" ht="21" customHeight="1">
      <c r="A40" s="805">
        <f ca="1">IF(ROWS($1:30)&gt;COUNT(Dong6),"",OFFSET(TH!C$1,SMALL(Dong6,ROWS($1:30)),))</f>
        <v>41842</v>
      </c>
      <c r="B40" s="806" t="str">
        <f ca="1">IF(ROWS($1:30)&gt;COUNT(Dong6),"",OFFSET(TH!D$1,SMALL(Dong6,ROWS($1:30)),))</f>
        <v>TP/X10</v>
      </c>
      <c r="C40" s="805">
        <f ca="1">IF(ROWS($1:30)&gt;COUNT(Dong6),"",OFFSET(TH!E$1,SMALL(Dong6,ROWS($1:30)),))</f>
        <v>41842</v>
      </c>
      <c r="D40" s="807" t="str">
        <f ca="1">IF(ROWS($1:30)&gt;COUNT(Dong6),"",OFFSET(TH!F$1,SMALL(Dong6,ROWS($1:30)),))</f>
        <v>Thùng (34x24x30)</v>
      </c>
      <c r="E40" s="806">
        <f t="shared" ca="1" si="0"/>
        <v>30</v>
      </c>
      <c r="F40" s="808" t="str">
        <f ca="1">IF(ROWS($1:30)&gt;COUNT(Dong6),"",OFFSET(TH!L$1,SMALL(Dong6,ROWS($1:30)),))</f>
        <v>131</v>
      </c>
      <c r="G40" s="808" t="str">
        <f ca="1">IF(ROWS($1:30)&gt;COUNT(Dong6),"",OFFSET(TH!M$1,SMALL(Dong6,ROWS($1:30)),))</f>
        <v>5112</v>
      </c>
      <c r="H40" s="677">
        <f ca="1">IF(ROWS($1:30)&gt;COUNT(Dong6),"",OFFSET(TH!K$1,SMALL(Dong6,ROWS($1:30)),))</f>
        <v>17600000</v>
      </c>
      <c r="I40" s="677">
        <f ca="1">IF(ROWS($1:30)&gt;COUNT(Dong6),"",OFFSET(TH!K$1,SMALL(Dong6,ROWS($1:30)),))</f>
        <v>17600000</v>
      </c>
    </row>
    <row r="41" spans="1:9" s="797" customFormat="1" ht="21" customHeight="1">
      <c r="A41" s="805">
        <f ca="1">IF(ROWS($1:31)&gt;COUNT(Dong6),"",OFFSET(TH!C$1,SMALL(Dong6,ROWS($1:31)),))</f>
        <v>41842</v>
      </c>
      <c r="B41" s="806" t="str">
        <f ca="1">IF(ROWS($1:31)&gt;COUNT(Dong6),"",OFFSET(TH!D$1,SMALL(Dong6,ROWS($1:31)),))</f>
        <v>TP/X10</v>
      </c>
      <c r="C41" s="805">
        <f ca="1">IF(ROWS($1:31)&gt;COUNT(Dong6),"",OFFSET(TH!E$1,SMALL(Dong6,ROWS($1:31)),))</f>
        <v>41842</v>
      </c>
      <c r="D41" s="807" t="str">
        <f ca="1">IF(ROWS($1:31)&gt;COUNT(Dong6),"",OFFSET(TH!F$1,SMALL(Dong6,ROWS($1:31)),))</f>
        <v>VAT Thùng carton</v>
      </c>
      <c r="E41" s="806">
        <f t="shared" ref="E41:E50" ca="1" si="1">IF(D41&lt;&gt;"",ROW()-10,"")</f>
        <v>31</v>
      </c>
      <c r="F41" s="808" t="str">
        <f ca="1">IF(ROWS($1:31)&gt;COUNT(Dong6),"",OFFSET(TH!L$1,SMALL(Dong6,ROWS($1:31)),))</f>
        <v>131</v>
      </c>
      <c r="G41" s="808" t="str">
        <f ca="1">IF(ROWS($1:31)&gt;COUNT(Dong6),"",OFFSET(TH!M$1,SMALL(Dong6,ROWS($1:31)),))</f>
        <v>3331</v>
      </c>
      <c r="H41" s="677">
        <f ca="1">IF(ROWS($1:31)&gt;COUNT(Dong6),"",OFFSET(TH!K$1,SMALL(Dong6,ROWS($1:31)),))</f>
        <v>1760000</v>
      </c>
      <c r="I41" s="677">
        <f ca="1">IF(ROWS($1:31)&gt;COUNT(Dong6),"",OFFSET(TH!K$1,SMALL(Dong6,ROWS($1:31)),))</f>
        <v>1760000</v>
      </c>
    </row>
    <row r="42" spans="1:9" s="797" customFormat="1" ht="21" customHeight="1">
      <c r="A42" s="805">
        <f ca="1">IF(ROWS($1:32)&gt;COUNT(Dong6),"",OFFSET(TH!C$1,SMALL(Dong6,ROWS($1:32)),))</f>
        <v>41843</v>
      </c>
      <c r="B42" s="806" t="str">
        <f ca="1">IF(ROWS($1:32)&gt;COUNT(Dong6),"",OFFSET(TH!D$1,SMALL(Dong6,ROWS($1:32)),))</f>
        <v>TP/X11</v>
      </c>
      <c r="C42" s="805">
        <f ca="1">IF(ROWS($1:32)&gt;COUNT(Dong6),"",OFFSET(TH!E$1,SMALL(Dong6,ROWS($1:32)),))</f>
        <v>41843</v>
      </c>
      <c r="D42" s="807" t="str">
        <f ca="1">IF(ROWS($1:32)&gt;COUNT(Dong6),"",OFFSET(TH!F$1,SMALL(Dong6,ROWS($1:32)),))</f>
        <v>Thùng (51,5x25x25,2)</v>
      </c>
      <c r="E42" s="806">
        <f t="shared" ca="1" si="1"/>
        <v>32</v>
      </c>
      <c r="F42" s="808" t="str">
        <f ca="1">IF(ROWS($1:32)&gt;COUNT(Dong6),"",OFFSET(TH!L$1,SMALL(Dong6,ROWS($1:32)),))</f>
        <v>131</v>
      </c>
      <c r="G42" s="808" t="str">
        <f ca="1">IF(ROWS($1:32)&gt;COUNT(Dong6),"",OFFSET(TH!M$1,SMALL(Dong6,ROWS($1:32)),))</f>
        <v>5112</v>
      </c>
      <c r="H42" s="677">
        <f ca="1">IF(ROWS($1:32)&gt;COUNT(Dong6),"",OFFSET(TH!K$1,SMALL(Dong6,ROWS($1:32)),))</f>
        <v>3321700</v>
      </c>
      <c r="I42" s="677">
        <f ca="1">IF(ROWS($1:32)&gt;COUNT(Dong6),"",OFFSET(TH!K$1,SMALL(Dong6,ROWS($1:32)),))</f>
        <v>3321700</v>
      </c>
    </row>
    <row r="43" spans="1:9" s="797" customFormat="1" ht="21" customHeight="1">
      <c r="A43" s="805">
        <f ca="1">IF(ROWS($1:33)&gt;COUNT(Dong6),"",OFFSET(TH!C$1,SMALL(Dong6,ROWS($1:33)),))</f>
        <v>41843</v>
      </c>
      <c r="B43" s="806" t="str">
        <f ca="1">IF(ROWS($1:33)&gt;COUNT(Dong6),"",OFFSET(TH!D$1,SMALL(Dong6,ROWS($1:33)),))</f>
        <v>TP/X11</v>
      </c>
      <c r="C43" s="805">
        <f ca="1">IF(ROWS($1:33)&gt;COUNT(Dong6),"",OFFSET(TH!E$1,SMALL(Dong6,ROWS($1:33)),))</f>
        <v>41843</v>
      </c>
      <c r="D43" s="807" t="str">
        <f ca="1">IF(ROWS($1:33)&gt;COUNT(Dong6),"",OFFSET(TH!F$1,SMALL(Dong6,ROWS($1:33)),))</f>
        <v>Thùng (51,5x26x27)</v>
      </c>
      <c r="E43" s="806">
        <f t="shared" ca="1" si="1"/>
        <v>33</v>
      </c>
      <c r="F43" s="808" t="str">
        <f ca="1">IF(ROWS($1:33)&gt;COUNT(Dong6),"",OFFSET(TH!L$1,SMALL(Dong6,ROWS($1:33)),))</f>
        <v>131</v>
      </c>
      <c r="G43" s="808" t="str">
        <f ca="1">IF(ROWS($1:33)&gt;COUNT(Dong6),"",OFFSET(TH!M$1,SMALL(Dong6,ROWS($1:33)),))</f>
        <v>5112</v>
      </c>
      <c r="H43" s="677">
        <f ca="1">IF(ROWS($1:33)&gt;COUNT(Dong6),"",OFFSET(TH!K$1,SMALL(Dong6,ROWS($1:33)),))</f>
        <v>1325000</v>
      </c>
      <c r="I43" s="677">
        <f ca="1">IF(ROWS($1:33)&gt;COUNT(Dong6),"",OFFSET(TH!K$1,SMALL(Dong6,ROWS($1:33)),))</f>
        <v>1325000</v>
      </c>
    </row>
    <row r="44" spans="1:9" s="797" customFormat="1" ht="21" customHeight="1">
      <c r="A44" s="805">
        <f ca="1">IF(ROWS($1:34)&gt;COUNT(Dong6),"",OFFSET(TH!C$1,SMALL(Dong6,ROWS($1:34)),))</f>
        <v>41843</v>
      </c>
      <c r="B44" s="806" t="str">
        <f ca="1">IF(ROWS($1:34)&gt;COUNT(Dong6),"",OFFSET(TH!D$1,SMALL(Dong6,ROWS($1:34)),))</f>
        <v>TP/X11</v>
      </c>
      <c r="C44" s="805">
        <f ca="1">IF(ROWS($1:34)&gt;COUNT(Dong6),"",OFFSET(TH!E$1,SMALL(Dong6,ROWS($1:34)),))</f>
        <v>41843</v>
      </c>
      <c r="D44" s="807" t="str">
        <f ca="1">IF(ROWS($1:34)&gt;COUNT(Dong6),"",OFFSET(TH!F$1,SMALL(Dong6,ROWS($1:34)),))</f>
        <v>Thùng (52x32x22)</v>
      </c>
      <c r="E44" s="806">
        <f t="shared" ca="1" si="1"/>
        <v>34</v>
      </c>
      <c r="F44" s="808" t="str">
        <f ca="1">IF(ROWS($1:34)&gt;COUNT(Dong6),"",OFFSET(TH!L$1,SMALL(Dong6,ROWS($1:34)),))</f>
        <v>131</v>
      </c>
      <c r="G44" s="808" t="str">
        <f ca="1">IF(ROWS($1:34)&gt;COUNT(Dong6),"",OFFSET(TH!M$1,SMALL(Dong6,ROWS($1:34)),))</f>
        <v>5112</v>
      </c>
      <c r="H44" s="677">
        <f ca="1">IF(ROWS($1:34)&gt;COUNT(Dong6),"",OFFSET(TH!K$1,SMALL(Dong6,ROWS($1:34)),))</f>
        <v>1339600</v>
      </c>
      <c r="I44" s="677">
        <f ca="1">IF(ROWS($1:34)&gt;COUNT(Dong6),"",OFFSET(TH!K$1,SMALL(Dong6,ROWS($1:34)),))</f>
        <v>1339600</v>
      </c>
    </row>
    <row r="45" spans="1:9" s="797" customFormat="1" ht="21" customHeight="1">
      <c r="A45" s="805">
        <f ca="1">IF(ROWS($1:35)&gt;COUNT(Dong6),"",OFFSET(TH!C$1,SMALL(Dong6,ROWS($1:35)),))</f>
        <v>41843</v>
      </c>
      <c r="B45" s="806" t="str">
        <f ca="1">IF(ROWS($1:35)&gt;COUNT(Dong6),"",OFFSET(TH!D$1,SMALL(Dong6,ROWS($1:35)),))</f>
        <v>TP/X11</v>
      </c>
      <c r="C45" s="805">
        <f ca="1">IF(ROWS($1:35)&gt;COUNT(Dong6),"",OFFSET(TH!E$1,SMALL(Dong6,ROWS($1:35)),))</f>
        <v>41843</v>
      </c>
      <c r="D45" s="807" t="str">
        <f ca="1">IF(ROWS($1:35)&gt;COUNT(Dong6),"",OFFSET(TH!F$1,SMALL(Dong6,ROWS($1:35)),))</f>
        <v>Thùng (51,5x27,5x27,5)</v>
      </c>
      <c r="E45" s="806">
        <f t="shared" ca="1" si="1"/>
        <v>35</v>
      </c>
      <c r="F45" s="808" t="str">
        <f ca="1">IF(ROWS($1:35)&gt;COUNT(Dong6),"",OFFSET(TH!L$1,SMALL(Dong6,ROWS($1:35)),))</f>
        <v>131</v>
      </c>
      <c r="G45" s="808" t="str">
        <f ca="1">IF(ROWS($1:35)&gt;COUNT(Dong6),"",OFFSET(TH!M$1,SMALL(Dong6,ROWS($1:35)),))</f>
        <v>5112</v>
      </c>
      <c r="H45" s="677">
        <f ca="1">IF(ROWS($1:35)&gt;COUNT(Dong6),"",OFFSET(TH!K$1,SMALL(Dong6,ROWS($1:35)),))</f>
        <v>1414800</v>
      </c>
      <c r="I45" s="677">
        <f ca="1">IF(ROWS($1:35)&gt;COUNT(Dong6),"",OFFSET(TH!K$1,SMALL(Dong6,ROWS($1:35)),))</f>
        <v>1414800</v>
      </c>
    </row>
    <row r="46" spans="1:9" s="797" customFormat="1" ht="21" customHeight="1">
      <c r="A46" s="805">
        <f ca="1">IF(ROWS($1:36)&gt;COUNT(Dong6),"",OFFSET(TH!C$1,SMALL(Dong6,ROWS($1:36)),))</f>
        <v>41843</v>
      </c>
      <c r="B46" s="806" t="str">
        <f ca="1">IF(ROWS($1:36)&gt;COUNT(Dong6),"",OFFSET(TH!D$1,SMALL(Dong6,ROWS($1:36)),))</f>
        <v>TP/X11</v>
      </c>
      <c r="C46" s="805">
        <f ca="1">IF(ROWS($1:36)&gt;COUNT(Dong6),"",OFFSET(TH!E$1,SMALL(Dong6,ROWS($1:36)),))</f>
        <v>41843</v>
      </c>
      <c r="D46" s="807" t="str">
        <f ca="1">IF(ROWS($1:36)&gt;COUNT(Dong6),"",OFFSET(TH!F$1,SMALL(Dong6,ROWS($1:36)),))</f>
        <v>VAT Thùng carton</v>
      </c>
      <c r="E46" s="806">
        <f t="shared" ca="1" si="1"/>
        <v>36</v>
      </c>
      <c r="F46" s="808" t="str">
        <f ca="1">IF(ROWS($1:36)&gt;COUNT(Dong6),"",OFFSET(TH!L$1,SMALL(Dong6,ROWS($1:36)),))</f>
        <v>131</v>
      </c>
      <c r="G46" s="808" t="str">
        <f ca="1">IF(ROWS($1:36)&gt;COUNT(Dong6),"",OFFSET(TH!M$1,SMALL(Dong6,ROWS($1:36)),))</f>
        <v>3331</v>
      </c>
      <c r="H46" s="677">
        <f ca="1">IF(ROWS($1:36)&gt;COUNT(Dong6),"",OFFSET(TH!K$1,SMALL(Dong6,ROWS($1:36)),))</f>
        <v>740110</v>
      </c>
      <c r="I46" s="677">
        <f ca="1">IF(ROWS($1:36)&gt;COUNT(Dong6),"",OFFSET(TH!K$1,SMALL(Dong6,ROWS($1:36)),))</f>
        <v>740110</v>
      </c>
    </row>
    <row r="47" spans="1:9" s="797" customFormat="1" ht="21" customHeight="1">
      <c r="A47" s="805">
        <f ca="1">IF(ROWS($1:37)&gt;COUNT(Dong6),"",OFFSET(TH!C$1,SMALL(Dong6,ROWS($1:37)),))</f>
        <v>41843</v>
      </c>
      <c r="B47" s="806" t="str">
        <f ca="1">IF(ROWS($1:37)&gt;COUNT(Dong6),"",OFFSET(TH!D$1,SMALL(Dong6,ROWS($1:37)),))</f>
        <v>TP/X12</v>
      </c>
      <c r="C47" s="805">
        <f ca="1">IF(ROWS($1:37)&gt;COUNT(Dong6),"",OFFSET(TH!E$1,SMALL(Dong6,ROWS($1:37)),))</f>
        <v>41843</v>
      </c>
      <c r="D47" s="807" t="str">
        <f ca="1">IF(ROWS($1:37)&gt;COUNT(Dong6),"",OFFSET(TH!F$1,SMALL(Dong6,ROWS($1:37)),))</f>
        <v>Thùng (69x39x54)</v>
      </c>
      <c r="E47" s="806">
        <f t="shared" ca="1" si="1"/>
        <v>37</v>
      </c>
      <c r="F47" s="808" t="str">
        <f ca="1">IF(ROWS($1:37)&gt;COUNT(Dong6),"",OFFSET(TH!L$1,SMALL(Dong6,ROWS($1:37)),))</f>
        <v>131</v>
      </c>
      <c r="G47" s="808" t="str">
        <f ca="1">IF(ROWS($1:37)&gt;COUNT(Dong6),"",OFFSET(TH!M$1,SMALL(Dong6,ROWS($1:37)),))</f>
        <v>5112</v>
      </c>
      <c r="H47" s="677">
        <f ca="1">IF(ROWS($1:37)&gt;COUNT(Dong6),"",OFFSET(TH!K$1,SMALL(Dong6,ROWS($1:37)),))</f>
        <v>7351400</v>
      </c>
      <c r="I47" s="677">
        <f ca="1">IF(ROWS($1:37)&gt;COUNT(Dong6),"",OFFSET(TH!K$1,SMALL(Dong6,ROWS($1:37)),))</f>
        <v>7351400</v>
      </c>
    </row>
    <row r="48" spans="1:9" s="797" customFormat="1" ht="21" customHeight="1">
      <c r="A48" s="805">
        <f ca="1">IF(ROWS($1:38)&gt;COUNT(Dong6),"",OFFSET(TH!C$1,SMALL(Dong6,ROWS($1:38)),))</f>
        <v>41843</v>
      </c>
      <c r="B48" s="806" t="str">
        <f ca="1">IF(ROWS($1:38)&gt;COUNT(Dong6),"",OFFSET(TH!D$1,SMALL(Dong6,ROWS($1:38)),))</f>
        <v>TP/X12</v>
      </c>
      <c r="C48" s="805">
        <f ca="1">IF(ROWS($1:38)&gt;COUNT(Dong6),"",OFFSET(TH!E$1,SMALL(Dong6,ROWS($1:38)),))</f>
        <v>41843</v>
      </c>
      <c r="D48" s="807" t="str">
        <f ca="1">IF(ROWS($1:38)&gt;COUNT(Dong6),"",OFFSET(TH!F$1,SMALL(Dong6,ROWS($1:38)),))</f>
        <v>VAT Thùng carton</v>
      </c>
      <c r="E48" s="806">
        <f t="shared" ca="1" si="1"/>
        <v>38</v>
      </c>
      <c r="F48" s="808" t="str">
        <f ca="1">IF(ROWS($1:38)&gt;COUNT(Dong6),"",OFFSET(TH!L$1,SMALL(Dong6,ROWS($1:38)),))</f>
        <v>131</v>
      </c>
      <c r="G48" s="808" t="str">
        <f ca="1">IF(ROWS($1:38)&gt;COUNT(Dong6),"",OFFSET(TH!M$1,SMALL(Dong6,ROWS($1:38)),))</f>
        <v>3331</v>
      </c>
      <c r="H48" s="677">
        <f ca="1">IF(ROWS($1:38)&gt;COUNT(Dong6),"",OFFSET(TH!K$1,SMALL(Dong6,ROWS($1:38)),))</f>
        <v>735140</v>
      </c>
      <c r="I48" s="677">
        <f ca="1">IF(ROWS($1:38)&gt;COUNT(Dong6),"",OFFSET(TH!K$1,SMALL(Dong6,ROWS($1:38)),))</f>
        <v>735140</v>
      </c>
    </row>
    <row r="49" spans="1:10" s="797" customFormat="1" ht="21" customHeight="1">
      <c r="A49" s="805">
        <f ca="1">IF(ROWS($1:39)&gt;COUNT(Dong6),"",OFFSET(TH!C$1,SMALL(Dong6,ROWS($1:39)),))</f>
        <v>41843</v>
      </c>
      <c r="B49" s="806" t="str">
        <f ca="1">IF(ROWS($1:39)&gt;COUNT(Dong6),"",OFFSET(TH!D$1,SMALL(Dong6,ROWS($1:39)),))</f>
        <v>TP/X13</v>
      </c>
      <c r="C49" s="805">
        <f ca="1">IF(ROWS($1:39)&gt;COUNT(Dong6),"",OFFSET(TH!E$1,SMALL(Dong6,ROWS($1:39)),))</f>
        <v>41843</v>
      </c>
      <c r="D49" s="807" t="str">
        <f ca="1">IF(ROWS($1:39)&gt;COUNT(Dong6),"",OFFSET(TH!F$1,SMALL(Dong6,ROWS($1:39)),))</f>
        <v>Thùng (55x55x75)</v>
      </c>
      <c r="E49" s="806">
        <f t="shared" ca="1" si="1"/>
        <v>39</v>
      </c>
      <c r="F49" s="808" t="str">
        <f ca="1">IF(ROWS($1:39)&gt;COUNT(Dong6),"",OFFSET(TH!L$1,SMALL(Dong6,ROWS($1:39)),))</f>
        <v>131</v>
      </c>
      <c r="G49" s="808" t="str">
        <f ca="1">IF(ROWS($1:39)&gt;COUNT(Dong6),"",OFFSET(TH!M$1,SMALL(Dong6,ROWS($1:39)),))</f>
        <v>5112</v>
      </c>
      <c r="H49" s="677">
        <f ca="1">IF(ROWS($1:39)&gt;COUNT(Dong6),"",OFFSET(TH!K$1,SMALL(Dong6,ROWS($1:39)),))</f>
        <v>3610000</v>
      </c>
      <c r="I49" s="677">
        <f ca="1">IF(ROWS($1:39)&gt;COUNT(Dong6),"",OFFSET(TH!K$1,SMALL(Dong6,ROWS($1:39)),))</f>
        <v>3610000</v>
      </c>
    </row>
    <row r="50" spans="1:10" s="797" customFormat="1" ht="21" customHeight="1">
      <c r="A50" s="805">
        <f ca="1">IF(ROWS($1:40)&gt;COUNT(Dong6),"",OFFSET(TH!C$1,SMALL(Dong6,ROWS($1:40)),))</f>
        <v>41843</v>
      </c>
      <c r="B50" s="806" t="str">
        <f ca="1">IF(ROWS($1:40)&gt;COUNT(Dong6),"",OFFSET(TH!D$1,SMALL(Dong6,ROWS($1:40)),))</f>
        <v>TP/X13</v>
      </c>
      <c r="C50" s="805">
        <f ca="1">IF(ROWS($1:40)&gt;COUNT(Dong6),"",OFFSET(TH!E$1,SMALL(Dong6,ROWS($1:40)),))</f>
        <v>41843</v>
      </c>
      <c r="D50" s="807" t="str">
        <f ca="1">IF(ROWS($1:40)&gt;COUNT(Dong6),"",OFFSET(TH!F$1,SMALL(Dong6,ROWS($1:40)),))</f>
        <v>VAT Thùng carton</v>
      </c>
      <c r="E50" s="806">
        <f t="shared" ca="1" si="1"/>
        <v>40</v>
      </c>
      <c r="F50" s="808" t="str">
        <f ca="1">IF(ROWS($1:40)&gt;COUNT(Dong6),"",OFFSET(TH!L$1,SMALL(Dong6,ROWS($1:40)),))</f>
        <v>131</v>
      </c>
      <c r="G50" s="808" t="str">
        <f ca="1">IF(ROWS($1:40)&gt;COUNT(Dong6),"",OFFSET(TH!M$1,SMALL(Dong6,ROWS($1:40)),))</f>
        <v>3331</v>
      </c>
      <c r="H50" s="677">
        <f ca="1">IF(ROWS($1:40)&gt;COUNT(Dong6),"",OFFSET(TH!K$1,SMALL(Dong6,ROWS($1:40)),))</f>
        <v>361000</v>
      </c>
      <c r="I50" s="677">
        <f ca="1">IF(ROWS($1:40)&gt;COUNT(Dong6),"",OFFSET(TH!K$1,SMALL(Dong6,ROWS($1:40)),))</f>
        <v>361000</v>
      </c>
    </row>
    <row r="51" spans="1:10" s="797" customFormat="1" ht="21" customHeight="1">
      <c r="A51" s="805"/>
      <c r="B51" s="806"/>
      <c r="C51" s="805"/>
      <c r="D51" s="807"/>
      <c r="E51" s="806"/>
      <c r="F51" s="808"/>
      <c r="G51" s="808"/>
      <c r="H51" s="677"/>
      <c r="I51" s="677"/>
    </row>
    <row r="52" spans="1:10" s="797" customFormat="1" ht="21" customHeight="1">
      <c r="A52" s="809"/>
      <c r="B52" s="809"/>
      <c r="C52" s="809"/>
      <c r="D52" s="810" t="s">
        <v>343</v>
      </c>
      <c r="E52" s="811" t="s">
        <v>19</v>
      </c>
      <c r="F52" s="811"/>
      <c r="G52" s="811" t="s">
        <v>19</v>
      </c>
      <c r="H52" s="812">
        <f ca="1">SUBTOTAL(9,$H$10:$H$51)</f>
        <v>4460527263</v>
      </c>
      <c r="I52" s="812">
        <f ca="1">SUBTOTAL(9,I10:I51)</f>
        <v>4460527263</v>
      </c>
    </row>
    <row r="53" spans="1:10" s="797" customFormat="1" ht="15">
      <c r="A53" s="813" t="s">
        <v>419</v>
      </c>
    </row>
    <row r="54" spans="1:10" s="797" customFormat="1" ht="15">
      <c r="A54" s="813" t="str">
        <f ca="1">"- Ngày mở sổ: "&amp;DAY($A$11)&amp;"/"&amp;MONTH($A$11)&amp;"/ " &amp;YEAR($A$11)</f>
        <v>- Ngày mở sổ: 11/7/ 2014</v>
      </c>
    </row>
    <row r="55" spans="1:10" s="797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4"/>
      <c r="J55" s="814"/>
    </row>
    <row r="56" spans="1:10" s="797" customFormat="1" ht="15">
      <c r="B56" s="814" t="s">
        <v>340</v>
      </c>
      <c r="D56" s="814" t="s">
        <v>12</v>
      </c>
      <c r="H56" s="814" t="s">
        <v>341</v>
      </c>
      <c r="I56" s="814"/>
      <c r="J56" s="814"/>
    </row>
    <row r="57" spans="1:10" s="797" customFormat="1" ht="15">
      <c r="B57" s="814" t="s">
        <v>13</v>
      </c>
      <c r="D57" s="814" t="s">
        <v>13</v>
      </c>
      <c r="H57" s="814" t="s">
        <v>136</v>
      </c>
      <c r="I57" s="814"/>
      <c r="J57" s="814"/>
    </row>
    <row r="58" spans="1:10" s="797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3" t="s">
        <v>145</v>
      </c>
      <c r="H2" s="963"/>
      <c r="I2" s="963"/>
    </row>
    <row r="3" spans="1:9" ht="15.75" customHeight="1">
      <c r="A3" s="1" t="str">
        <f>TH!A2</f>
        <v>Địa chỉ: 1A227/1 Ấp 1, Phạm Văn Hai, Bình Chánh, TPHCM</v>
      </c>
      <c r="G3" s="96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4"/>
      <c r="I3" s="964"/>
    </row>
    <row r="4" spans="1:9">
      <c r="F4" s="17"/>
      <c r="G4" s="964"/>
      <c r="H4" s="964"/>
      <c r="I4" s="964"/>
    </row>
    <row r="5" spans="1:9" ht="17.25" customHeight="1">
      <c r="A5" s="965" t="s">
        <v>146</v>
      </c>
      <c r="B5" s="965"/>
      <c r="C5" s="965"/>
      <c r="D5" s="965"/>
      <c r="E5" s="965"/>
      <c r="F5" s="965"/>
      <c r="G5" s="965"/>
      <c r="H5" s="965"/>
      <c r="I5" s="965"/>
    </row>
    <row r="6" spans="1:9">
      <c r="A6" s="966" t="s">
        <v>147</v>
      </c>
      <c r="B6" s="967"/>
      <c r="C6" s="967"/>
      <c r="D6" s="967"/>
      <c r="E6" s="967"/>
      <c r="F6" s="967"/>
      <c r="G6" s="967"/>
      <c r="H6" s="967"/>
      <c r="I6" s="96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67" t="s">
        <v>29</v>
      </c>
      <c r="B9" s="968"/>
      <c r="C9" s="968"/>
      <c r="D9" s="968"/>
      <c r="E9" s="968"/>
      <c r="F9" s="968"/>
      <c r="G9" s="968"/>
      <c r="H9" s="968"/>
      <c r="I9" s="968"/>
    </row>
    <row r="10" spans="1:9" ht="9.75" customHeight="1">
      <c r="C10" s="969"/>
      <c r="D10" s="970"/>
      <c r="E10" s="970"/>
      <c r="F10" s="970"/>
      <c r="G10" s="970"/>
      <c r="H10" s="970"/>
      <c r="I10" s="970"/>
    </row>
    <row r="11" spans="1:9" s="18" customFormat="1" ht="19.5" customHeight="1">
      <c r="A11" s="971" t="s">
        <v>20</v>
      </c>
      <c r="B11" s="961" t="s">
        <v>1</v>
      </c>
      <c r="C11" s="972"/>
      <c r="D11" s="971" t="s">
        <v>0</v>
      </c>
      <c r="E11" s="971" t="s">
        <v>14</v>
      </c>
      <c r="F11" s="961" t="s">
        <v>21</v>
      </c>
      <c r="G11" s="972"/>
      <c r="H11" s="961" t="s">
        <v>31</v>
      </c>
      <c r="I11" s="962"/>
    </row>
    <row r="12" spans="1:9" s="18" customFormat="1" ht="32.25" customHeight="1">
      <c r="A12" s="971"/>
      <c r="B12" s="242" t="s">
        <v>15</v>
      </c>
      <c r="C12" s="242" t="s">
        <v>32</v>
      </c>
      <c r="D12" s="971"/>
      <c r="E12" s="97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30896740</v>
      </c>
      <c r="H15" s="247">
        <f ca="1">IF(D15&lt;&gt;"",MAX(H14+F15-G15-I14,0),0)</f>
        <v>0</v>
      </c>
      <c r="I15" s="247">
        <f ca="1">IF(D15&lt;&gt;"",MAX(I14+G15-H14-F15,0),0)</f>
        <v>30896740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30881740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30866740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30851740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30836740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30821740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30806740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30791740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30776740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30756740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30741740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30726740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30706740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30686740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30671740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30656740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30636740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30621740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30606740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30591740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30576740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30556740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30541740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30526740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30511740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30496740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30481740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30436740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30421740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30406740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30391740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30376740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30361740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30346740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29801388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28886082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28042539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27398591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26754643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25754643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25540738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24706980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22749874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21903965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20602009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17302009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30896740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17302009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60" t="str">
        <f ca="1">"Ngày 31 tháng  12  năm  "&amp;YEAR($A$15)</f>
        <v>Ngày 31 tháng  12  năm  2014</v>
      </c>
      <c r="F67" s="960"/>
      <c r="G67" s="960"/>
      <c r="H67" s="960"/>
      <c r="I67" s="960"/>
    </row>
    <row r="68" spans="1:9" s="18" customFormat="1" ht="12.75">
      <c r="A68" s="960" t="s">
        <v>11</v>
      </c>
      <c r="B68" s="960"/>
      <c r="C68" s="960"/>
      <c r="D68" s="960"/>
      <c r="E68" s="960" t="s">
        <v>12</v>
      </c>
      <c r="F68" s="960"/>
      <c r="G68" s="960"/>
      <c r="H68" s="960"/>
      <c r="I68" s="960"/>
    </row>
    <row r="69" spans="1:9" s="18" customFormat="1" ht="12.75">
      <c r="A69" s="960" t="s">
        <v>13</v>
      </c>
      <c r="B69" s="960"/>
      <c r="C69" s="960"/>
      <c r="D69" s="960"/>
      <c r="E69" s="960" t="s">
        <v>13</v>
      </c>
      <c r="F69" s="960"/>
      <c r="G69" s="960"/>
      <c r="H69" s="960"/>
      <c r="I69" s="96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3"/>
      <c r="B76" s="973"/>
      <c r="C76" s="973"/>
      <c r="D76" s="97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3" t="s">
        <v>119</v>
      </c>
      <c r="H1" s="963"/>
      <c r="I1" s="963"/>
      <c r="J1" s="96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4"/>
      <c r="I2" s="964"/>
      <c r="J2" s="964"/>
    </row>
    <row r="3" spans="1:15" s="3" customFormat="1" ht="16.5" customHeight="1">
      <c r="A3" s="4"/>
      <c r="B3" s="16"/>
      <c r="C3" s="109"/>
      <c r="D3" s="109"/>
      <c r="E3" s="16"/>
      <c r="G3" s="964"/>
      <c r="H3" s="964"/>
      <c r="I3" s="964"/>
      <c r="J3" s="96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4" t="s">
        <v>120</v>
      </c>
      <c r="B5" s="974"/>
      <c r="C5" s="974"/>
      <c r="D5" s="974"/>
      <c r="E5" s="974"/>
      <c r="F5" s="974"/>
      <c r="G5" s="974"/>
      <c r="H5" s="974"/>
      <c r="I5" s="974"/>
      <c r="J5" s="974"/>
    </row>
    <row r="6" spans="1:15" ht="14.25" customHeight="1">
      <c r="A6" s="976" t="str">
        <f ca="1">$L$11&amp;" / "&amp;YEAR($A$14)</f>
        <v>Quý III / 2014</v>
      </c>
      <c r="B6" s="976"/>
      <c r="C6" s="976"/>
      <c r="D6" s="976"/>
      <c r="E6" s="976"/>
      <c r="F6" s="976"/>
      <c r="G6" s="976"/>
      <c r="H6" s="976"/>
      <c r="I6" s="976"/>
      <c r="J6" s="976"/>
    </row>
    <row r="7" spans="1:15">
      <c r="A7" s="975" t="s">
        <v>121</v>
      </c>
      <c r="B7" s="975"/>
      <c r="C7" s="975"/>
      <c r="D7" s="975"/>
      <c r="E7" s="975"/>
      <c r="F7" s="975"/>
      <c r="G7" s="975"/>
      <c r="H7" s="975"/>
      <c r="I7" s="975"/>
      <c r="J7" s="975"/>
    </row>
    <row r="8" spans="1:15">
      <c r="A8" s="975" t="s">
        <v>122</v>
      </c>
      <c r="B8" s="975"/>
      <c r="C8" s="975"/>
      <c r="D8" s="975"/>
      <c r="E8" s="975"/>
      <c r="F8" s="975"/>
      <c r="G8" s="975"/>
      <c r="H8" s="975"/>
      <c r="I8" s="975"/>
      <c r="J8" s="975"/>
    </row>
    <row r="9" spans="1:15">
      <c r="A9" s="112"/>
      <c r="I9" s="112" t="s">
        <v>123</v>
      </c>
    </row>
    <row r="10" spans="1:15" ht="33" customHeight="1" thickBot="1">
      <c r="A10" s="978" t="s">
        <v>20</v>
      </c>
      <c r="B10" s="978" t="s">
        <v>124</v>
      </c>
      <c r="C10" s="977" t="s">
        <v>125</v>
      </c>
      <c r="D10" s="977"/>
      <c r="E10" s="977" t="s">
        <v>0</v>
      </c>
      <c r="F10" s="978" t="s">
        <v>14</v>
      </c>
      <c r="G10" s="977" t="s">
        <v>21</v>
      </c>
      <c r="H10" s="977"/>
      <c r="I10" s="977" t="s">
        <v>126</v>
      </c>
      <c r="J10" s="977" t="s">
        <v>127</v>
      </c>
      <c r="L10" s="577"/>
      <c r="N10" s="958" t="s">
        <v>325</v>
      </c>
      <c r="O10" s="958"/>
    </row>
    <row r="11" spans="1:15" ht="24" customHeight="1" thickBot="1">
      <c r="A11" s="979"/>
      <c r="B11" s="979"/>
      <c r="C11" s="113" t="s">
        <v>128</v>
      </c>
      <c r="D11" s="113" t="s">
        <v>129</v>
      </c>
      <c r="E11" s="977"/>
      <c r="F11" s="979"/>
      <c r="G11" s="113" t="s">
        <v>22</v>
      </c>
      <c r="H11" s="113" t="s">
        <v>23</v>
      </c>
      <c r="I11" s="977"/>
      <c r="J11" s="977"/>
      <c r="L11" s="178" t="s">
        <v>410</v>
      </c>
      <c r="N11" s="597">
        <f>IF(L11="Quý I",1,IF(L11="Quý II",4,IF(L11="Quý III",7,IF(L11="Quý IV",10,""))))</f>
        <v>7</v>
      </c>
      <c r="O11" s="59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8"/>
      <c r="O12" s="59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1312840644</v>
      </c>
      <c r="J13" s="117"/>
      <c r="N13" s="599"/>
      <c r="O13" s="599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1309540644</v>
      </c>
      <c r="J14" s="126"/>
      <c r="N14" s="600"/>
      <c r="O14" s="600"/>
    </row>
    <row r="15" spans="1:15" ht="21.75" customHeight="1">
      <c r="A15" s="120">
        <f ca="1">IF(ROWS($1:2)&gt;COUNT(Dong1),"",OFFSET(TH!C$1,SMALL(Dong1,ROWS($1:2)),))</f>
        <v>41841</v>
      </c>
      <c r="B15" s="120">
        <f ca="1">IF(ROWS($1:2)&gt;COUNT(Dong1),"",OFFSET(TH!E$1,SMALL(Dong1,ROWS($1:2)),))</f>
        <v>41841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16600000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1326140644</v>
      </c>
      <c r="J15" s="126"/>
      <c r="N15" s="600"/>
      <c r="O15" s="600"/>
    </row>
    <row r="16" spans="1:15" ht="21.75" customHeight="1">
      <c r="A16" s="120">
        <f ca="1">IF(ROWS($1:3)&gt;COUNT(Dong1),"",OFFSET(TH!C$1,SMALL(Dong1,ROWS($1:3)),))</f>
        <v>41872</v>
      </c>
      <c r="B16" s="120">
        <f ca="1">IF(ROWS($1:3)&gt;COUNT(Dong1),"",OFFSET(TH!E$1,SMALL(Dong1,ROWS($1:3)),))</f>
        <v>41872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35000000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1361140644</v>
      </c>
      <c r="J16" s="126"/>
      <c r="N16" s="600"/>
      <c r="O16" s="600"/>
    </row>
    <row r="17" spans="1:15" ht="21.75" customHeight="1">
      <c r="A17" s="120">
        <f ca="1">IF(ROWS($1:4)&gt;COUNT(Dong1),"",OFFSET(TH!C$1,SMALL(Dong1,ROWS($1:4)),))</f>
        <v>41891</v>
      </c>
      <c r="B17" s="120">
        <f ca="1">IF(ROWS($1:4)&gt;COUNT(Dong1),"",OFFSET(TH!E$1,SMALL(Dong1,ROWS($1:4)),))</f>
        <v>41891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26300000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1387440644</v>
      </c>
      <c r="J17" s="126"/>
      <c r="N17" s="600"/>
      <c r="O17" s="600"/>
    </row>
    <row r="18" spans="1:15" ht="21.75" customHeight="1">
      <c r="A18" s="120">
        <f ca="1">IF(ROWS($1:5)&gt;COUNT(Dong1),"",OFFSET(TH!C$1,SMALL(Dong1,ROWS($1:5)),))</f>
        <v>41895</v>
      </c>
      <c r="B18" s="120">
        <f ca="1">IF(ROWS($1:5)&gt;COUNT(Dong1),"",OFFSET(TH!E$1,SMALL(Dong1,ROWS($1:5)),))</f>
        <v>41895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62600000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1450040644</v>
      </c>
      <c r="J18" s="126"/>
      <c r="N18" s="600"/>
      <c r="O18" s="600"/>
    </row>
    <row r="19" spans="1:15" ht="21.75" customHeight="1">
      <c r="A19" s="120">
        <f ca="1">IF(ROWS($1:6)&gt;COUNT(Dong1),"",OFFSET(TH!C$1,SMALL(Dong1,ROWS($1:6)),))</f>
        <v>41898</v>
      </c>
      <c r="B19" s="120">
        <f ca="1">IF(ROWS($1:6)&gt;COUNT(Dong1),"",OFFSET(TH!E$1,SMALL(Dong1,ROWS($1:6)),))</f>
        <v>41898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16800000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1466840644</v>
      </c>
      <c r="J19" s="126"/>
      <c r="N19" s="600"/>
      <c r="O19" s="600"/>
    </row>
    <row r="20" spans="1:15" ht="21.75" customHeight="1">
      <c r="A20" s="120">
        <f ca="1">IF(ROWS($1:7)&gt;COUNT(Dong1),"",OFFSET(TH!C$1,SMALL(Dong1,ROWS($1:7)),))</f>
        <v>41906</v>
      </c>
      <c r="B20" s="120">
        <f ca="1">IF(ROWS($1:7)&gt;COUNT(Dong1),"",OFFSET(TH!E$1,SMALL(Dong1,ROWS($1:7)),))</f>
        <v>41906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11500000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1478340644</v>
      </c>
      <c r="J20" s="126"/>
      <c r="N20" s="600"/>
      <c r="O20" s="600"/>
    </row>
    <row r="21" spans="1:15" ht="21.75" customHeight="1">
      <c r="A21" s="120">
        <f ca="1">IF(ROWS($1:8)&gt;COUNT(Dong1),"",OFFSET(TH!C$1,SMALL(Dong1,ROWS($1:8)),))</f>
        <v>41821</v>
      </c>
      <c r="B21" s="120">
        <f ca="1">IF(ROWS($1:8)&gt;COUNT(Dong1),"",OFFSET(TH!E$1,SMALL(Dong1,ROWS($1:8)),))</f>
        <v>41821</v>
      </c>
      <c r="C21" s="121" t="str">
        <f ca="1">IF(ROWS($1:8)&gt;COUNT(Dong1),"",IF(OFFSET(TH!L$1,SMALL(Dong1,ROWS($1:8)),)="1111",OFFSET(TH!D$1,SMALL(Dong1,ROWS($1:8)),),""))</f>
        <v/>
      </c>
      <c r="D21" s="122">
        <f ca="1">IF(ROWS($1:8)&gt;COUNT(Dong1),"",IF(OFFSET(TH!M$1,SMALL(Dong1,ROWS($1:8)),)="1111",OFFSET(TH!D$1,SMALL(Dong1,ROWS($1:8)),),""))</f>
        <v>0</v>
      </c>
      <c r="E21" s="229" t="str">
        <f ca="1">IF(ROWS($1:8)&gt;COUNT(Dong1),"",OFFSET(TH!F$1,SMALL(Dong1,ROWS($1:8)),))</f>
        <v>Thanh toán tiền hàng</v>
      </c>
      <c r="F21" s="124" t="str">
        <f ca="1">IF(ROWS($1:8)&gt;COUNT(Dong1),"",IF(OFFSET(TH!M$1,SMALL(Dong1,ROWS($1:8)),)="1111",OFFSET(TH!L$1,SMALL(Dong1,ROWS($1:8)),),OFFSET(TH!M$1,SMALL(Dong1,ROWS($1:8)),)))</f>
        <v>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1188000</v>
      </c>
      <c r="I21" s="121">
        <f t="shared" ca="1" si="0"/>
        <v>1477152644</v>
      </c>
      <c r="J21" s="126"/>
      <c r="N21" s="600"/>
      <c r="O21" s="600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Thuế TNDN</v>
      </c>
      <c r="F22" s="124" t="str">
        <f ca="1">IF(ROWS($1:9)&gt;COUNT(Dong1),"",IF(OFFSET(TH!M$1,SMALL(Dong1,ROWS($1:9)),)="1111",OFFSET(TH!L$1,SMALL(Dong1,ROWS($1:9)),),OFFSET(TH!M$1,SMALL(Dong1,ROWS($1:9)),)))</f>
        <v>3334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731479</v>
      </c>
      <c r="I22" s="121">
        <f t="shared" ca="1" si="0"/>
        <v>1476421165</v>
      </c>
      <c r="J22" s="126"/>
      <c r="N22" s="600"/>
      <c r="O22" s="600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Thuế GTGT</v>
      </c>
      <c r="F23" s="124" t="str">
        <f ca="1">IF(ROWS($1:10)&gt;COUNT(Dong1),"",IF(OFFSET(TH!M$1,SMALL(Dong1,ROWS($1:10)),)="1111",OFFSET(TH!L$1,SMALL(Dong1,ROWS($1:10)),),OFFSET(TH!M$1,SMALL(Dong1,ROWS($1:10)),)))</f>
        <v>3388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13656813</v>
      </c>
      <c r="I23" s="121">
        <f t="shared" ca="1" si="0"/>
        <v>1462764352</v>
      </c>
      <c r="J23" s="126"/>
      <c r="N23" s="600"/>
      <c r="O23" s="600"/>
    </row>
    <row r="24" spans="1:15" ht="21.75" customHeight="1">
      <c r="A24" s="120">
        <f ca="1">IF(ROWS($1:11)&gt;COUNT(Dong1),"",OFFSET(TH!C$1,SMALL(Dong1,ROWS($1:11)),))</f>
        <v>41821</v>
      </c>
      <c r="B24" s="120">
        <f ca="1">IF(ROWS($1:11)&gt;COUNT(Dong1),"",OFFSET(TH!E$1,SMALL(Dong1,ROWS($1:11)),))</f>
        <v>41821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Phạt chậm nộp</v>
      </c>
      <c r="F24" s="124" t="str">
        <f ca="1">IF(ROWS($1:11)&gt;COUNT(Dong1),"",IF(OFFSET(TH!M$1,SMALL(Dong1,ROWS($1:11)),)="1111",OFFSET(TH!L$1,SMALL(Dong1,ROWS($1:11)),),OFFSET(TH!M$1,SMALL(Dong1,ROWS($1:11)),)))</f>
        <v>811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1611708</v>
      </c>
      <c r="I24" s="121">
        <f t="shared" ca="1" si="0"/>
        <v>1461152644</v>
      </c>
      <c r="J24" s="126"/>
      <c r="N24" s="600"/>
      <c r="O24" s="600"/>
    </row>
    <row r="25" spans="1:15" ht="21.75" customHeight="1">
      <c r="A25" s="120">
        <f ca="1">IF(ROWS($1:12)&gt;COUNT(Dong1),"",OFFSET(TH!C$1,SMALL(Dong1,ROWS($1:12)),))</f>
        <v>41836</v>
      </c>
      <c r="B25" s="120">
        <f ca="1">IF(ROWS($1:12)&gt;COUNT(Dong1),"",OFFSET(TH!E$1,SMALL(Dong1,ROWS($1:12)),))</f>
        <v>41836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Cước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1061538</v>
      </c>
      <c r="I25" s="121">
        <f t="shared" ca="1" si="0"/>
        <v>1460091106</v>
      </c>
      <c r="J25" s="126"/>
      <c r="N25" s="600"/>
      <c r="O25" s="600"/>
    </row>
    <row r="26" spans="1:15" ht="21.75" customHeight="1">
      <c r="A26" s="120">
        <f ca="1">IF(ROWS($1:13)&gt;COUNT(Dong1),"",OFFSET(TH!C$1,SMALL(Dong1,ROWS($1:13)),))</f>
        <v>41836</v>
      </c>
      <c r="B26" s="120">
        <f ca="1">IF(ROWS($1:13)&gt;COUNT(Dong1),"",OFFSET(TH!E$1,SMALL(Dong1,ROWS($1:13)),))</f>
        <v>41836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VAT Cước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106154</v>
      </c>
      <c r="I26" s="121">
        <f t="shared" ca="1" si="0"/>
        <v>1459984952</v>
      </c>
      <c r="J26" s="126"/>
      <c r="N26" s="600"/>
      <c r="O26" s="600"/>
    </row>
    <row r="27" spans="1:15" ht="21.75" customHeight="1">
      <c r="A27" s="120">
        <f ca="1">IF(ROWS($1:14)&gt;COUNT(Dong1),"",OFFSET(TH!C$1,SMALL(Dong1,ROWS($1:14)),))</f>
        <v>41838</v>
      </c>
      <c r="B27" s="120">
        <f ca="1">IF(ROWS($1:14)&gt;COUNT(Dong1),"",OFFSET(TH!E$1,SMALL(Dong1,ROWS($1:14)),))</f>
        <v>41838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4070000</v>
      </c>
      <c r="I27" s="121">
        <f t="shared" ca="1" si="0"/>
        <v>1455914952</v>
      </c>
      <c r="J27" s="126"/>
      <c r="N27" s="600"/>
      <c r="O27" s="600"/>
    </row>
    <row r="28" spans="1:15" ht="21.75" customHeight="1">
      <c r="A28" s="120">
        <f ca="1">IF(ROWS($1:15)&gt;COUNT(Dong1),"",OFFSET(TH!C$1,SMALL(Dong1,ROWS($1:15)),))</f>
        <v>41838</v>
      </c>
      <c r="B28" s="120">
        <f ca="1">IF(ROWS($1:15)&gt;COUNT(Dong1),"",OFFSET(TH!E$1,SMALL(Dong1,ROWS($1:15)),))</f>
        <v>41838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407000</v>
      </c>
      <c r="I28" s="121">
        <f t="shared" ca="1" si="0"/>
        <v>1455507952</v>
      </c>
      <c r="J28" s="126"/>
      <c r="N28" s="600"/>
      <c r="O28" s="600"/>
    </row>
    <row r="29" spans="1:15" ht="21.75" customHeight="1">
      <c r="A29" s="120">
        <f ca="1">IF(ROWS($1:16)&gt;COUNT(Dong1),"",OFFSET(TH!C$1,SMALL(Dong1,ROWS($1:16)),))</f>
        <v>41842</v>
      </c>
      <c r="B29" s="120">
        <f ca="1">IF(ROWS($1:16)&gt;COUNT(Dong1),"",OFFSET(TH!E$1,SMALL(Dong1,ROWS($1:16)),))</f>
        <v>41842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Tinh bột 69 B</v>
      </c>
      <c r="F29" s="124" t="str">
        <f ca="1">IF(ROWS($1:16)&gt;COUNT(Dong1),"",IF(OFFSET(TH!M$1,SMALL(Dong1,ROWS($1:16)),)="1111",OFFSET(TH!L$1,SMALL(Dong1,ROWS($1:16)),),OFFSET(TH!M$1,SMALL(Dong1,ROWS($1:16)),)))</f>
        <v>1522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16500000</v>
      </c>
      <c r="I29" s="121">
        <f t="shared" ca="1" si="0"/>
        <v>1439007952</v>
      </c>
      <c r="J29" s="126"/>
      <c r="N29" s="600"/>
      <c r="O29" s="600"/>
    </row>
    <row r="30" spans="1:15" ht="21.75" customHeight="1">
      <c r="A30" s="120">
        <f ca="1">IF(ROWS($1:17)&gt;COUNT(Dong1),"",OFFSET(TH!C$1,SMALL(Dong1,ROWS($1:17)),))</f>
        <v>41842</v>
      </c>
      <c r="B30" s="120">
        <f ca="1">IF(ROWS($1:17)&gt;COUNT(Dong1),"",OFFSET(TH!E$1,SMALL(Dong1,ROWS($1:17)),))</f>
        <v>41842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Tinh bột 69 B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1650000</v>
      </c>
      <c r="I30" s="121">
        <f t="shared" ca="1" si="0"/>
        <v>1437357952</v>
      </c>
      <c r="J30" s="126"/>
      <c r="N30" s="600"/>
      <c r="O30" s="600"/>
    </row>
    <row r="31" spans="1:15" ht="21.75" customHeight="1">
      <c r="A31" s="120">
        <f ca="1">IF(ROWS($1:18)&gt;COUNT(Dong1),"",OFFSET(TH!C$1,SMALL(Dong1,ROWS($1:18)),))</f>
        <v>41844</v>
      </c>
      <c r="B31" s="120">
        <f ca="1">IF(ROWS($1:18)&gt;COUNT(Dong1),"",OFFSET(TH!E$1,SMALL(Dong1,ROWS($1:18)),))</f>
        <v>41844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Tiền điện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853620</v>
      </c>
      <c r="I31" s="121">
        <f t="shared" ca="1" si="0"/>
        <v>1436504332</v>
      </c>
      <c r="J31" s="126"/>
      <c r="N31" s="600"/>
      <c r="O31" s="600"/>
    </row>
    <row r="32" spans="1:15" ht="21.75" customHeight="1">
      <c r="A32" s="120">
        <f ca="1">IF(ROWS($1:19)&gt;COUNT(Dong1),"",OFFSET(TH!C$1,SMALL(Dong1,ROWS($1:19)),))</f>
        <v>41844</v>
      </c>
      <c r="B32" s="120">
        <f ca="1">IF(ROWS($1:19)&gt;COUNT(Dong1),"",OFFSET(TH!E$1,SMALL(Dong1,ROWS($1:19)),))</f>
        <v>41844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VAT Tiền điện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85362</v>
      </c>
      <c r="I32" s="121">
        <f t="shared" ca="1" si="0"/>
        <v>1436418970</v>
      </c>
      <c r="J32" s="126"/>
      <c r="N32" s="600"/>
      <c r="O32" s="600"/>
    </row>
    <row r="33" spans="1:15" ht="21.75" customHeight="1">
      <c r="A33" s="120">
        <f ca="1">IF(ROWS($1:20)&gt;COUNT(Dong1),"",OFFSET(TH!C$1,SMALL(Dong1,ROWS($1:20)),))</f>
        <v>41845</v>
      </c>
      <c r="B33" s="120">
        <f ca="1">IF(ROWS($1:20)&gt;COUNT(Dong1),"",OFFSET(TH!E$1,SMALL(Dong1,ROWS($1:20)),))</f>
        <v>41845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Thuế GTGT</v>
      </c>
      <c r="F33" s="124" t="str">
        <f ca="1">IF(ROWS($1:20)&gt;COUNT(Dong1),"",IF(OFFSET(TH!M$1,SMALL(Dong1,ROWS($1:20)),)="1111",OFFSET(TH!L$1,SMALL(Dong1,ROWS($1:20)),),OFFSET(TH!M$1,SMALL(Dong1,ROWS($1:20)),)))</f>
        <v>3388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3000000</v>
      </c>
      <c r="I33" s="121">
        <f t="shared" ca="1" si="0"/>
        <v>1433418970</v>
      </c>
      <c r="J33" s="126"/>
      <c r="N33" s="600"/>
      <c r="O33" s="600"/>
    </row>
    <row r="34" spans="1:15" ht="21.75" customHeight="1">
      <c r="A34" s="120">
        <f ca="1">IF(ROWS($1:21)&gt;COUNT(Dong1),"",OFFSET(TH!C$1,SMALL(Dong1,ROWS($1:21)),))</f>
        <v>41850</v>
      </c>
      <c r="B34" s="120">
        <f ca="1">IF(ROWS($1:21)&gt;COUNT(Dong1),"",OFFSET(TH!E$1,SMALL(Dong1,ROWS($1:21)),))</f>
        <v>41850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Tinh bột 69 B</v>
      </c>
      <c r="F34" s="124" t="str">
        <f ca="1">IF(ROWS($1:21)&gt;COUNT(Dong1),"",IF(OFFSET(TH!M$1,SMALL(Dong1,ROWS($1:21)),)="1111",OFFSET(TH!L$1,SMALL(Dong1,ROWS($1:21)),),OFFSET(TH!M$1,SMALL(Dong1,ROWS($1:21)),)))</f>
        <v>1522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16500000</v>
      </c>
      <c r="I34" s="121">
        <f t="shared" ca="1" si="0"/>
        <v>1416918970</v>
      </c>
      <c r="J34" s="126"/>
      <c r="N34" s="600"/>
      <c r="O34" s="600"/>
    </row>
    <row r="35" spans="1:15" ht="21.75" customHeight="1">
      <c r="A35" s="120">
        <f ca="1">IF(ROWS($1:22)&gt;COUNT(Dong1),"",OFFSET(TH!C$1,SMALL(Dong1,ROWS($1:22)),))</f>
        <v>41850</v>
      </c>
      <c r="B35" s="120">
        <f ca="1">IF(ROWS($1:22)&gt;COUNT(Dong1),"",OFFSET(TH!E$1,SMALL(Dong1,ROWS($1:22)),))</f>
        <v>41850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VAT Tinh bột 69 B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1650000</v>
      </c>
      <c r="I35" s="121">
        <f t="shared" ca="1" si="0"/>
        <v>1415268970</v>
      </c>
      <c r="J35" s="126"/>
      <c r="N35" s="600"/>
      <c r="O35" s="600"/>
    </row>
    <row r="36" spans="1:15" ht="21.75" customHeight="1">
      <c r="A36" s="120">
        <f ca="1">IF(ROWS($1:23)&gt;COUNT(Dong1),"",OFFSET(TH!C$1,SMALL(Dong1,ROWS($1:23)),))</f>
        <v>41857</v>
      </c>
      <c r="B36" s="120">
        <f ca="1">IF(ROWS($1:23)&gt;COUNT(Dong1),"",OFFSET(TH!E$1,SMALL(Dong1,ROWS($1:23)),))</f>
        <v>41857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Cước viễn thông</v>
      </c>
      <c r="F36" s="124" t="str">
        <f ca="1">IF(ROWS($1:23)&gt;COUNT(Dong1),"",IF(OFFSET(TH!M$1,SMALL(Dong1,ROWS($1:23)),)="1111",OFFSET(TH!L$1,SMALL(Dong1,ROWS($1:23)),),OFFSET(TH!M$1,SMALL(Dong1,ROWS($1:23)),)))</f>
        <v>642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521108</v>
      </c>
      <c r="I36" s="121">
        <f t="shared" ca="1" si="0"/>
        <v>1414747862</v>
      </c>
      <c r="J36" s="126"/>
      <c r="N36" s="600"/>
      <c r="O36" s="600"/>
    </row>
    <row r="37" spans="1:15" ht="21.75" customHeight="1">
      <c r="A37" s="120">
        <f ca="1">IF(ROWS($1:24)&gt;COUNT(Dong1),"",OFFSET(TH!C$1,SMALL(Dong1,ROWS($1:24)),))</f>
        <v>41857</v>
      </c>
      <c r="B37" s="120">
        <f ca="1">IF(ROWS($1:24)&gt;COUNT(Dong1),"",OFFSET(TH!E$1,SMALL(Dong1,ROWS($1:24)),))</f>
        <v>41857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VAT Cước viễn thông</v>
      </c>
      <c r="F37" s="124" t="str">
        <f ca="1">IF(ROWS($1:24)&gt;COUNT(Dong1),"",IF(OFFSET(TH!M$1,SMALL(Dong1,ROWS($1:24)),)="1111",OFFSET(TH!L$1,SMALL(Dong1,ROWS($1:24)),),OFFSET(TH!M$1,SMALL(Dong1,ROWS($1:24)),)))</f>
        <v>1331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52111</v>
      </c>
      <c r="I37" s="121">
        <f t="shared" ca="1" si="0"/>
        <v>1414695751</v>
      </c>
      <c r="J37" s="126"/>
      <c r="N37" s="600"/>
      <c r="O37" s="600"/>
    </row>
    <row r="38" spans="1:15" ht="21.75" customHeight="1">
      <c r="A38" s="120">
        <f ca="1">IF(ROWS($1:25)&gt;COUNT(Dong1),"",OFFSET(TH!C$1,SMALL(Dong1,ROWS($1:25)),))</f>
        <v>41857</v>
      </c>
      <c r="B38" s="120">
        <f ca="1">IF(ROWS($1:25)&gt;COUNT(Dong1),"",OFFSET(TH!E$1,SMALL(Dong1,ROWS($1:25)),))</f>
        <v>41857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Tinh bột 69 B</v>
      </c>
      <c r="F38" s="124" t="str">
        <f ca="1">IF(ROWS($1:25)&gt;COUNT(Dong1),"",IF(OFFSET(TH!M$1,SMALL(Dong1,ROWS($1:25)),)="1111",OFFSET(TH!L$1,SMALL(Dong1,ROWS($1:25)),),OFFSET(TH!M$1,SMALL(Dong1,ROWS($1:25)),)))</f>
        <v>1522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16500000</v>
      </c>
      <c r="I38" s="121">
        <f t="shared" ca="1" si="0"/>
        <v>1398195751</v>
      </c>
      <c r="J38" s="126"/>
      <c r="N38" s="600"/>
      <c r="O38" s="600"/>
    </row>
    <row r="39" spans="1:15" ht="21.75" customHeight="1">
      <c r="A39" s="120">
        <f ca="1">IF(ROWS($1:26)&gt;COUNT(Dong1),"",OFFSET(TH!C$1,SMALL(Dong1,ROWS($1:26)),))</f>
        <v>41857</v>
      </c>
      <c r="B39" s="120">
        <f ca="1">IF(ROWS($1:26)&gt;COUNT(Dong1),"",OFFSET(TH!E$1,SMALL(Dong1,ROWS($1:26)),))</f>
        <v>41857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VAT Tinh bột 69 B</v>
      </c>
      <c r="F39" s="124" t="str">
        <f ca="1">IF(ROWS($1:26)&gt;COUNT(Dong1),"",IF(OFFSET(TH!M$1,SMALL(Dong1,ROWS($1:26)),)="1111",OFFSET(TH!L$1,SMALL(Dong1,ROWS($1:26)),),OFFSET(TH!M$1,SMALL(Dong1,ROWS($1:26)),)))</f>
        <v>1331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1650000</v>
      </c>
      <c r="I39" s="121">
        <f t="shared" ca="1" si="0"/>
        <v>1396545751</v>
      </c>
      <c r="J39" s="126"/>
      <c r="N39" s="600"/>
      <c r="O39" s="600"/>
    </row>
    <row r="40" spans="1:15" ht="21.75" customHeight="1">
      <c r="A40" s="120">
        <f ca="1">IF(ROWS($1:27)&gt;COUNT(Dong1),"",OFFSET(TH!C$1,SMALL(Dong1,ROWS($1:27)),))</f>
        <v>41870</v>
      </c>
      <c r="B40" s="120">
        <f ca="1">IF(ROWS($1:27)&gt;COUNT(Dong1),"",OFFSET(TH!E$1,SMALL(Dong1,ROWS($1:27)),))</f>
        <v>41870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1188000</v>
      </c>
      <c r="I40" s="121">
        <f t="shared" ca="1" si="0"/>
        <v>1395357751</v>
      </c>
      <c r="J40" s="126"/>
      <c r="N40" s="600"/>
      <c r="O40" s="600"/>
    </row>
    <row r="41" spans="1:15" ht="21.75" customHeight="1">
      <c r="A41" s="120">
        <f ca="1">IF(ROWS($1:28)&gt;COUNT(Dong1),"",OFFSET(TH!C$1,SMALL(Dong1,ROWS($1:28)),))</f>
        <v>41872</v>
      </c>
      <c r="B41" s="120">
        <f ca="1">IF(ROWS($1:28)&gt;COUNT(Dong1),"",OFFSET(TH!E$1,SMALL(Dong1,ROWS($1:28)),))</f>
        <v>41872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Văn phòng phẩm</v>
      </c>
      <c r="F41" s="124" t="str">
        <f ca="1">IF(ROWS($1:28)&gt;COUNT(Dong1),"",IF(OFFSET(TH!M$1,SMALL(Dong1,ROWS($1:28)),)="1111",OFFSET(TH!L$1,SMALL(Dong1,ROWS($1:28)),),OFFSET(TH!M$1,SMALL(Dong1,ROWS($1:28)),)))</f>
        <v>642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857635</v>
      </c>
      <c r="I41" s="121">
        <f t="shared" ca="1" si="0"/>
        <v>1394500116</v>
      </c>
      <c r="J41" s="126"/>
      <c r="N41" s="600"/>
      <c r="O41" s="600"/>
    </row>
    <row r="42" spans="1:15" ht="21.75" customHeight="1">
      <c r="A42" s="120">
        <f ca="1">IF(ROWS($1:29)&gt;COUNT(Dong1),"",OFFSET(TH!C$1,SMALL(Dong1,ROWS($1:29)),))</f>
        <v>41872</v>
      </c>
      <c r="B42" s="120">
        <f ca="1">IF(ROWS($1:29)&gt;COUNT(Dong1),"",OFFSET(TH!E$1,SMALL(Dong1,ROWS($1:29)),))</f>
        <v>41872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VAT Văn phòng phẩm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85425</v>
      </c>
      <c r="I42" s="121">
        <f t="shared" ca="1" si="0"/>
        <v>1394414691</v>
      </c>
      <c r="J42" s="126"/>
      <c r="N42" s="600"/>
      <c r="O42" s="600"/>
    </row>
    <row r="43" spans="1:15" ht="21.75" customHeight="1">
      <c r="A43" s="120">
        <f ca="1">IF(ROWS($1:30)&gt;COUNT(Dong1),"",OFFSET(TH!C$1,SMALL(Dong1,ROWS($1:30)),))</f>
        <v>41873</v>
      </c>
      <c r="B43" s="120">
        <f ca="1">IF(ROWS($1:30)&gt;COUNT(Dong1),"",OFFSET(TH!E$1,SMALL(Dong1,ROWS($1:30)),))</f>
        <v>41873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Tinh bột 69 B</v>
      </c>
      <c r="F43" s="124" t="str">
        <f ca="1">IF(ROWS($1:30)&gt;COUNT(Dong1),"",IF(OFFSET(TH!M$1,SMALL(Dong1,ROWS($1:30)),)="1111",OFFSET(TH!L$1,SMALL(Dong1,ROWS($1:30)),),OFFSET(TH!M$1,SMALL(Dong1,ROWS($1:30)),)))</f>
        <v>1522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16500000</v>
      </c>
      <c r="I43" s="121">
        <f t="shared" ca="1" si="0"/>
        <v>1377914691</v>
      </c>
      <c r="J43" s="126"/>
      <c r="N43" s="600"/>
      <c r="O43" s="600"/>
    </row>
    <row r="44" spans="1:15" ht="21.75" customHeight="1">
      <c r="A44" s="120">
        <f ca="1">IF(ROWS($1:31)&gt;COUNT(Dong1),"",OFFSET(TH!C$1,SMALL(Dong1,ROWS($1:31)),))</f>
        <v>41873</v>
      </c>
      <c r="B44" s="120">
        <f ca="1">IF(ROWS($1:31)&gt;COUNT(Dong1),"",OFFSET(TH!E$1,SMALL(Dong1,ROWS($1:31)),))</f>
        <v>41873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VAT Tinh bột 69 B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1650000</v>
      </c>
      <c r="I44" s="121">
        <f t="shared" ca="1" si="0"/>
        <v>1376264691</v>
      </c>
      <c r="J44" s="126"/>
      <c r="N44" s="600"/>
      <c r="O44" s="600"/>
    </row>
    <row r="45" spans="1:15" ht="21.75" customHeight="1">
      <c r="A45" s="120">
        <f ca="1">IF(ROWS($1:32)&gt;COUNT(Dong1),"",OFFSET(TH!C$1,SMALL(Dong1,ROWS($1:32)),))</f>
        <v>41875</v>
      </c>
      <c r="B45" s="120">
        <f ca="1">IF(ROWS($1:32)&gt;COUNT(Dong1),"",OFFSET(TH!E$1,SMALL(Dong1,ROWS($1:32)),))</f>
        <v>41875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Tiền điện</v>
      </c>
      <c r="F45" s="124" t="str">
        <f ca="1">IF(ROWS($1:32)&gt;COUNT(Dong1),"",IF(OFFSET(TH!M$1,SMALL(Dong1,ROWS($1:32)),)="1111",OFFSET(TH!L$1,SMALL(Dong1,ROWS($1:32)),),OFFSET(TH!M$1,SMALL(Dong1,ROWS($1:32)),)))</f>
        <v>642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966048</v>
      </c>
      <c r="I45" s="121">
        <f t="shared" ca="1" si="0"/>
        <v>1375298643</v>
      </c>
      <c r="J45" s="126"/>
      <c r="N45" s="600"/>
      <c r="O45" s="600"/>
    </row>
    <row r="46" spans="1:15" ht="21.75" customHeight="1">
      <c r="A46" s="120">
        <f ca="1">IF(ROWS($1:33)&gt;COUNT(Dong1),"",OFFSET(TH!C$1,SMALL(Dong1,ROWS($1:33)),))</f>
        <v>41875</v>
      </c>
      <c r="B46" s="120">
        <f ca="1">IF(ROWS($1:33)&gt;COUNT(Dong1),"",OFFSET(TH!E$1,SMALL(Dong1,ROWS($1:33)),))</f>
        <v>41875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VAT Tiền điện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96605</v>
      </c>
      <c r="I46" s="121">
        <f t="shared" ca="1" si="0"/>
        <v>1375202038</v>
      </c>
      <c r="J46" s="126"/>
      <c r="N46" s="600"/>
      <c r="O46" s="600"/>
    </row>
    <row r="47" spans="1:15" ht="21.75" customHeight="1">
      <c r="A47" s="120">
        <f ca="1">IF(ROWS($1:34)&gt;COUNT(Dong1),"",OFFSET(TH!C$1,SMALL(Dong1,ROWS($1:34)),))</f>
        <v>41881</v>
      </c>
      <c r="B47" s="120">
        <f ca="1">IF(ROWS($1:34)&gt;COUNT(Dong1),"",OFFSET(TH!E$1,SMALL(Dong1,ROWS($1:34)),))</f>
        <v>41881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Mực in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2420000</v>
      </c>
      <c r="I47" s="121">
        <f t="shared" ca="1" si="0"/>
        <v>1372782038</v>
      </c>
      <c r="J47" s="126"/>
      <c r="N47" s="600"/>
      <c r="O47" s="600"/>
    </row>
    <row r="48" spans="1:15" ht="21.75" customHeight="1">
      <c r="A48" s="120">
        <f ca="1">IF(ROWS($1:35)&gt;COUNT(Dong1),"",OFFSET(TH!C$1,SMALL(Dong1,ROWS($1:35)),))</f>
        <v>41881</v>
      </c>
      <c r="B48" s="120">
        <f ca="1">IF(ROWS($1:35)&gt;COUNT(Dong1),"",OFFSET(TH!E$1,SMALL(Dong1,ROWS($1:35)),))</f>
        <v>41881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242000</v>
      </c>
      <c r="I48" s="121">
        <f t="shared" ca="1" si="0"/>
        <v>1372540038</v>
      </c>
      <c r="J48" s="126"/>
      <c r="N48" s="600"/>
      <c r="O48" s="600"/>
    </row>
    <row r="49" spans="1:15" ht="21.75" customHeight="1">
      <c r="A49" s="120">
        <f ca="1">IF(ROWS($1:36)&gt;COUNT(Dong1),"",OFFSET(TH!C$1,SMALL(Dong1,ROWS($1:36)),))</f>
        <v>41889</v>
      </c>
      <c r="B49" s="120">
        <f ca="1">IF(ROWS($1:36)&gt;COUNT(Dong1),"",OFFSET(TH!E$1,SMALL(Dong1,ROWS($1:36)),))</f>
        <v>41889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Cước viễn thông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607871</v>
      </c>
      <c r="I49" s="121">
        <f t="shared" ca="1" si="0"/>
        <v>1371932167</v>
      </c>
      <c r="J49" s="126"/>
      <c r="N49" s="600"/>
      <c r="O49" s="600"/>
    </row>
    <row r="50" spans="1:15" ht="21.75" customHeight="1">
      <c r="A50" s="120">
        <f ca="1">IF(ROWS($1:37)&gt;COUNT(Dong1),"",OFFSET(TH!C$1,SMALL(Dong1,ROWS($1:37)),))</f>
        <v>41889</v>
      </c>
      <c r="B50" s="120">
        <f ca="1">IF(ROWS($1:37)&gt;COUNT(Dong1),"",OFFSET(TH!E$1,SMALL(Dong1,ROWS($1:37)),))</f>
        <v>41889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VAT Cước viễn thông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60787</v>
      </c>
      <c r="I50" s="121">
        <f t="shared" ca="1" si="0"/>
        <v>1371871380</v>
      </c>
      <c r="J50" s="126"/>
    </row>
    <row r="51" spans="1:15" ht="21.75" customHeight="1">
      <c r="A51" s="120">
        <f ca="1">IF(ROWS($1:38)&gt;COUNT(Dong1),"",OFFSET(TH!C$1,SMALL(Dong1,ROWS($1:38)),))</f>
        <v>41897</v>
      </c>
      <c r="B51" s="120">
        <f ca="1">IF(ROWS($1:38)&gt;COUNT(Dong1),"",OFFSET(TH!E$1,SMALL(Dong1,ROWS($1:38)),))</f>
        <v>41897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Mực in</v>
      </c>
      <c r="F51" s="124" t="str">
        <f ca="1">IF(ROWS($1:38)&gt;COUNT(Dong1),"",IF(OFFSET(TH!M$1,SMALL(Dong1,ROWS($1:38)),)="1111",OFFSET(TH!L$1,SMALL(Dong1,ROWS($1:38)),),OFFSET(TH!M$1,SMALL(Dong1,ROWS($1:38)),)))</f>
        <v>154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4665000</v>
      </c>
      <c r="I51" s="121">
        <f t="shared" ca="1" si="0"/>
        <v>1367206380</v>
      </c>
      <c r="J51" s="126"/>
    </row>
    <row r="52" spans="1:15" ht="21.75" customHeight="1">
      <c r="A52" s="120">
        <f ca="1">IF(ROWS($1:39)&gt;COUNT(Dong1),"",OFFSET(TH!C$1,SMALL(Dong1,ROWS($1:39)),))</f>
        <v>41897</v>
      </c>
      <c r="B52" s="120">
        <f ca="1">IF(ROWS($1:39)&gt;COUNT(Dong1),"",OFFSET(TH!E$1,SMALL(Dong1,ROWS($1:39)),))</f>
        <v>41897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VAT Mực in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466500</v>
      </c>
      <c r="I52" s="121">
        <f t="shared" ca="1" si="0"/>
        <v>1366739880</v>
      </c>
      <c r="J52" s="126"/>
    </row>
    <row r="53" spans="1:15" ht="21.75" customHeight="1">
      <c r="A53" s="120">
        <f ca="1">IF(ROWS($1:40)&gt;COUNT(Dong1),"",OFFSET(TH!C$1,SMALL(Dong1,ROWS($1:40)),))</f>
        <v>41902</v>
      </c>
      <c r="B53" s="120">
        <f ca="1">IF(ROWS($1:40)&gt;COUNT(Dong1),"",OFFSET(TH!E$1,SMALL(Dong1,ROWS($1:40)),))</f>
        <v>41902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1188000</v>
      </c>
      <c r="I53" s="121">
        <f t="shared" ca="1" si="0"/>
        <v>1365551880</v>
      </c>
      <c r="J53" s="126"/>
    </row>
    <row r="54" spans="1:15" ht="21.75" customHeight="1">
      <c r="A54" s="120">
        <f ca="1">IF(ROWS($1:41)&gt;COUNT(Dong1),"",OFFSET(TH!C$1,SMALL(Dong1,ROWS($1:41)),))</f>
        <v>41907</v>
      </c>
      <c r="B54" s="120">
        <f ca="1">IF(ROWS($1:41)&gt;COUNT(Dong1),"",OFFSET(TH!E$1,SMALL(Dong1,ROWS($1:41)),))</f>
        <v>41907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Mực in</v>
      </c>
      <c r="F54" s="124" t="str">
        <f ca="1">IF(ROWS($1:41)&gt;COUNT(Dong1),"",IF(OFFSET(TH!M$1,SMALL(Dong1,ROWS($1:41)),)="1111",OFFSET(TH!L$1,SMALL(Dong1,ROWS($1:41)),),OFFSET(TH!M$1,SMALL(Dong1,ROWS($1:41)),)))</f>
        <v>154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3535000</v>
      </c>
      <c r="I54" s="121">
        <f t="shared" ca="1" si="0"/>
        <v>1362016880</v>
      </c>
      <c r="J54" s="126"/>
    </row>
    <row r="55" spans="1:15" ht="21.75" customHeight="1">
      <c r="A55" s="120">
        <f ca="1">IF(ROWS($1:42)&gt;COUNT(Dong1),"",OFFSET(TH!C$1,SMALL(Dong1,ROWS($1:42)),))</f>
        <v>41907</v>
      </c>
      <c r="B55" s="120">
        <f ca="1">IF(ROWS($1:42)&gt;COUNT(Dong1),"",OFFSET(TH!E$1,SMALL(Dong1,ROWS($1:42)),))</f>
        <v>41907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VAT Mực in</v>
      </c>
      <c r="F55" s="124" t="str">
        <f ca="1">IF(ROWS($1:42)&gt;COUNT(Dong1),"",IF(OFFSET(TH!M$1,SMALL(Dong1,ROWS($1:42)),)="1111",OFFSET(TH!L$1,SMALL(Dong1,ROWS($1:42)),),OFFSET(TH!M$1,SMALL(Dong1,ROWS($1:42)),)))</f>
        <v>1331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353500</v>
      </c>
      <c r="I55" s="121">
        <f t="shared" ca="1" si="0"/>
        <v>1361663380</v>
      </c>
      <c r="J55" s="126"/>
    </row>
    <row r="56" spans="1:15" ht="21.75" customHeight="1">
      <c r="A56" s="120">
        <f ca="1">IF(ROWS($1:43)&gt;COUNT(Dong1),"",OFFSET(TH!C$1,SMALL(Dong1,ROWS($1:43)),))</f>
        <v>41845</v>
      </c>
      <c r="B56" s="120">
        <f ca="1">IF(ROWS($1:43)&gt;COUNT(Dong1),"",OFFSET(TH!E$1,SMALL(Dong1,ROWS($1:43)),))</f>
        <v>41845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GBC</v>
      </c>
      <c r="E56" s="229" t="str">
        <f ca="1">IF(ROWS($1:43)&gt;COUNT(Dong1),"",OFFSET(TH!F$1,SMALL(Dong1,ROWS($1:43)),))</f>
        <v>Nộp TM</v>
      </c>
      <c r="F56" s="124" t="str">
        <f ca="1">IF(ROWS($1:43)&gt;COUNT(Dong1),"",IF(OFFSET(TH!M$1,SMALL(Dong1,ROWS($1:43)),)="1111",OFFSET(TH!L$1,SMALL(Dong1,ROWS($1:43)),),OFFSET(TH!M$1,SMALL(Dong1,ROWS($1:43)),)))</f>
        <v>1121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12841000</v>
      </c>
      <c r="I56" s="121">
        <f t="shared" ca="1" si="0"/>
        <v>1348822380</v>
      </c>
      <c r="J56" s="126"/>
    </row>
    <row r="57" spans="1:15" ht="21.75" customHeight="1">
      <c r="A57" s="120">
        <f ca="1">IF(ROWS($1:44)&gt;COUNT(Dong1),"",OFFSET(TH!C$1,SMALL(Dong1,ROWS($1:44)),))</f>
        <v>41851</v>
      </c>
      <c r="B57" s="120">
        <f ca="1">IF(ROWS($1:44)&gt;COUNT(Dong1),"",OFFSET(TH!E$1,SMALL(Dong1,ROWS($1:44)),))</f>
        <v>41851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GBC</v>
      </c>
      <c r="E57" s="229" t="str">
        <f ca="1">IF(ROWS($1:44)&gt;COUNT(Dong1),"",OFFSET(TH!F$1,SMALL(Dong1,ROWS($1:44)),))</f>
        <v>Nộp TM</v>
      </c>
      <c r="F57" s="124" t="str">
        <f ca="1">IF(ROWS($1:44)&gt;COUNT(Dong1),"",IF(OFFSET(TH!M$1,SMALL(Dong1,ROWS($1:44)),)="1111",OFFSET(TH!L$1,SMALL(Dong1,ROWS($1:44)),),OFFSET(TH!M$1,SMALL(Dong1,ROWS($1:44)),)))</f>
        <v>1121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100000000</v>
      </c>
      <c r="I57" s="121">
        <f t="shared" ca="1" si="0"/>
        <v>1248822380</v>
      </c>
      <c r="J57" s="126"/>
    </row>
    <row r="58" spans="1:15" ht="21.75" customHeight="1">
      <c r="A58" s="120">
        <f ca="1">IF(ROWS($1:45)&gt;COUNT(Dong1),"",OFFSET(TH!C$1,SMALL(Dong1,ROWS($1:45)),))</f>
        <v>41877</v>
      </c>
      <c r="B58" s="120">
        <f ca="1">IF(ROWS($1:45)&gt;COUNT(Dong1),"",OFFSET(TH!E$1,SMALL(Dong1,ROWS($1:45)),))</f>
        <v>41877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GBC</v>
      </c>
      <c r="E58" s="229" t="str">
        <f ca="1">IF(ROWS($1:45)&gt;COUNT(Dong1),"",OFFSET(TH!F$1,SMALL(Dong1,ROWS($1:45)),))</f>
        <v>Nộp TM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12780000</v>
      </c>
      <c r="I58" s="121">
        <f t="shared" ca="1" si="0"/>
        <v>1236042380</v>
      </c>
      <c r="J58" s="126"/>
    </row>
    <row r="59" spans="1:15" ht="21.75" customHeight="1">
      <c r="A59" s="120">
        <f ca="1">IF(ROWS($1:46)&gt;COUNT(Dong1),"",OFFSET(TH!C$1,SMALL(Dong1,ROWS($1:46)),))</f>
        <v>41908</v>
      </c>
      <c r="B59" s="120">
        <f ca="1">IF(ROWS($1:46)&gt;COUNT(Dong1),"",OFFSET(TH!E$1,SMALL(Dong1,ROWS($1:46)),))</f>
        <v>41908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GBC</v>
      </c>
      <c r="E59" s="229" t="str">
        <f ca="1">IF(ROWS($1:46)&gt;COUNT(Dong1),"",OFFSET(TH!F$1,SMALL(Dong1,ROWS($1:46)),))</f>
        <v>Nộp TM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2780000</v>
      </c>
      <c r="I59" s="121">
        <f t="shared" ca="1" si="0"/>
        <v>1233262380</v>
      </c>
      <c r="J59" s="126"/>
    </row>
    <row r="60" spans="1:15" ht="21.75" customHeight="1">
      <c r="A60" s="120">
        <f ca="1">IF(ROWS($1:47)&gt;COUNT(Dong1),"",OFFSET(TH!C$1,SMALL(Dong1,ROWS($1:47)),))</f>
        <v>41908</v>
      </c>
      <c r="B60" s="120">
        <f ca="1">IF(ROWS($1:47)&gt;COUNT(Dong1),"",OFFSET(TH!E$1,SMALL(Dong1,ROWS($1:47)),))</f>
        <v>41908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GBC</v>
      </c>
      <c r="E60" s="229" t="str">
        <f ca="1">IF(ROWS($1:47)&gt;COUNT(Dong1),"",OFFSET(TH!F$1,SMALL(Dong1,ROWS($1:47)),))</f>
        <v>Nộp TM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10000000</v>
      </c>
      <c r="I60" s="121">
        <f t="shared" ca="1" si="0"/>
        <v>1223262380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168800000</v>
      </c>
      <c r="H64" s="129">
        <f ca="1">SUM(H14:H63)</f>
        <v>258378264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1223262380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332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2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2"/>
      <c r="I1" s="231"/>
      <c r="K1" s="790"/>
      <c r="L1" s="7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0"/>
      <c r="H2" s="990"/>
      <c r="I2" s="232"/>
      <c r="K2" s="791"/>
      <c r="L2" s="791"/>
    </row>
    <row r="3" spans="1:20" s="140" customFormat="1" ht="16.5" customHeight="1">
      <c r="A3" s="177"/>
      <c r="B3" s="177"/>
      <c r="C3" s="177"/>
      <c r="D3" s="177"/>
      <c r="F3" s="990"/>
      <c r="G3" s="990"/>
      <c r="H3" s="990"/>
      <c r="I3" s="232"/>
    </row>
    <row r="4" spans="1:20" s="140" customFormat="1" ht="19.5" customHeight="1">
      <c r="A4" s="993" t="s">
        <v>137</v>
      </c>
      <c r="B4" s="993"/>
      <c r="C4" s="993"/>
      <c r="D4" s="993"/>
      <c r="E4" s="993"/>
      <c r="F4" s="993"/>
      <c r="G4" s="993"/>
      <c r="H4" s="993"/>
      <c r="I4" s="993"/>
    </row>
    <row r="5" spans="1:20" s="140" customFormat="1" ht="15">
      <c r="A5" s="98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2"/>
      <c r="C5" s="982"/>
      <c r="D5" s="982"/>
      <c r="E5" s="982"/>
      <c r="F5" s="982"/>
      <c r="G5" s="982"/>
      <c r="H5" s="982"/>
      <c r="I5" s="982"/>
    </row>
    <row r="6" spans="1:20" s="140" customFormat="1" ht="15">
      <c r="D6" s="260" t="s">
        <v>158</v>
      </c>
      <c r="E6" s="982" t="str">
        <f>IF($M$9="ACB","100983119","1004 148 5104 6511")</f>
        <v>1004 148 5104 6511</v>
      </c>
      <c r="F6" s="982"/>
      <c r="G6" s="982"/>
      <c r="H6" s="563" t="s">
        <v>108</v>
      </c>
      <c r="I6" s="261" t="str">
        <f>IF(H6="VNĐ","1121",IF(H6="USD","1122",""))</f>
        <v>1121</v>
      </c>
      <c r="N6" s="975" t="s">
        <v>325</v>
      </c>
      <c r="O6" s="975"/>
      <c r="Q6" s="991" t="s">
        <v>266</v>
      </c>
      <c r="R6" s="991" t="s">
        <v>326</v>
      </c>
      <c r="S6" s="991" t="s">
        <v>1282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4"/>
      <c r="I7" s="144"/>
      <c r="Q7" s="992"/>
      <c r="R7" s="992"/>
      <c r="S7" s="992"/>
    </row>
    <row r="8" spans="1:20" s="145" customFormat="1" ht="22.5" customHeight="1" thickBot="1">
      <c r="A8" s="983" t="s">
        <v>138</v>
      </c>
      <c r="B8" s="985" t="s">
        <v>1</v>
      </c>
      <c r="C8" s="986"/>
      <c r="D8" s="980" t="s">
        <v>0</v>
      </c>
      <c r="E8" s="987" t="s">
        <v>14</v>
      </c>
      <c r="F8" s="989" t="s">
        <v>139</v>
      </c>
      <c r="G8" s="989"/>
      <c r="H8" s="986"/>
      <c r="I8" s="980" t="s">
        <v>127</v>
      </c>
      <c r="K8" s="138"/>
      <c r="L8" s="140"/>
      <c r="N8" s="571">
        <f>IF(K9="Quý I",1,IF(K9="Quý II",4,IF(K9="Quý III",7,IF(K9="Quý IV",10,""))))</f>
        <v>7</v>
      </c>
      <c r="O8" s="572">
        <f>IF(K9="Quý I",3,IF(K9="Quý II",6,IF(K9="Quý III",9,IF(K9="Quý IV",12,""))))</f>
        <v>9</v>
      </c>
      <c r="Q8" s="450" t="s">
        <v>267</v>
      </c>
      <c r="R8" s="451">
        <v>112835</v>
      </c>
      <c r="S8" s="451">
        <v>0</v>
      </c>
      <c r="T8" s="452">
        <f>SUM(R8:S8)</f>
        <v>112835</v>
      </c>
    </row>
    <row r="9" spans="1:20" s="145" customFormat="1" ht="22.5" customHeight="1" thickBot="1">
      <c r="A9" s="984"/>
      <c r="B9" s="146" t="s">
        <v>15</v>
      </c>
      <c r="C9" s="147" t="s">
        <v>140</v>
      </c>
      <c r="D9" s="981"/>
      <c r="E9" s="988"/>
      <c r="F9" s="253" t="s">
        <v>141</v>
      </c>
      <c r="G9" s="148" t="s">
        <v>142</v>
      </c>
      <c r="H9" s="565" t="s">
        <v>143</v>
      </c>
      <c r="I9" s="981"/>
      <c r="K9" s="178" t="s">
        <v>410</v>
      </c>
      <c r="L9" s="140"/>
      <c r="M9" s="449" t="s">
        <v>1281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1424397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41845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41845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3">
        <f ca="1">IF(A12&lt;&gt;"",H11+F12-G12,0)</f>
        <v>14265397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41845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41845</v>
      </c>
      <c r="D13" s="235" t="str">
        <f ca="1">IF(ROWS($1:2)&gt;COUNT(Dong2),"",OFFSET(TH!F$1,SMALL(Dong2,ROWS($1:2)),))</f>
        <v>Thu lãi</v>
      </c>
      <c r="E13" s="156" t="str">
        <f ca="1">IF(ROWS($1:2)&gt;COUNT(Dong2),"",IF(OFFSET(TH!M$1,SMALL(Dong2,ROWS($1:2)),)=$I$6,OFFSET(TH!L$1,SMALL(Dong2,ROWS($1:2)),),OFFSET(TH!M$1,SMALL(Dong2,ROWS($1:2)),)))</f>
        <v>635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73">
        <f t="shared" ref="H13:H44" ca="1" si="0">IF(A13&lt;&gt;"",H12+F13-G13,0)</f>
        <v>12848597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41845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41845</v>
      </c>
      <c r="D14" s="235" t="str">
        <f ca="1">IF(ROWS($1:3)&gt;COUNT(Dong2),"",OFFSET(TH!F$1,SMALL(Dong2,ROWS($1:3)),))</f>
        <v>Thu lãi</v>
      </c>
      <c r="E14" s="156" t="str">
        <f ca="1">IF(ROWS($1:3)&gt;COUNT(Dong2),"",IF(OFFSET(TH!M$1,SMALL(Dong2,ROWS($1:3)),)=$I$6,OFFSET(TH!L$1,SMALL(Dong2,ROWS($1:3)),),OFFSET(TH!M$1,SMALL(Dong2,ROWS($1:3)),)))</f>
        <v>635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73">
        <f t="shared" ca="1" si="0"/>
        <v>11842347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41845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41845</v>
      </c>
      <c r="D15" s="235" t="str">
        <f ca="1">IF(ROWS($1:4)&gt;COUNT(Dong2),"",OFFSET(TH!F$1,SMALL(Dong2,ROWS($1:4)),))</f>
        <v>Thu lãi</v>
      </c>
      <c r="E15" s="156" t="str">
        <f ca="1">IF(ROWS($1:4)&gt;COUNT(Dong2),"",IF(OFFSET(TH!M$1,SMALL(Dong2,ROWS($1:4)),)=$I$6,OFFSET(TH!L$1,SMALL(Dong2,ROWS($1:4)),),OFFSET(TH!M$1,SMALL(Dong2,ROWS($1:4)),)))</f>
        <v>635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73">
        <f t="shared" ca="1" si="0"/>
        <v>1425681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41851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41851</v>
      </c>
      <c r="D16" s="235" t="str">
        <f ca="1">IF(ROWS($1:5)&gt;COUNT(Dong2),"",OFFSET(TH!F$1,SMALL(Dong2,ROWS($1:5)),))</f>
        <v>Nộp TM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3">
        <f t="shared" ca="1" si="0"/>
        <v>101425681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41851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41851</v>
      </c>
      <c r="D17" s="235" t="str">
        <f ca="1">IF(ROWS($1:6)&gt;COUNT(Dong2),"",OFFSET(TH!F$1,SMALL(Dong2,ROWS($1:6)),))</f>
        <v>Thanh toán tiền hàng</v>
      </c>
      <c r="E17" s="156" t="str">
        <f ca="1">IF(ROWS($1:6)&gt;COUNT(Dong2),"",IF(OFFSET(TH!M$1,SMALL(Dong2,ROWS($1:6)),)=$I$6,OFFSET(TH!L$1,SMALL(Dong2,ROWS($1:6)),),OFFSET(TH!M$1,SMALL(Dong2,ROWS($1:6)),)))</f>
        <v>331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73">
        <f t="shared" ca="1" si="0"/>
        <v>71425681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41851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41851</v>
      </c>
      <c r="D18" s="235" t="str">
        <f ca="1">IF(ROWS($1:7)&gt;COUNT(Dong2),"",OFFSET(TH!F$1,SMALL(Dong2,ROWS($1:7)),))</f>
        <v>Phí chuyển tiền</v>
      </c>
      <c r="E18" s="156" t="str">
        <f ca="1">IF(ROWS($1:7)&gt;COUNT(Dong2),"",IF(OFFSET(TH!M$1,SMALL(Dong2,ROWS($1:7)),)=$I$6,OFFSET(TH!L$1,SMALL(Dong2,ROWS($1:7)),),OFFSET(TH!M$1,SMALL(Dong2,ROWS($1:7)),)))</f>
        <v>642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73">
        <f t="shared" ca="1" si="0"/>
        <v>71414681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41851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41851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73">
        <f t="shared" ca="1" si="0"/>
        <v>21414681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41851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41851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73">
        <f t="shared" ca="1" si="0"/>
        <v>21403681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41851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41851</v>
      </c>
      <c r="D21" s="235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73">
        <f t="shared" ca="1" si="0"/>
        <v>15403681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41851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41851</v>
      </c>
      <c r="D22" s="235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73">
        <f t="shared" ca="1" si="0"/>
        <v>15392681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41851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41851</v>
      </c>
      <c r="D23" s="235" t="str">
        <f ca="1">IF(ROWS($1:12)&gt;COUNT(Dong2),"",OFFSET(TH!F$1,SMALL(Dong2,ROWS($1:12)),))</f>
        <v>Thanh toán tiền hàng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73">
        <f t="shared" ca="1" si="0"/>
        <v>1392681</v>
      </c>
      <c r="I23" s="454"/>
      <c r="L23" s="140"/>
      <c r="Q23" s="561"/>
    </row>
    <row r="24" spans="1:17" s="145" customFormat="1" ht="18.75" customHeight="1">
      <c r="A24" s="156">
        <f ca="1">IF(ROWS($1:13)&gt;COUNT(Dong2),"",OFFSET(TH!C$1,SMALL(Dong2,ROWS($1:13)),))</f>
        <v>41851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41851</v>
      </c>
      <c r="D24" s="235" t="str">
        <f ca="1">IF(ROWS($1:13)&gt;COUNT(Dong2),"",OFFSET(TH!F$1,SMALL(Dong2,ROWS($1:13)),))</f>
        <v>Phí chuyển tiền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73">
        <f t="shared" ca="1" si="0"/>
        <v>1370681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41851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41851</v>
      </c>
      <c r="D25" s="235" t="str">
        <f ca="1">IF(ROWS($1:14)&gt;COUNT(Dong2),"",OFFSET(TH!F$1,SMALL(Dong2,ROWS($1:14)),))</f>
        <v>Phí rút sớm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73">
        <f t="shared" ca="1" si="0"/>
        <v>1326681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41851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41851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3">
        <f t="shared" ca="1" si="0"/>
        <v>1327281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41877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41877</v>
      </c>
      <c r="D27" s="235" t="str">
        <f ca="1">IF(ROWS($1:16)&gt;COUNT(Dong2),"",OFFSET(TH!F$1,SMALL(Dong2,ROWS($1:16)),))</f>
        <v>Nộp TM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73">
        <f t="shared" ca="1" si="0"/>
        <v>14107281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41877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41877</v>
      </c>
      <c r="D28" s="235" t="str">
        <f ca="1">IF(ROWS($1:17)&gt;COUNT(Dong2),"",OFFSET(TH!F$1,SMALL(Dong2,ROWS($1:17)),))</f>
        <v>Thu lãi</v>
      </c>
      <c r="E28" s="156" t="str">
        <f ca="1">IF(ROWS($1:17)&gt;COUNT(Dong2),"",IF(OFFSET(TH!M$1,SMALL(Dong2,ROWS($1:17)),)=$I$6,OFFSET(TH!L$1,SMALL(Dong2,ROWS($1:17)),),OFFSET(TH!M$1,SMALL(Dong2,ROWS($1:17)),)))</f>
        <v>635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73">
        <f t="shared" ca="1" si="0"/>
        <v>13131264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41877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41877</v>
      </c>
      <c r="D29" s="235" t="str">
        <f ca="1">IF(ROWS($1:18)&gt;COUNT(Dong2),"",OFFSET(TH!F$1,SMALL(Dong2,ROWS($1:18)),))</f>
        <v>Thu lãi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73">
        <f t="shared" ca="1" si="0"/>
        <v>12091472</v>
      </c>
      <c r="I29" s="454"/>
      <c r="L29" s="140"/>
    </row>
    <row r="30" spans="1:17" s="145" customFormat="1" ht="18.75" customHeight="1">
      <c r="A30" s="156">
        <f ca="1">IF(ROWS($1:19)&gt;COUNT(Dong2),"",OFFSET(TH!C$1,SMALL(Dong2,ROWS($1:19)),))</f>
        <v>41877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41877</v>
      </c>
      <c r="D30" s="235" t="str">
        <f ca="1">IF(ROWS($1:19)&gt;COUNT(Dong2),"",OFFSET(TH!F$1,SMALL(Dong2,ROWS($1:19)),))</f>
        <v>Thu lãi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73">
        <f t="shared" ca="1" si="0"/>
        <v>1327583</v>
      </c>
      <c r="I30" s="454"/>
      <c r="L30" s="140"/>
    </row>
    <row r="31" spans="1:17" s="145" customFormat="1" ht="18.75" customHeight="1">
      <c r="A31" s="156">
        <f ca="1">IF(ROWS($1:20)&gt;COUNT(Dong2),"",OFFSET(TH!C$1,SMALL(Dong2,ROWS($1:20)),))</f>
        <v>41880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41880</v>
      </c>
      <c r="D31" s="235" t="str">
        <f ca="1">IF(ROWS($1:20)&gt;COUNT(Dong2),"",OFFSET(TH!F$1,SMALL(Dong2,ROWS($1:20)),))</f>
        <v>Lãi tiền gửi</v>
      </c>
      <c r="E31" s="156" t="str">
        <f ca="1">IF(ROWS($1:20)&gt;COUNT(Dong2),"",IF(OFFSET(TH!M$1,SMALL(Dong2,ROWS($1:20)),)=$I$6,OFFSET(TH!L$1,SMALL(Dong2,ROWS($1:20)),),OFFSET(TH!M$1,SMALL(Dong2,ROWS($1:20)),)))</f>
        <v>515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73">
        <f t="shared" ca="1" si="0"/>
        <v>1328183</v>
      </c>
      <c r="I31" s="454"/>
      <c r="L31" s="140"/>
    </row>
    <row r="32" spans="1:17" s="145" customFormat="1" ht="18.75" customHeight="1">
      <c r="A32" s="156">
        <f ca="1">IF(ROWS($1:21)&gt;COUNT(Dong2),"",OFFSET(TH!C$1,SMALL(Dong2,ROWS($1:21)),))</f>
        <v>41891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41891</v>
      </c>
      <c r="D32" s="235" t="str">
        <f ca="1">IF(ROWS($1:21)&gt;COUNT(Dong2),"",OFFSET(TH!F$1,SMALL(Dong2,ROWS($1:21)),))</f>
        <v>Vay KU 6360LDS201402760</v>
      </c>
      <c r="E32" s="156" t="str">
        <f ca="1">IF(ROWS($1:21)&gt;COUNT(Dong2),"",IF(OFFSET(TH!M$1,SMALL(Dong2,ROWS($1:21)),)=$I$6,OFFSET(TH!L$1,SMALL(Dong2,ROWS($1:21)),),OFFSET(TH!M$1,SMALL(Dong2,ROWS($1:21)),)))</f>
        <v>3412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73">
        <f t="shared" ca="1" si="0"/>
        <v>100888183</v>
      </c>
      <c r="I32" s="454"/>
      <c r="L32" s="140"/>
    </row>
    <row r="33" spans="1:20" s="145" customFormat="1" ht="18.75" customHeight="1">
      <c r="A33" s="156">
        <f ca="1">IF(ROWS($1:22)&gt;COUNT(Dong2),"",OFFSET(TH!C$1,SMALL(Dong2,ROWS($1:22)),))</f>
        <v>41891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41891</v>
      </c>
      <c r="D33" s="235" t="str">
        <f ca="1">IF(ROWS($1:22)&gt;COUNT(Dong2),"",OFFSET(TH!F$1,SMALL(Dong2,ROWS($1:22)),))</f>
        <v>Thanh toán tiền hàng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73">
        <f t="shared" ca="1" si="0"/>
        <v>1328183</v>
      </c>
      <c r="I33" s="454"/>
      <c r="L33" s="140"/>
    </row>
    <row r="34" spans="1:20" s="145" customFormat="1" ht="18.75" customHeight="1">
      <c r="A34" s="156">
        <f ca="1">IF(ROWS($1:23)&gt;COUNT(Dong2),"",OFFSET(TH!C$1,SMALL(Dong2,ROWS($1:23)),))</f>
        <v>41908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41908</v>
      </c>
      <c r="D34" s="235" t="str">
        <f ca="1">IF(ROWS($1:23)&gt;COUNT(Dong2),"",OFFSET(TH!F$1,SMALL(Dong2,ROWS($1:23)),))</f>
        <v>Nộp TM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73">
        <f t="shared" ca="1" si="0"/>
        <v>4108183</v>
      </c>
      <c r="I34" s="454"/>
      <c r="L34" s="140"/>
    </row>
    <row r="35" spans="1:20" s="145" customFormat="1" ht="18.75" customHeight="1">
      <c r="A35" s="156">
        <f ca="1">IF(ROWS($1:24)&gt;COUNT(Dong2),"",OFFSET(TH!C$1,SMALL(Dong2,ROWS($1:24)),))</f>
        <v>41908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41908</v>
      </c>
      <c r="D35" s="235" t="str">
        <f ca="1">IF(ROWS($1:24)&gt;COUNT(Dong2),"",OFFSET(TH!F$1,SMALL(Dong2,ROWS($1:24)),))</f>
        <v>Nộp TM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73">
        <f t="shared" ca="1" si="0"/>
        <v>14108183</v>
      </c>
      <c r="I35" s="454"/>
      <c r="L35" s="140"/>
    </row>
    <row r="36" spans="1:20" s="145" customFormat="1" ht="18.75" customHeight="1">
      <c r="A36" s="156">
        <f ca="1">IF(ROWS($1:25)&gt;COUNT(Dong2),"",OFFSET(TH!C$1,SMALL(Dong2,ROWS($1:25)),))</f>
        <v>41908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41908</v>
      </c>
      <c r="D36" s="235" t="str">
        <f ca="1">IF(ROWS($1:25)&gt;COUNT(Dong2),"",OFFSET(TH!F$1,SMALL(Dong2,ROWS($1:25)),))</f>
        <v>Thu lãi</v>
      </c>
      <c r="E36" s="156" t="str">
        <f ca="1">IF(ROWS($1:25)&gt;COUNT(Dong2),"",IF(OFFSET(TH!M$1,SMALL(Dong2,ROWS($1:25)),)=$I$6,OFFSET(TH!L$1,SMALL(Dong2,ROWS($1:25)),),OFFSET(TH!M$1,SMALL(Dong2,ROWS($1:25)),)))</f>
        <v>635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73">
        <f t="shared" ca="1" si="0"/>
        <v>13132166</v>
      </c>
      <c r="I36" s="454"/>
      <c r="L36" s="140"/>
    </row>
    <row r="37" spans="1:20" s="145" customFormat="1" ht="18.75" customHeight="1">
      <c r="A37" s="156">
        <f ca="1">IF(ROWS($1:26)&gt;COUNT(Dong2),"",OFFSET(TH!C$1,SMALL(Dong2,ROWS($1:26)),))</f>
        <v>41908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41908</v>
      </c>
      <c r="D37" s="235" t="str">
        <f ca="1">IF(ROWS($1:26)&gt;COUNT(Dong2),"",OFFSET(TH!F$1,SMALL(Dong2,ROWS($1:26)),))</f>
        <v>Thu lãi</v>
      </c>
      <c r="E37" s="156" t="str">
        <f ca="1">IF(ROWS($1:26)&gt;COUNT(Dong2),"",IF(OFFSET(TH!M$1,SMALL(Dong2,ROWS($1:26)),)=$I$6,OFFSET(TH!L$1,SMALL(Dong2,ROWS($1:26)),),OFFSET(TH!M$1,SMALL(Dong2,ROWS($1:26)),)))</f>
        <v>635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73">
        <f t="shared" ca="1" si="0"/>
        <v>12092374</v>
      </c>
      <c r="I37" s="454"/>
      <c r="L37" s="140"/>
    </row>
    <row r="38" spans="1:20" s="145" customFormat="1" ht="18.75" customHeight="1">
      <c r="A38" s="156">
        <f ca="1">IF(ROWS($1:27)&gt;COUNT(Dong2),"",OFFSET(TH!C$1,SMALL(Dong2,ROWS($1:27)),))</f>
        <v>41908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41908</v>
      </c>
      <c r="D38" s="235" t="str">
        <f ca="1">IF(ROWS($1:27)&gt;COUNT(Dong2),"",OFFSET(TH!F$1,SMALL(Dong2,ROWS($1:27)),))</f>
        <v>Thu lãi</v>
      </c>
      <c r="E38" s="156" t="str">
        <f ca="1">IF(ROWS($1:27)&gt;COUNT(Dong2),"",IF(OFFSET(TH!M$1,SMALL(Dong2,ROWS($1:27)),)=$I$6,OFFSET(TH!L$1,SMALL(Dong2,ROWS($1:27)),),OFFSET(TH!M$1,SMALL(Dong2,ROWS($1:27)),)))</f>
        <v>635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73">
        <f t="shared" ca="1" si="0"/>
        <v>1328485</v>
      </c>
      <c r="I38" s="454"/>
      <c r="L38" s="140"/>
    </row>
    <row r="39" spans="1:20" s="145" customFormat="1" ht="18.75" customHeight="1">
      <c r="A39" s="156">
        <f ca="1">IF(ROWS($1:28)&gt;COUNT(Dong2),"",OFFSET(TH!C$1,SMALL(Dong2,ROWS($1:28)),))</f>
        <v>41912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41912</v>
      </c>
      <c r="D39" s="235" t="str">
        <f ca="1">IF(ROWS($1:28)&gt;COUNT(Dong2),"",OFFSET(TH!F$1,SMALL(Dong2,ROWS($1:28)),))</f>
        <v>Lãi tiền gửi</v>
      </c>
      <c r="E39" s="156" t="str">
        <f ca="1">IF(ROWS($1:28)&gt;COUNT(Dong2),"",IF(OFFSET(TH!M$1,SMALL(Dong2,ROWS($1:28)),)=$I$6,OFFSET(TH!L$1,SMALL(Dong2,ROWS($1:28)),),OFFSET(TH!M$1,SMALL(Dong2,ROWS($1:28)),)))</f>
        <v>515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73">
        <f t="shared" ca="1" si="0"/>
        <v>1329185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3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3">
        <f t="shared" ca="1" si="0"/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3">
        <f t="shared" ca="1" si="0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3">
        <f t="shared" ca="1" si="0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3">
        <f t="shared" ca="1" si="0"/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3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237962900</v>
      </c>
      <c r="G46" s="456">
        <f ca="1">SUM(G12:G45)</f>
        <v>238058112</v>
      </c>
      <c r="H46" s="456">
        <f ca="1">H11+F46-G46</f>
        <v>1329185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1329185</v>
      </c>
      <c r="I47" s="159"/>
    </row>
    <row r="48" spans="1:20" s="155" customFormat="1" ht="22.5" customHeight="1">
      <c r="A48" s="252" t="s">
        <v>155</v>
      </c>
      <c r="B48" s="161"/>
      <c r="F48" s="162"/>
      <c r="H48" s="56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25/7/ 2014</v>
      </c>
      <c r="B49" s="164"/>
      <c r="F49" s="162"/>
      <c r="H49" s="56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9  năm   2014</v>
      </c>
      <c r="H50" s="56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6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30" activePane="bottomLeft" state="frozen"/>
      <selection activeCell="A4" sqref="A4"/>
      <selection pane="bottomLeft" activeCell="B54" sqref="B5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5" t="s">
        <v>331</v>
      </c>
      <c r="B3" s="995"/>
      <c r="C3" s="995"/>
      <c r="D3" s="995"/>
      <c r="E3" s="995"/>
      <c r="F3" s="995"/>
      <c r="G3" s="995"/>
      <c r="H3" s="995"/>
    </row>
    <row r="4" spans="1:9" s="10" customFormat="1" ht="14.25" customHeight="1">
      <c r="A4" s="996" t="s">
        <v>35</v>
      </c>
      <c r="B4" s="998" t="s">
        <v>36</v>
      </c>
      <c r="C4" s="1000" t="s">
        <v>37</v>
      </c>
      <c r="D4" s="1001"/>
      <c r="E4" s="1000" t="s">
        <v>38</v>
      </c>
      <c r="F4" s="1001"/>
      <c r="G4" s="1000" t="s">
        <v>41</v>
      </c>
      <c r="H4" s="1001"/>
    </row>
    <row r="5" spans="1:9" s="10" customFormat="1" ht="14.25" customHeight="1">
      <c r="A5" s="997"/>
      <c r="B5" s="999"/>
      <c r="C5" s="579" t="s">
        <v>42</v>
      </c>
      <c r="D5" s="579" t="s">
        <v>43</v>
      </c>
      <c r="E5" s="579" t="s">
        <v>42</v>
      </c>
      <c r="F5" s="579" t="s">
        <v>43</v>
      </c>
      <c r="G5" s="579" t="s">
        <v>42</v>
      </c>
      <c r="H5" s="579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567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460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IF(ISNA(VLOOKUP(B7,[4]!DS_131,1,0)),"","x")</f>
        <v>x</v>
      </c>
    </row>
    <row r="8" spans="1:9" s="10" customFormat="1" ht="16.5" customHeight="1">
      <c r="A8" s="6">
        <f t="shared" si="0"/>
        <v>3</v>
      </c>
      <c r="B8" s="7" t="s">
        <v>918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589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IF(ISNA(VLOOKUP(B9,[4]!DS_131,1,0)),"","x")</f>
        <v>x</v>
      </c>
    </row>
    <row r="10" spans="1:9" s="10" customFormat="1" ht="16.5" customHeight="1">
      <c r="A10" s="6">
        <f t="shared" si="0"/>
        <v>5</v>
      </c>
      <c r="B10" s="7" t="s">
        <v>692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IF(ISNA(VLOOKUP(B10,[4]!DS_131,1,0)),"","x")</f>
        <v>x</v>
      </c>
    </row>
    <row r="11" spans="1:9" s="10" customFormat="1" ht="16.5" customHeight="1">
      <c r="A11" s="6">
        <f t="shared" si="0"/>
        <v>6</v>
      </c>
      <c r="B11" s="7" t="s">
        <v>654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IF(ISNA(VLOOKUP(B11,[4]!DS_131,1,0)),"","x")</f>
        <v>x</v>
      </c>
    </row>
    <row r="12" spans="1:9" s="10" customFormat="1" ht="16.5" customHeight="1">
      <c r="A12" s="6">
        <f t="shared" si="0"/>
        <v>7</v>
      </c>
      <c r="B12" s="7" t="s">
        <v>431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45" t="s">
        <v>475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58">
        <f t="shared" si="1"/>
        <v>11224400</v>
      </c>
      <c r="H13" s="758">
        <f t="shared" si="2"/>
        <v>0</v>
      </c>
      <c r="I13" s="10" t="str">
        <f>IF(ISNA(VLOOKUP(B13,[4]!DS_131,1,0)),"","x")</f>
        <v>x</v>
      </c>
    </row>
    <row r="14" spans="1:9" s="10" customFormat="1" ht="16.5" customHeight="1">
      <c r="A14" s="6">
        <f t="shared" si="0"/>
        <v>9</v>
      </c>
      <c r="B14" s="7" t="s">
        <v>807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58">
        <f t="shared" si="1"/>
        <v>7059030</v>
      </c>
      <c r="H14" s="758">
        <f t="shared" si="2"/>
        <v>0</v>
      </c>
      <c r="I14" s="10" t="str">
        <f>IF(ISNA(VLOOKUP(B14,[4]!DS_131,1,0)),"","x")</f>
        <v>x</v>
      </c>
    </row>
    <row r="15" spans="1:9" s="10" customFormat="1" ht="16.5" customHeight="1">
      <c r="A15" s="6">
        <f t="shared" si="0"/>
        <v>10</v>
      </c>
      <c r="B15" s="7" t="s">
        <v>917</v>
      </c>
      <c r="C15" s="8"/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58">
        <f t="shared" si="1"/>
        <v>0</v>
      </c>
      <c r="H15" s="758">
        <f t="shared" si="2"/>
        <v>12714075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44" t="s">
        <v>464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58">
        <f t="shared" si="1"/>
        <v>8840700</v>
      </c>
      <c r="H16" s="758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919</v>
      </c>
      <c r="C17" s="8"/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58">
        <f t="shared" si="1"/>
        <v>0</v>
      </c>
      <c r="H17" s="758">
        <f t="shared" si="2"/>
        <v>52472475</v>
      </c>
      <c r="I17" s="10" t="str">
        <f>IF(ISNA(VLOOKUP(B17,[4]!DS_131,1,0)),"","x")</f>
        <v/>
      </c>
    </row>
    <row r="18" spans="1:9" s="10" customFormat="1" ht="16.5" customHeight="1">
      <c r="A18" s="6">
        <f t="shared" si="0"/>
        <v>13</v>
      </c>
      <c r="B18" s="7" t="s">
        <v>722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58">
        <f t="shared" si="1"/>
        <v>6668200</v>
      </c>
      <c r="H18" s="758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696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58">
        <f t="shared" si="1"/>
        <v>29257260</v>
      </c>
      <c r="H19" s="758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624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58">
        <f t="shared" si="1"/>
        <v>4798530</v>
      </c>
      <c r="H20" s="758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662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58">
        <f t="shared" si="1"/>
        <v>1650000</v>
      </c>
      <c r="H21" s="758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742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58">
        <f t="shared" si="1"/>
        <v>7458000</v>
      </c>
      <c r="H22" s="758">
        <f t="shared" si="2"/>
        <v>0</v>
      </c>
      <c r="I22" s="10" t="str">
        <f>IF(ISNA(VLOOKUP(B22,[4]!DS_131,1,0)),"","x")</f>
        <v/>
      </c>
    </row>
    <row r="23" spans="1:9" s="10" customFormat="1" ht="16.5" customHeight="1">
      <c r="A23" s="6">
        <f t="shared" si="0"/>
        <v>18</v>
      </c>
      <c r="B23" s="7" t="s">
        <v>649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58">
        <f t="shared" si="1"/>
        <v>21191500</v>
      </c>
      <c r="H23" s="758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7" t="s">
        <v>483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58">
        <f t="shared" si="1"/>
        <v>34580700</v>
      </c>
      <c r="H24" s="758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791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58">
        <f t="shared" si="1"/>
        <v>0</v>
      </c>
      <c r="H25" s="758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441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58">
        <f t="shared" si="1"/>
        <v>4774000</v>
      </c>
      <c r="H26" s="758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7" t="s">
        <v>496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58">
        <f t="shared" si="1"/>
        <v>0</v>
      </c>
      <c r="H27" s="758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44" t="s">
        <v>556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58">
        <f t="shared" si="1"/>
        <v>10484540</v>
      </c>
      <c r="H28" s="758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7" t="s">
        <v>508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58">
        <f t="shared" si="1"/>
        <v>49997805</v>
      </c>
      <c r="H29" s="758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478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58">
        <f t="shared" si="1"/>
        <v>36163160</v>
      </c>
      <c r="H30" s="758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45" t="s">
        <v>552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58">
        <f t="shared" si="1"/>
        <v>10450000</v>
      </c>
      <c r="H31" s="758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841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58">
        <f t="shared" si="1"/>
        <v>16206080</v>
      </c>
      <c r="H32" s="758">
        <f t="shared" si="2"/>
        <v>0</v>
      </c>
      <c r="I32" s="10" t="str">
        <f>IF(ISNA(VLOOKUP(B32,[4]!DS_131,1,0)),"","x")</f>
        <v/>
      </c>
    </row>
    <row r="33" spans="1:9" s="10" customFormat="1" ht="16.5" customHeight="1">
      <c r="A33" s="6">
        <f t="shared" si="0"/>
        <v>28</v>
      </c>
      <c r="B33" s="7" t="s">
        <v>730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58">
        <f t="shared" si="1"/>
        <v>53599865</v>
      </c>
      <c r="H33" s="758">
        <f t="shared" si="2"/>
        <v>0</v>
      </c>
      <c r="I33" s="10" t="str">
        <f>IF(ISNA(VLOOKUP(B33,[4]!DS_131,1,0)),"","x")</f>
        <v>x</v>
      </c>
    </row>
    <row r="34" spans="1:9" s="10" customFormat="1" ht="16.5" customHeight="1">
      <c r="A34" s="6">
        <f t="shared" si="0"/>
        <v>29</v>
      </c>
      <c r="B34" s="7" t="s">
        <v>786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58">
        <f t="shared" si="1"/>
        <v>44513700</v>
      </c>
      <c r="H34" s="758">
        <f t="shared" si="2"/>
        <v>0</v>
      </c>
      <c r="I34" s="10" t="str">
        <f>IF(ISNA(VLOOKUP(B34,[4]!DS_131,1,0)),"","x")</f>
        <v>x</v>
      </c>
    </row>
    <row r="35" spans="1:9" s="10" customFormat="1" ht="16.5" customHeight="1">
      <c r="A35" s="6">
        <f t="shared" si="0"/>
        <v>30</v>
      </c>
      <c r="B35" s="7" t="s">
        <v>680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58">
        <f t="shared" si="1"/>
        <v>74515210</v>
      </c>
      <c r="H35" s="758">
        <f t="shared" si="2"/>
        <v>0</v>
      </c>
      <c r="I35" s="10" t="str">
        <f>IF(ISNA(VLOOKUP(B35,[4]!DS_131,1,0)),"","x")</f>
        <v>x</v>
      </c>
    </row>
    <row r="36" spans="1:9" s="10" customFormat="1" ht="16.5" customHeight="1">
      <c r="A36" s="6">
        <f t="shared" si="0"/>
        <v>31</v>
      </c>
      <c r="B36" s="7" t="s">
        <v>467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58">
        <f t="shared" si="1"/>
        <v>78469468</v>
      </c>
      <c r="H36" s="758">
        <f t="shared" si="2"/>
        <v>0</v>
      </c>
      <c r="I36" s="10" t="str">
        <f>IF(ISNA(VLOOKUP(B36,[4]!DS_131,1,0)),"","x")</f>
        <v>x</v>
      </c>
    </row>
    <row r="37" spans="1:9" s="10" customFormat="1" ht="16.5" customHeight="1">
      <c r="A37" s="6">
        <f t="shared" si="0"/>
        <v>32</v>
      </c>
      <c r="B37" s="7" t="s">
        <v>444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58">
        <f t="shared" si="1"/>
        <v>152713275</v>
      </c>
      <c r="H37" s="758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si="0"/>
        <v>33</v>
      </c>
      <c r="B38" s="7" t="s">
        <v>916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58">
        <f t="shared" si="1"/>
        <v>250000</v>
      </c>
      <c r="H38" s="758">
        <f t="shared" si="2"/>
        <v>0</v>
      </c>
      <c r="I38" s="10" t="str">
        <f>IF(ISNA(VLOOKUP(B38,[4]!DS_131,1,0)),"","x")</f>
        <v>x</v>
      </c>
    </row>
    <row r="39" spans="1:9" s="10" customFormat="1" ht="16.5" customHeight="1">
      <c r="A39" s="6">
        <f t="shared" si="0"/>
        <v>34</v>
      </c>
      <c r="B39" s="7" t="s">
        <v>425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58">
        <f t="shared" si="1"/>
        <v>100981540</v>
      </c>
      <c r="H39" s="758">
        <f t="shared" si="2"/>
        <v>0</v>
      </c>
      <c r="I39" s="10" t="str">
        <f>IF(ISNA(VLOOKUP(B39,[4]!DS_131,1,0)),"","x")</f>
        <v>x</v>
      </c>
    </row>
    <row r="40" spans="1:9" s="10" customFormat="1" ht="16.5" customHeight="1">
      <c r="A40" s="6">
        <f t="shared" si="0"/>
        <v>35</v>
      </c>
      <c r="B40" s="7" t="s">
        <v>609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58">
        <f t="shared" si="1"/>
        <v>34482685</v>
      </c>
      <c r="H40" s="758">
        <f t="shared" si="2"/>
        <v>0</v>
      </c>
      <c r="I40" s="10" t="str">
        <f>IF(ISNA(VLOOKUP(B40,[4]!DS_131,1,0)),"","x")</f>
        <v>x</v>
      </c>
    </row>
    <row r="41" spans="1:9" s="10" customFormat="1" ht="16.5" customHeight="1">
      <c r="A41" s="6">
        <f t="shared" si="0"/>
        <v>36</v>
      </c>
      <c r="B41" s="7" t="s">
        <v>541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58">
        <f t="shared" si="1"/>
        <v>2023120</v>
      </c>
      <c r="H41" s="758">
        <f t="shared" si="2"/>
        <v>0</v>
      </c>
      <c r="I41" s="10" t="str">
        <f>IF(ISNA(VLOOKUP(B41,[4]!DS_131,1,0)),"","x")</f>
        <v/>
      </c>
    </row>
    <row r="42" spans="1:9" s="10" customFormat="1" ht="16.5" customHeight="1">
      <c r="A42" s="6">
        <f t="shared" si="0"/>
        <v>37</v>
      </c>
      <c r="B42" s="7" t="s">
        <v>447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58">
        <f t="shared" si="1"/>
        <v>21186000</v>
      </c>
      <c r="H42" s="758">
        <f t="shared" si="2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0"/>
        <v>38</v>
      </c>
      <c r="B43" s="7" t="s">
        <v>471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58">
        <f t="shared" si="1"/>
        <v>6050254</v>
      </c>
      <c r="H43" s="758">
        <f t="shared" si="2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0"/>
        <v>39</v>
      </c>
      <c r="B44" s="7" t="s">
        <v>847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58">
        <f t="shared" si="1"/>
        <v>3631650</v>
      </c>
      <c r="H44" s="758">
        <f t="shared" si="2"/>
        <v>0</v>
      </c>
      <c r="I44" s="10" t="str">
        <f>IF(ISNA(VLOOKUP(B44,[4]!DS_131,1,0)),"","x")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855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58">
        <f t="shared" ref="G45:G48" si="4">ROUND(MAX(C45+E45-D45-F45,0),2)</f>
        <v>19056098</v>
      </c>
      <c r="H45" s="758">
        <f t="shared" ref="H45:H48" si="5">ROUND(MAX(D45+F45-C45-E45,0),2)</f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193" t="s">
        <v>871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58">
        <f t="shared" si="4"/>
        <v>14583580</v>
      </c>
      <c r="H46" s="758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886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58">
        <f t="shared" si="4"/>
        <v>17875000</v>
      </c>
      <c r="H47" s="758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193" t="s">
        <v>896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58">
        <f t="shared" si="4"/>
        <v>18667000</v>
      </c>
      <c r="H48" s="758">
        <f t="shared" si="5"/>
        <v>0</v>
      </c>
      <c r="I48" s="10" t="str">
        <f>IF(ISNA(VLOOKUP(B48,[4]!DS_131,1,0)),"","x")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IF(ISNA(VLOOKUP(B49,[4]!DS_131,1,0)),"","x")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0</v>
      </c>
      <c r="D50" s="13">
        <f t="shared" si="7"/>
        <v>0</v>
      </c>
      <c r="E50" s="13">
        <f t="shared" si="7"/>
        <v>2498749784</v>
      </c>
      <c r="F50" s="13">
        <f t="shared" si="7"/>
        <v>1408366498</v>
      </c>
      <c r="G50" s="13">
        <f t="shared" si="7"/>
        <v>1155569836</v>
      </c>
      <c r="H50" s="13">
        <f t="shared" si="7"/>
        <v>65186550</v>
      </c>
    </row>
    <row r="51" spans="1:9">
      <c r="E51" s="15">
        <f>E50-CDPS!E14</f>
        <v>0</v>
      </c>
      <c r="F51" s="15">
        <f>F50-CDPS!F14</f>
        <v>-26042690</v>
      </c>
    </row>
    <row r="52" spans="1:9">
      <c r="E52" s="15"/>
      <c r="F52" s="15"/>
    </row>
    <row r="53" spans="1:9">
      <c r="E53" s="15"/>
      <c r="F53" s="994" t="s">
        <v>420</v>
      </c>
      <c r="G53" s="994"/>
      <c r="H53" s="994"/>
    </row>
    <row r="54" spans="1:9">
      <c r="F54" s="994" t="s">
        <v>109</v>
      </c>
      <c r="G54" s="994"/>
      <c r="H54" s="994"/>
    </row>
    <row r="55" spans="1:9">
      <c r="E55" s="183"/>
      <c r="F55" s="994" t="s">
        <v>136</v>
      </c>
      <c r="G55" s="994"/>
      <c r="H55" s="994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4" t="str">
        <f>TH!A1</f>
        <v>Đơn vị: CÔNG TY TNHH SX TM KIM DUNG PHÁT</v>
      </c>
      <c r="B1" s="576"/>
      <c r="C1" s="576"/>
      <c r="G1" s="2"/>
      <c r="H1" s="1003" t="s">
        <v>46</v>
      </c>
      <c r="I1" s="1003"/>
      <c r="J1" s="1003"/>
    </row>
    <row r="2" spans="1:10" s="446" customFormat="1" ht="14.25" customHeight="1">
      <c r="A2" s="583" t="str">
        <f>TH!A2</f>
        <v>Địa chỉ: 1A227/1 Ấp 1, Phạm Văn Hai, Bình Chánh, TPHCM</v>
      </c>
      <c r="B2" s="576"/>
      <c r="C2" s="576"/>
      <c r="G2" s="17"/>
      <c r="H2" s="100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4"/>
      <c r="J2" s="1004"/>
    </row>
    <row r="3" spans="1:10" s="446" customFormat="1" ht="14.25" customHeight="1">
      <c r="A3" s="578"/>
      <c r="B3" s="576"/>
      <c r="C3" s="576"/>
      <c r="G3" s="17"/>
      <c r="H3" s="1004"/>
      <c r="I3" s="1004"/>
      <c r="J3" s="1004"/>
    </row>
    <row r="4" spans="1:10" s="5" customFormat="1" ht="28.5" customHeight="1">
      <c r="A4" s="1005" t="s">
        <v>26</v>
      </c>
      <c r="B4" s="1005"/>
      <c r="C4" s="1005"/>
      <c r="D4" s="1005"/>
      <c r="E4" s="1005"/>
      <c r="F4" s="1005"/>
      <c r="G4" s="1005"/>
      <c r="H4" s="1005"/>
      <c r="I4" s="1005"/>
      <c r="J4" s="1005"/>
    </row>
    <row r="5" spans="1:10" s="18" customFormat="1" ht="14.25" customHeight="1">
      <c r="E5" s="574" t="s">
        <v>27</v>
      </c>
    </row>
    <row r="6" spans="1:10" s="18" customFormat="1" ht="14.25" customHeight="1">
      <c r="E6" s="574" t="s">
        <v>334</v>
      </c>
    </row>
    <row r="7" spans="1:10" s="18" customFormat="1" ht="14.25" customHeight="1">
      <c r="D7" s="20" t="s">
        <v>45</v>
      </c>
      <c r="E7" s="1006" t="s">
        <v>368</v>
      </c>
      <c r="F7" s="1006"/>
      <c r="G7" s="1006"/>
      <c r="H7" s="1006"/>
    </row>
    <row r="8" spans="1:10" s="18" customFormat="1" ht="14.25" customHeight="1">
      <c r="E8" s="574" t="s">
        <v>29</v>
      </c>
    </row>
    <row r="9" spans="1:10" s="18" customFormat="1" ht="6.75" customHeight="1">
      <c r="B9" s="574"/>
      <c r="C9" s="1007"/>
      <c r="D9" s="1007"/>
      <c r="E9" s="1007"/>
      <c r="F9" s="1007"/>
      <c r="G9" s="1007"/>
      <c r="H9" s="1007"/>
      <c r="I9" s="1007"/>
      <c r="J9" s="1007"/>
    </row>
    <row r="10" spans="1:10" s="18" customFormat="1" ht="14.25" customHeight="1">
      <c r="A10" s="971" t="s">
        <v>20</v>
      </c>
      <c r="B10" s="1002" t="s">
        <v>1</v>
      </c>
      <c r="C10" s="1002"/>
      <c r="D10" s="971" t="s">
        <v>0</v>
      </c>
      <c r="E10" s="971" t="s">
        <v>14</v>
      </c>
      <c r="F10" s="971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71"/>
      <c r="B11" s="30" t="s">
        <v>15</v>
      </c>
      <c r="C11" s="30" t="s">
        <v>32</v>
      </c>
      <c r="D11" s="971"/>
      <c r="E11" s="971"/>
      <c r="F11" s="9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0" t="s">
        <v>2</v>
      </c>
      <c r="B12" s="581" t="s">
        <v>3</v>
      </c>
      <c r="C12" s="580" t="s">
        <v>4</v>
      </c>
      <c r="D12" s="580" t="s">
        <v>5</v>
      </c>
      <c r="E12" s="580" t="s">
        <v>6</v>
      </c>
      <c r="F12" s="580">
        <v>1</v>
      </c>
      <c r="G12" s="580">
        <v>2</v>
      </c>
      <c r="H12" s="580">
        <v>3</v>
      </c>
      <c r="I12" s="580">
        <v>4</v>
      </c>
      <c r="J12" s="580">
        <v>5</v>
      </c>
    </row>
    <row r="13" spans="1:10" s="18" customFormat="1" ht="18" customHeight="1">
      <c r="A13" s="580"/>
      <c r="B13" s="580"/>
      <c r="C13" s="580"/>
      <c r="D13" s="23" t="s">
        <v>7</v>
      </c>
      <c r="E13" s="580"/>
      <c r="F13" s="24"/>
      <c r="G13" s="24"/>
      <c r="H13" s="24"/>
      <c r="I13" s="47" t="e">
        <f>VLOOKUP($E$7,'131'!$B$6:$H$49,2,0)</f>
        <v>#N/A</v>
      </c>
      <c r="J13" s="47" t="e">
        <f>VLOOKUP($E$7,'131'!$B$6:$H$49,3,0)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0"/>
      <c r="C32" s="26"/>
      <c r="D32" s="23" t="s">
        <v>33</v>
      </c>
      <c r="E32" s="580" t="s">
        <v>19</v>
      </c>
      <c r="F32" s="580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0"/>
      <c r="C33" s="580"/>
      <c r="D33" s="23" t="s">
        <v>10</v>
      </c>
      <c r="E33" s="580" t="s">
        <v>19</v>
      </c>
      <c r="F33" s="580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74"/>
      <c r="C34" s="574"/>
      <c r="E34" s="574"/>
    </row>
    <row r="35" spans="1:11" s="18" customFormat="1" ht="14.25" customHeight="1">
      <c r="A35" s="28" t="s">
        <v>152</v>
      </c>
      <c r="B35" s="574"/>
      <c r="C35" s="574"/>
      <c r="E35" s="574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74"/>
      <c r="C36" s="574"/>
      <c r="E36" s="574"/>
      <c r="K36" s="28" t="s">
        <v>34</v>
      </c>
    </row>
    <row r="37" spans="1:11" s="18" customFormat="1" ht="14.25" customHeight="1">
      <c r="B37" s="574"/>
      <c r="C37" s="574"/>
      <c r="E37" s="960" t="e">
        <f ca="1">"Ngày 31 tháng  12  năm  "&amp;YEAR($A$14)</f>
        <v>#VALUE!</v>
      </c>
      <c r="F37" s="960"/>
      <c r="G37" s="960"/>
      <c r="H37" s="960"/>
      <c r="I37" s="960"/>
      <c r="J37" s="960"/>
    </row>
    <row r="38" spans="1:11" s="18" customFormat="1" ht="14.25" customHeight="1">
      <c r="C38" s="574" t="s">
        <v>11</v>
      </c>
      <c r="E38" s="960" t="s">
        <v>12</v>
      </c>
      <c r="F38" s="960"/>
      <c r="G38" s="960"/>
      <c r="H38" s="960"/>
      <c r="I38" s="960"/>
      <c r="J38" s="960"/>
    </row>
    <row r="39" spans="1:11" s="18" customFormat="1" ht="14.25" customHeight="1">
      <c r="C39" s="574" t="s">
        <v>13</v>
      </c>
      <c r="E39" s="960" t="s">
        <v>13</v>
      </c>
      <c r="F39" s="960"/>
      <c r="G39" s="960"/>
      <c r="H39" s="960"/>
      <c r="I39" s="960"/>
      <c r="J39" s="960"/>
    </row>
    <row r="40" spans="1:11" s="29" customFormat="1"/>
    <row r="46" spans="1:11" ht="15">
      <c r="C46" s="57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8"/>
  <sheetViews>
    <sheetView showZeros="0" tabSelected="1" topLeftCell="A4" workbookViewId="0">
      <pane ySplit="2" topLeftCell="A6" activePane="bottomLeft" state="frozen"/>
      <selection activeCell="A4" sqref="A4"/>
      <selection pane="bottomLeft" activeCell="A15" sqref="A15:XFD1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5" t="str">
        <f>TH!$A$1</f>
        <v>Đơn vị: CÔNG TY TNHH SX TM KIM DUNG PHÁT</v>
      </c>
    </row>
    <row r="2" spans="1:9">
      <c r="A2" s="816" t="str">
        <f>TH!$A$2</f>
        <v>Địa chỉ: 1A227/1 Ấp 1, Phạm Văn Hai, Bình Chánh, TPHCM</v>
      </c>
    </row>
    <row r="3" spans="1:9" ht="27" customHeight="1">
      <c r="A3" s="995" t="s">
        <v>102</v>
      </c>
      <c r="B3" s="995"/>
      <c r="C3" s="995"/>
      <c r="D3" s="995"/>
      <c r="E3" s="995"/>
      <c r="F3" s="995"/>
      <c r="G3" s="995"/>
      <c r="H3" s="995"/>
    </row>
    <row r="4" spans="1:9" s="10" customFormat="1" ht="14.25" customHeight="1">
      <c r="A4" s="996" t="s">
        <v>35</v>
      </c>
      <c r="B4" s="998" t="s">
        <v>36</v>
      </c>
      <c r="C4" s="1000" t="s">
        <v>37</v>
      </c>
      <c r="D4" s="1001"/>
      <c r="E4" s="1000" t="s">
        <v>38</v>
      </c>
      <c r="F4" s="1001"/>
      <c r="G4" s="1000" t="s">
        <v>41</v>
      </c>
      <c r="H4" s="1001"/>
    </row>
    <row r="5" spans="1:9" s="10" customFormat="1" ht="14.25" customHeight="1">
      <c r="A5" s="997"/>
      <c r="B5" s="99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1006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53970488</v>
      </c>
      <c r="I6" s="10" t="str">
        <f>IF(ISNA(VLOOKUP(B6,[4]!DSKH,1,0)),"","x")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1153</v>
      </c>
      <c r="C7" s="8"/>
      <c r="D7" s="8"/>
      <c r="E7" s="8">
        <f t="array" ref="E7">SUM(IF("331"&amp;B7=KHN&amp;KH,TH))</f>
        <v>63591616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164215030</v>
      </c>
      <c r="I7" s="10" t="str">
        <f>IF(ISNA(VLOOKUP(B7,[4]!DSKH,1,0)),"","x")</f>
        <v/>
      </c>
    </row>
    <row r="8" spans="1:9" s="10" customFormat="1" ht="16.5" customHeight="1">
      <c r="A8" s="6">
        <f t="shared" si="2"/>
        <v>3</v>
      </c>
      <c r="B8" s="7" t="s">
        <v>1252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1000000000</v>
      </c>
      <c r="I8" s="10" t="str">
        <f>IF(ISNA(VLOOKUP(B8,[4]!DSKH,1,0)),"","x")</f>
        <v/>
      </c>
    </row>
    <row r="9" spans="1:9" s="10" customFormat="1" ht="16.5" customHeight="1">
      <c r="A9" s="6">
        <f t="shared" si="2"/>
        <v>4</v>
      </c>
      <c r="B9" s="7" t="s">
        <v>1158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50170450</v>
      </c>
      <c r="I9" s="10" t="str">
        <f>IF(ISNA(VLOOKUP(B9,[4]!DSKH,1,0)),"","x")</f>
        <v/>
      </c>
    </row>
    <row r="10" spans="1:9" s="10" customFormat="1" ht="16.5" customHeight="1">
      <c r="A10" s="6">
        <f t="shared" si="2"/>
        <v>5</v>
      </c>
      <c r="B10" s="7" t="s">
        <v>1104</v>
      </c>
      <c r="C10" s="8"/>
      <c r="D10" s="8"/>
      <c r="E10" s="8">
        <f t="array" ref="E10">SUM(IF("331"&amp;B10=KHN&amp;KH,TH))</f>
        <v>52920431</v>
      </c>
      <c r="F10" s="8">
        <f t="array" ref="F10">SUM(IF("331"&amp;B10=KHC&amp;KH,TH))</f>
        <v>68745875</v>
      </c>
      <c r="G10" s="55">
        <f t="shared" ref="G10:G12" si="3">ROUND(MAX(C10+E10-D10-F10,0),2)</f>
        <v>0</v>
      </c>
      <c r="H10" s="55">
        <f t="shared" ref="H10:H12" si="4">ROUND(MAX(D10+F10-C10-E10,0),2)</f>
        <v>15825444</v>
      </c>
      <c r="I10" s="10" t="str">
        <f>IF(ISNA(VLOOKUP(B10,[4]!DSKH,1,0)),"","x")</f>
        <v/>
      </c>
    </row>
    <row r="11" spans="1:9" s="10" customFormat="1" ht="16.5" customHeight="1">
      <c r="A11" s="6">
        <f t="shared" si="2"/>
        <v>6</v>
      </c>
      <c r="B11" s="7" t="s">
        <v>352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IF(ISNA(VLOOKUP(B11,[4]!DSKH,1,0)),"","x")</f>
        <v>x</v>
      </c>
    </row>
    <row r="12" spans="1:9" s="10" customFormat="1" ht="16.5" customHeight="1">
      <c r="A12" s="6">
        <f t="shared" si="2"/>
        <v>7</v>
      </c>
      <c r="B12" s="7" t="s">
        <v>1087</v>
      </c>
      <c r="C12" s="8"/>
      <c r="D12" s="8"/>
      <c r="E12" s="8">
        <f t="array" ref="E12">SUM(IF("331"&amp;B12=KHN&amp;KH,TH))</f>
        <v>50000000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473338200</v>
      </c>
      <c r="I12" s="10" t="str">
        <f>IF(ISNA(VLOOKUP(B12,[4]!DSKH,1,0)),"","x")</f>
        <v/>
      </c>
    </row>
    <row r="13" spans="1:9" s="10" customFormat="1" ht="16.5" customHeight="1">
      <c r="A13" s="6">
        <f t="shared" si="2"/>
        <v>8</v>
      </c>
      <c r="B13" s="7" t="s">
        <v>1091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291567870</v>
      </c>
      <c r="G13" s="55">
        <f t="shared" ref="G13:G14" si="5">ROUND(MAX(C13+E13-D13-F13,0),2)</f>
        <v>0</v>
      </c>
      <c r="H13" s="55">
        <f t="shared" ref="H13:H14" si="6">ROUND(MAX(D13+F13-C13-E13,0),2)</f>
        <v>291567870</v>
      </c>
      <c r="I13" s="10" t="str">
        <f>IF(ISNA(VLOOKUP(B13,[4]!DSKH,1,0)),"","x")</f>
        <v/>
      </c>
    </row>
    <row r="14" spans="1:9" s="10" customFormat="1" ht="16.5" customHeight="1">
      <c r="A14" s="6">
        <f t="shared" si="2"/>
        <v>9</v>
      </c>
      <c r="B14" s="7" t="s">
        <v>1022</v>
      </c>
      <c r="C14" s="8"/>
      <c r="D14" s="8"/>
      <c r="E14" s="8">
        <f t="array" ref="E14">SUM(IF("331"&amp;B14=KHN&amp;KH,TH))</f>
        <v>30000000</v>
      </c>
      <c r="F14" s="8">
        <f t="array" ref="F14">SUM(IF("331"&amp;B14=KHC&amp;KH,TH))</f>
        <v>586149795</v>
      </c>
      <c r="G14" s="55">
        <f t="shared" si="5"/>
        <v>0</v>
      </c>
      <c r="H14" s="55">
        <f t="shared" si="6"/>
        <v>556149795</v>
      </c>
      <c r="I14" s="10" t="str">
        <f>IF(ISNA(VLOOKUP(B14,[4]!DSKH,1,0)),"","x")</f>
        <v/>
      </c>
    </row>
    <row r="15" spans="1:9" s="10" customFormat="1" ht="16.5" customHeight="1">
      <c r="A15" s="6">
        <f t="shared" ref="A15:A22" si="7">IF(B15&lt;&gt;"",ROW()-5,"")</f>
        <v>10</v>
      </c>
      <c r="B15" s="193" t="s">
        <v>1116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25928320</v>
      </c>
      <c r="G15" s="758">
        <f t="shared" ref="G15:G22" si="8">ROUND(MAX(C15+E15-D15-F15,0),2)</f>
        <v>0</v>
      </c>
      <c r="H15" s="758">
        <f t="shared" ref="H15:H22" si="9">ROUND(MAX(D15+F15-C15-E15,0),2)</f>
        <v>25928320</v>
      </c>
      <c r="I15" s="10" t="str">
        <f>IF(ISNA(VLOOKUP(B15,[4]!DSKH,1,0)),"","x")</f>
        <v/>
      </c>
    </row>
    <row r="16" spans="1:9" s="10" customFormat="1" ht="16.5" customHeight="1">
      <c r="A16" s="6">
        <f t="shared" si="7"/>
        <v>11</v>
      </c>
      <c r="B16" s="7" t="s">
        <v>1027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8800000</v>
      </c>
      <c r="G16" s="758">
        <f t="shared" si="8"/>
        <v>0</v>
      </c>
      <c r="H16" s="758">
        <f t="shared" si="9"/>
        <v>8800000</v>
      </c>
      <c r="I16" s="10" t="str">
        <f>IF(ISNA(VLOOKUP(B16,[4]!DSKH,1,0)),"","x")</f>
        <v/>
      </c>
    </row>
    <row r="17" spans="1:9" s="10" customFormat="1" ht="16.5" customHeight="1">
      <c r="A17" s="6">
        <f t="shared" si="7"/>
        <v>12</v>
      </c>
      <c r="B17" s="7" t="s">
        <v>1063</v>
      </c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493307540</v>
      </c>
      <c r="G17" s="758">
        <f t="shared" si="8"/>
        <v>0</v>
      </c>
      <c r="H17" s="758">
        <f t="shared" si="9"/>
        <v>493307540</v>
      </c>
      <c r="I17" s="10" t="str">
        <f>IF(ISNA(VLOOKUP(B17,[4]!DSKH,1,0)),"","x")</f>
        <v/>
      </c>
    </row>
    <row r="18" spans="1:9" s="10" customFormat="1" ht="16.5" customHeight="1">
      <c r="A18" s="6">
        <f t="shared" si="7"/>
        <v>13</v>
      </c>
      <c r="B18" s="7" t="s">
        <v>1140</v>
      </c>
      <c r="C18" s="8"/>
      <c r="D18" s="8"/>
      <c r="E18" s="8">
        <f t="array" ref="E18">SUM(IF("331"&amp;B18=KHN&amp;KH,TH))</f>
        <v>0</v>
      </c>
      <c r="F18" s="8">
        <f t="array" ref="F18">SUM(IF("331"&amp;B18=KHC&amp;KH,TH))</f>
        <v>59400000</v>
      </c>
      <c r="G18" s="758">
        <f t="shared" si="8"/>
        <v>0</v>
      </c>
      <c r="H18" s="758">
        <f t="shared" si="9"/>
        <v>59400000</v>
      </c>
      <c r="I18" s="10" t="str">
        <f>IF(ISNA(VLOOKUP(B18,[4]!DSKH,1,0)),"","x")</f>
        <v/>
      </c>
    </row>
    <row r="19" spans="1:9" s="10" customFormat="1" ht="16.5" customHeight="1">
      <c r="A19" s="6">
        <f t="shared" si="7"/>
        <v>14</v>
      </c>
      <c r="B19" s="7" t="s">
        <v>1053</v>
      </c>
      <c r="C19" s="8"/>
      <c r="D19" s="8"/>
      <c r="E19" s="8">
        <f t="array" ref="E19">SUM(IF("331"&amp;B19=KHN&amp;KH,TH))</f>
        <v>3374910</v>
      </c>
      <c r="F19" s="8">
        <f t="array" ref="F19">SUM(IF("331"&amp;B19=KHC&amp;KH,TH))</f>
        <v>3374910</v>
      </c>
      <c r="G19" s="758">
        <f t="shared" si="8"/>
        <v>0</v>
      </c>
      <c r="H19" s="758">
        <f t="shared" si="9"/>
        <v>0</v>
      </c>
      <c r="I19" s="10" t="str">
        <f>IF(ISNA(VLOOKUP(B19,[4]!DSKH,1,0)),"","x")</f>
        <v/>
      </c>
    </row>
    <row r="20" spans="1:9" s="10" customFormat="1" ht="16.5" customHeight="1">
      <c r="A20" s="6">
        <f t="shared" si="7"/>
        <v>15</v>
      </c>
      <c r="B20" s="7" t="s">
        <v>1130</v>
      </c>
      <c r="C20" s="8"/>
      <c r="D20" s="8"/>
      <c r="E20" s="8">
        <f t="array" ref="E20">SUM(IF("331"&amp;B20=KHN&amp;KH,TH))</f>
        <v>0</v>
      </c>
      <c r="F20" s="8">
        <f t="array" ref="F20">SUM(IF("331"&amp;B20=KHC&amp;KH,TH))</f>
        <v>173000960</v>
      </c>
      <c r="G20" s="758">
        <f t="shared" si="8"/>
        <v>0</v>
      </c>
      <c r="H20" s="758">
        <f t="shared" si="9"/>
        <v>173000960</v>
      </c>
      <c r="I20" s="10" t="str">
        <f>IF(ISNA(VLOOKUP(B20,[4]!DSKH,1,0)),"","x")</f>
        <v/>
      </c>
    </row>
    <row r="21" spans="1:9" s="10" customFormat="1" ht="16.5" customHeight="1">
      <c r="A21" s="6">
        <f t="shared" si="7"/>
        <v>16</v>
      </c>
      <c r="B21" s="7" t="s">
        <v>1064</v>
      </c>
      <c r="C21" s="8"/>
      <c r="D21" s="8"/>
      <c r="E21" s="8">
        <f t="array" ref="E21">SUM(IF("331"&amp;B21=KHN&amp;KH,TH))</f>
        <v>32340000</v>
      </c>
      <c r="F21" s="8">
        <f t="array" ref="F21">SUM(IF("331"&amp;B21=KHC&amp;KH,TH))</f>
        <v>32340000</v>
      </c>
      <c r="G21" s="758">
        <f t="shared" si="8"/>
        <v>0</v>
      </c>
      <c r="H21" s="758">
        <f t="shared" si="9"/>
        <v>0</v>
      </c>
      <c r="I21" s="10" t="str">
        <f>IF(ISNA(VLOOKUP(B21,[4]!DSKH,1,0)),"","x")</f>
        <v/>
      </c>
    </row>
    <row r="22" spans="1:9" s="10" customFormat="1" ht="16.5" customHeight="1">
      <c r="A22" s="6">
        <f t="shared" si="7"/>
        <v>17</v>
      </c>
      <c r="B22" s="7" t="s">
        <v>1143</v>
      </c>
      <c r="C22" s="8"/>
      <c r="D22" s="8"/>
      <c r="E22" s="8">
        <f t="array" ref="E22">SUM(IF("331"&amp;B22=KHN&amp;KH,TH))</f>
        <v>2100000</v>
      </c>
      <c r="F22" s="8">
        <f t="array" ref="F22">SUM(IF("331"&amp;B22=KHC&amp;KH,TH))</f>
        <v>2100000</v>
      </c>
      <c r="G22" s="758">
        <f t="shared" si="8"/>
        <v>0</v>
      </c>
      <c r="H22" s="758">
        <f t="shared" si="9"/>
        <v>0</v>
      </c>
      <c r="I22" s="10" t="str">
        <f>IF(ISNA(VLOOKUP(B22,[4]!DSKH,1,0)),"","x")</f>
        <v/>
      </c>
    </row>
    <row r="23" spans="1:9" s="10" customFormat="1" ht="16.5" customHeight="1">
      <c r="A23" s="6" t="str">
        <f>IF(B23&lt;&gt;"",ROW()-3,"")</f>
        <v/>
      </c>
      <c r="B23" s="44"/>
      <c r="C23" s="8"/>
      <c r="D23" s="8"/>
      <c r="E23" s="462"/>
      <c r="F23" s="462"/>
      <c r="G23" s="463"/>
      <c r="H23" s="463"/>
      <c r="I23" s="10" t="str">
        <f>IF(ISNA(VLOOKUP(B23,[4]!DSKH,1,0)),"","x")</f>
        <v/>
      </c>
    </row>
    <row r="24" spans="1:9" s="14" customFormat="1" ht="14.25" customHeight="1">
      <c r="A24" s="11"/>
      <c r="B24" s="12" t="s">
        <v>39</v>
      </c>
      <c r="C24" s="13">
        <f t="shared" ref="C24:H24" si="10">SUM(C6:C23)</f>
        <v>0</v>
      </c>
      <c r="D24" s="13">
        <f t="shared" si="10"/>
        <v>0</v>
      </c>
      <c r="E24" s="13">
        <f t="shared" si="10"/>
        <v>241428557</v>
      </c>
      <c r="F24" s="13">
        <f t="shared" si="10"/>
        <v>3607102654</v>
      </c>
      <c r="G24" s="13">
        <f t="shared" si="10"/>
        <v>0</v>
      </c>
      <c r="H24" s="13">
        <f t="shared" si="10"/>
        <v>3365674097</v>
      </c>
    </row>
    <row r="25" spans="1:9">
      <c r="D25" s="183">
        <f>D24-CDPS!D30</f>
        <v>0</v>
      </c>
      <c r="E25" s="183">
        <f>E24-CDPS!E30</f>
        <v>-608330000</v>
      </c>
      <c r="F25" s="183">
        <f>F24-CDPS!F30</f>
        <v>0</v>
      </c>
      <c r="H25" s="183">
        <f>H24-G24-CDPS!H30</f>
        <v>608330000</v>
      </c>
    </row>
    <row r="26" spans="1:9">
      <c r="E26" s="15"/>
      <c r="F26" s="994" t="s">
        <v>420</v>
      </c>
      <c r="G26" s="994"/>
      <c r="H26" s="994"/>
    </row>
    <row r="27" spans="1:9">
      <c r="F27" s="994" t="s">
        <v>109</v>
      </c>
      <c r="G27" s="994"/>
      <c r="H27" s="994"/>
    </row>
    <row r="28" spans="1:9">
      <c r="E28" s="183"/>
      <c r="F28" s="994" t="s">
        <v>136</v>
      </c>
      <c r="G28" s="994"/>
      <c r="H28" s="994"/>
    </row>
  </sheetData>
  <mergeCells count="9">
    <mergeCell ref="F26:H26"/>
    <mergeCell ref="F27:H27"/>
    <mergeCell ref="F28:H28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4" t="str">
        <f>TH!A1</f>
        <v>Đơn vị: CÔNG TY TNHH SX TM KIM DUNG PHÁT</v>
      </c>
      <c r="B1" s="16"/>
      <c r="C1" s="16"/>
      <c r="G1" s="2"/>
      <c r="H1" s="1003" t="s">
        <v>46</v>
      </c>
      <c r="I1" s="1003"/>
      <c r="J1" s="1003"/>
    </row>
    <row r="2" spans="1:10" s="3" customFormat="1" ht="14.25" customHeight="1">
      <c r="A2" s="583" t="str">
        <f>TH!A2</f>
        <v>Địa chỉ: 1A227/1 Ấp 1, Phạm Văn Hai, Bình Chánh, TPHCM</v>
      </c>
      <c r="B2" s="16"/>
      <c r="C2" s="16"/>
      <c r="G2" s="17"/>
      <c r="H2" s="100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4"/>
      <c r="J2" s="1004"/>
    </row>
    <row r="3" spans="1:10" s="3" customFormat="1" ht="14.25" customHeight="1">
      <c r="A3" s="4"/>
      <c r="B3" s="16"/>
      <c r="C3" s="16"/>
      <c r="G3" s="17"/>
      <c r="H3" s="1004"/>
      <c r="I3" s="1004"/>
      <c r="J3" s="1004"/>
    </row>
    <row r="4" spans="1:10" s="5" customFormat="1" ht="28.5" customHeight="1">
      <c r="A4" s="1005" t="s">
        <v>26</v>
      </c>
      <c r="B4" s="1005"/>
      <c r="C4" s="1005"/>
      <c r="D4" s="1005"/>
      <c r="E4" s="1005"/>
      <c r="F4" s="1005"/>
      <c r="G4" s="1005"/>
      <c r="H4" s="1005"/>
      <c r="I4" s="1005"/>
      <c r="J4" s="100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6" t="s">
        <v>1022</v>
      </c>
      <c r="F7" s="1006"/>
      <c r="G7" s="1006"/>
      <c r="H7" s="100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07"/>
      <c r="D9" s="1007"/>
      <c r="E9" s="1007"/>
      <c r="F9" s="1007"/>
      <c r="G9" s="1007"/>
      <c r="H9" s="1007"/>
      <c r="I9" s="1007"/>
      <c r="J9" s="1007"/>
    </row>
    <row r="10" spans="1:10" s="18" customFormat="1" ht="14.25" customHeight="1">
      <c r="A10" s="971" t="s">
        <v>20</v>
      </c>
      <c r="B10" s="1002" t="s">
        <v>1</v>
      </c>
      <c r="C10" s="1002"/>
      <c r="D10" s="971" t="s">
        <v>0</v>
      </c>
      <c r="E10" s="971" t="s">
        <v>14</v>
      </c>
      <c r="F10" s="971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71"/>
      <c r="B11" s="30" t="s">
        <v>15</v>
      </c>
      <c r="C11" s="30" t="s">
        <v>32</v>
      </c>
      <c r="D11" s="971"/>
      <c r="E11" s="971"/>
      <c r="F11" s="97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VLOOKUP($E$7,'331'!$B$6:$H$23,2,0)</f>
        <v>0</v>
      </c>
      <c r="J13" s="47">
        <f>VLOOKUP($E$7,'331'!$B$6:$H$23,3,0)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26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26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41834</v>
      </c>
      <c r="B16" s="9" t="str">
        <f ca="1">IF(ROWS($1:3)&gt;COUNT(Dong),"",OFFSET(TH!D$1,SMALL(Dong,ROWS($1:3)),))</f>
        <v>NL/N07</v>
      </c>
      <c r="C16" s="9">
        <f ca="1">IF(ROWS($1:3)&gt;COUNT(Dong),"",OFFSET(TH!E$1,SMALL(Dong,ROWS($1:3)),))</f>
        <v>41834</v>
      </c>
      <c r="D16" s="226" t="str">
        <f ca="1">IF(ROWS($1:3)&gt;COUNT(Dong),"",OFFSET(TH!F$1,SMALL(Dong,ROWS($1:3)),))</f>
        <v>Giấy 2 da KT1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46838400</v>
      </c>
      <c r="I16" s="25">
        <f t="shared" ca="1" si="0"/>
        <v>0</v>
      </c>
      <c r="J16" s="25">
        <f t="shared" ca="1" si="1"/>
        <v>65310315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26" t="str">
        <f ca="1">IF(ROWS($1:4)&gt;COUNT(Dong),"",OFFSET(TH!F$1,SMALL(Dong,ROWS($1:4)),))</f>
        <v>VAT Giấy 2 da KT1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</v>
      </c>
      <c r="I17" s="25">
        <f t="shared" ca="1" si="0"/>
        <v>0</v>
      </c>
      <c r="J17" s="25">
        <f t="shared" ca="1" si="1"/>
        <v>69994155</v>
      </c>
    </row>
    <row r="18" spans="1:10" s="18" customFormat="1" ht="18" customHeight="1">
      <c r="A18" s="9">
        <f ca="1">IF(ROWS($1:5)&gt;COUNT(Dong),"",OFFSET(TH!C$1,SMALL(Dong,ROWS($1:5)),))</f>
        <v>41836</v>
      </c>
      <c r="B18" s="9" t="str">
        <f ca="1">IF(ROWS($1:5)&gt;COUNT(Dong),"",OFFSET(TH!D$1,SMALL(Dong,ROWS($1:5)),))</f>
        <v>NL/N09</v>
      </c>
      <c r="C18" s="9">
        <f ca="1">IF(ROWS($1:5)&gt;COUNT(Dong),"",OFFSET(TH!E$1,SMALL(Dong,ROWS($1:5)),))</f>
        <v>41836</v>
      </c>
      <c r="D18" s="226" t="str">
        <f ca="1">IF(ROWS($1:5)&gt;COUNT(Dong),"",OFFSET(TH!F$1,SMALL(Dong,ROWS($1:5)),))</f>
        <v>Giấy 2 da KT1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52876800</v>
      </c>
      <c r="I18" s="25">
        <f t="shared" ca="1" si="0"/>
        <v>0</v>
      </c>
      <c r="J18" s="25">
        <f t="shared" ca="1" si="1"/>
        <v>122870955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26" t="str">
        <f ca="1">IF(ROWS($1:6)&gt;COUNT(Dong),"",OFFSET(TH!F$1,SMALL(Dong,ROWS($1:6)),))</f>
        <v>VAT Giấy 2 da KT1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</v>
      </c>
      <c r="I19" s="25">
        <f t="shared" ca="1" si="0"/>
        <v>0</v>
      </c>
      <c r="J19" s="25">
        <f t="shared" ca="1" si="1"/>
        <v>128158635</v>
      </c>
    </row>
    <row r="20" spans="1:10" s="18" customFormat="1" ht="18" customHeight="1">
      <c r="A20" s="9">
        <f ca="1">IF(ROWS($1:7)&gt;COUNT(Dong),"",OFFSET(TH!C$1,SMALL(Dong,ROWS($1:7)),))</f>
        <v>41837</v>
      </c>
      <c r="B20" s="9" t="str">
        <f ca="1">IF(ROWS($1:7)&gt;COUNT(Dong),"",OFFSET(TH!D$1,SMALL(Dong,ROWS($1:7)),))</f>
        <v>NL/N10</v>
      </c>
      <c r="C20" s="9">
        <f ca="1">IF(ROWS($1:7)&gt;COUNT(Dong),"",OFFSET(TH!E$1,SMALL(Dong,ROWS($1:7)),))</f>
        <v>41837</v>
      </c>
      <c r="D20" s="226" t="str">
        <f ca="1">IF(ROWS($1:7)&gt;COUNT(Dong),"",OFFSET(TH!F$1,SMALL(Dong,ROWS($1:7)),))</f>
        <v>Giấy 2 da KT1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49872000</v>
      </c>
      <c r="I20" s="25">
        <f t="shared" ca="1" si="0"/>
        <v>0</v>
      </c>
      <c r="J20" s="25">
        <f t="shared" ca="1" si="1"/>
        <v>178030635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26" t="str">
        <f ca="1">IF(ROWS($1:8)&gt;COUNT(Dong),"",OFFSET(TH!F$1,SMALL(Dong,ROWS($1:8)),))</f>
        <v>VAT Giấy 2 da KT1</v>
      </c>
      <c r="E21" s="46" t="str">
        <f ca="1">IF(ROWS($1:8)&gt;COUNT(Dong),"",IF(OFFSET(TH!L$1,SMALL(Dong,ROWS($1:8)),)="331",OFFSET(TH!M$1,SMALL(Dong,ROWS($1:8)),),OFFSET(TH!L$1,SMALL(Dong,ROWS($1:8)),)))</f>
        <v>1331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183017835</v>
      </c>
    </row>
    <row r="22" spans="1:10" s="18" customFormat="1" ht="18" customHeight="1">
      <c r="A22" s="9">
        <f ca="1">IF(ROWS($1:9)&gt;COUNT(Dong),"",OFFSET(TH!C$1,SMALL(Dong,ROWS($1:9)),))</f>
        <v>41841</v>
      </c>
      <c r="B22" s="9" t="str">
        <f ca="1">IF(ROWS($1:9)&gt;COUNT(Dong),"",OFFSET(TH!D$1,SMALL(Dong,ROWS($1:9)),))</f>
        <v>NL/N11</v>
      </c>
      <c r="C22" s="9">
        <f ca="1">IF(ROWS($1:9)&gt;COUNT(Dong),"",OFFSET(TH!E$1,SMALL(Dong,ROWS($1:9)),))</f>
        <v>41841</v>
      </c>
      <c r="D22" s="226" t="str">
        <f ca="1">IF(ROWS($1:9)&gt;COUNT(Dong),"",OFFSET(TH!F$1,SMALL(Dong,ROWS($1:9)),))</f>
        <v>Giấy 2 da KT1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59923200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242941035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26" t="str">
        <f ca="1">IF(ROWS($1:10)&gt;COUNT(Dong),"",OFFSET(TH!F$1,SMALL(Dong,ROWS($1:10)),))</f>
        <v>VAT Giấy 2 da KT1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</v>
      </c>
      <c r="I23" s="25">
        <f t="shared" ca="1" si="4"/>
        <v>0</v>
      </c>
      <c r="J23" s="25">
        <f t="shared" ca="1" si="5"/>
        <v>248933355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NL/N12</v>
      </c>
      <c r="C24" s="9">
        <f ca="1">IF(ROWS($1:11)&gt;COUNT(Dong),"",OFFSET(TH!E$1,SMALL(Dong,ROWS($1:11)),))</f>
        <v>41841</v>
      </c>
      <c r="D24" s="226" t="str">
        <f ca="1">IF(ROWS($1:11)&gt;COUNT(Dong),"",OFFSET(TH!F$1,SMALL(Dong,ROWS($1:11)),))</f>
        <v>Giấy 2 da KT1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33849600</v>
      </c>
      <c r="I24" s="25">
        <f t="shared" ca="1" si="4"/>
        <v>0</v>
      </c>
      <c r="J24" s="25">
        <f t="shared" ca="1" si="5"/>
        <v>282782955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26" t="str">
        <f ca="1">IF(ROWS($1:12)&gt;COUNT(Dong),"",OFFSET(TH!F$1,SMALL(Dong,ROWS($1:12)),))</f>
        <v>VAT Giấy 2 da KT1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</v>
      </c>
      <c r="I25" s="25">
        <f t="shared" ca="1" si="4"/>
        <v>0</v>
      </c>
      <c r="J25" s="25">
        <f t="shared" ca="1" si="5"/>
        <v>286167915</v>
      </c>
    </row>
    <row r="26" spans="1:10" s="18" customFormat="1" ht="18" customHeight="1">
      <c r="A26" s="9">
        <f ca="1">IF(ROWS($1:13)&gt;COUNT(Dong),"",OFFSET(TH!C$1,SMALL(Dong,ROWS($1:13)),))</f>
        <v>41849</v>
      </c>
      <c r="B26" s="9" t="str">
        <f ca="1">IF(ROWS($1:13)&gt;COUNT(Dong),"",OFFSET(TH!D$1,SMALL(Dong,ROWS($1:13)),))</f>
        <v>NL/N15</v>
      </c>
      <c r="C26" s="9">
        <f ca="1">IF(ROWS($1:13)&gt;COUNT(Dong),"",OFFSET(TH!E$1,SMALL(Dong,ROWS($1:13)),))</f>
        <v>41849</v>
      </c>
      <c r="D26" s="226" t="str">
        <f ca="1">IF(ROWS($1:13)&gt;COUNT(Dong),"",OFFSET(TH!F$1,SMALL(Dong,ROWS($1:13)),))</f>
        <v>Giấy 2 da KT1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17779200</v>
      </c>
      <c r="I26" s="25">
        <f t="shared" ca="1" si="4"/>
        <v>0</v>
      </c>
      <c r="J26" s="25">
        <f t="shared" ca="1" si="5"/>
        <v>303947115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26" t="str">
        <f ca="1">IF(ROWS($1:14)&gt;COUNT(Dong),"",OFFSET(TH!F$1,SMALL(Dong,ROWS($1:14)),))</f>
        <v>VAT Giấy 2 da KT1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</v>
      </c>
      <c r="I27" s="25">
        <f t="shared" ca="1" si="4"/>
        <v>0</v>
      </c>
      <c r="J27" s="25">
        <f t="shared" ca="1" si="5"/>
        <v>305725035</v>
      </c>
    </row>
    <row r="28" spans="1:10" s="18" customFormat="1" ht="18" customHeight="1">
      <c r="A28" s="9">
        <f ca="1">IF(ROWS($1:15)&gt;COUNT(Dong),"",OFFSET(TH!C$1,SMALL(Dong,ROWS($1:15)),))</f>
        <v>41850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41850</v>
      </c>
      <c r="D28" s="226" t="str">
        <f ca="1">IF(ROWS($1:15)&gt;COUNT(Dong),"",OFFSET(TH!F$1,SMALL(Dong,ROWS($1:15)),))</f>
        <v>Giấy 2 da KT1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45657600</v>
      </c>
      <c r="I28" s="25">
        <f t="shared" ca="1" si="4"/>
        <v>0</v>
      </c>
      <c r="J28" s="25">
        <f t="shared" ca="1" si="5"/>
        <v>351382635</v>
      </c>
    </row>
    <row r="29" spans="1:10" s="18" customFormat="1" ht="18" customHeight="1">
      <c r="A29" s="9">
        <f ca="1">IF(ROWS($1:16)&gt;COUNT(Dong),"",OFFSET(TH!C$1,SMALL(Dong,ROWS($1:16)),))</f>
        <v>41850</v>
      </c>
      <c r="B29" s="9" t="str">
        <f ca="1">IF(ROWS($1:16)&gt;COUNT(Dong),"",OFFSET(TH!D$1,SMALL(Dong,ROWS($1:16)),))</f>
        <v>NL/N16</v>
      </c>
      <c r="C29" s="9">
        <f ca="1">IF(ROWS($1:16)&gt;COUNT(Dong),"",OFFSET(TH!E$1,SMALL(Dong,ROWS($1:16)),))</f>
        <v>41850</v>
      </c>
      <c r="D29" s="226" t="str">
        <f ca="1">IF(ROWS($1:16)&gt;COUNT(Dong),"",OFFSET(TH!F$1,SMALL(Dong,ROWS($1:16)),))</f>
        <v>Giấy 2 da K1Y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12528000</v>
      </c>
      <c r="I29" s="25">
        <f t="shared" ca="1" si="4"/>
        <v>0</v>
      </c>
      <c r="J29" s="25">
        <f t="shared" ca="1" si="5"/>
        <v>363910635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26" t="str">
        <f ca="1">IF(ROWS($1:17)&gt;COUNT(Dong),"",OFFSET(TH!F$1,SMALL(Dong,ROWS($1:17)),))</f>
        <v xml:space="preserve">VAT Giấy 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5818560</v>
      </c>
      <c r="I30" s="25">
        <f t="shared" ca="1" si="4"/>
        <v>0</v>
      </c>
      <c r="J30" s="25">
        <f t="shared" ca="1" si="5"/>
        <v>369729195</v>
      </c>
    </row>
    <row r="31" spans="1:10" s="18" customFormat="1" ht="18" customHeight="1">
      <c r="A31" s="9">
        <f ca="1">IF(ROWS($1:18)&gt;COUNT(Dong),"",OFFSET(TH!C$1,SMALL(Dong,ROWS($1:18)),))</f>
        <v>41853</v>
      </c>
      <c r="B31" s="9" t="str">
        <f ca="1">IF(ROWS($1:18)&gt;COUNT(Dong),"",OFFSET(TH!D$1,SMALL(Dong,ROWS($1:18)),))</f>
        <v>NL/N19</v>
      </c>
      <c r="C31" s="9">
        <f ca="1">IF(ROWS($1:18)&gt;COUNT(Dong),"",OFFSET(TH!E$1,SMALL(Dong,ROWS($1:18)),))</f>
        <v>41853</v>
      </c>
      <c r="D31" s="226" t="str">
        <f ca="1">IF(ROWS($1:18)&gt;COUNT(Dong),"",OFFSET(TH!F$1,SMALL(Dong,ROWS($1:18)),))</f>
        <v>Giấy cuộn xeo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11880000</v>
      </c>
      <c r="I31" s="25">
        <f t="shared" ca="1" si="4"/>
        <v>0</v>
      </c>
      <c r="J31" s="25">
        <f t="shared" ca="1" si="5"/>
        <v>381609195</v>
      </c>
    </row>
    <row r="32" spans="1:10" s="18" customFormat="1" ht="18" customHeight="1">
      <c r="A32" s="9">
        <f ca="1">IF(ROWS($1:19)&gt;COUNT(Dong),"",OFFSET(TH!C$1,SMALL(Dong,ROWS($1:19)),))</f>
        <v>41853</v>
      </c>
      <c r="B32" s="9" t="str">
        <f ca="1">IF(ROWS($1:19)&gt;COUNT(Dong),"",OFFSET(TH!D$1,SMALL(Dong,ROWS($1:19)),))</f>
        <v>NL/N19</v>
      </c>
      <c r="C32" s="9">
        <f ca="1">IF(ROWS($1:19)&gt;COUNT(Dong),"",OFFSET(TH!E$1,SMALL(Dong,ROWS($1:19)),))</f>
        <v>41853</v>
      </c>
      <c r="D32" s="226" t="str">
        <f ca="1">IF(ROWS($1:19)&gt;COUNT(Dong),"",OFFSET(TH!F$1,SMALL(Dong,ROWS($1:19)),))</f>
        <v>Giấy 2 da KT1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47289600</v>
      </c>
      <c r="I32" s="25">
        <f t="shared" ca="1" si="4"/>
        <v>0</v>
      </c>
      <c r="J32" s="25">
        <f t="shared" ca="1" si="5"/>
        <v>428898795</v>
      </c>
    </row>
    <row r="33" spans="1:10" s="18" customFormat="1" ht="18" customHeight="1">
      <c r="A33" s="9">
        <f ca="1">IF(ROWS($1:20)&gt;COUNT(Dong),"",OFFSET(TH!C$1,SMALL(Dong,ROWS($1:20)),))</f>
        <v>41853</v>
      </c>
      <c r="B33" s="9" t="str">
        <f ca="1">IF(ROWS($1:20)&gt;COUNT(Dong),"",OFFSET(TH!D$1,SMALL(Dong,ROWS($1:20)),))</f>
        <v>NL/N19</v>
      </c>
      <c r="C33" s="9">
        <f ca="1">IF(ROWS($1:20)&gt;COUNT(Dong),"",OFFSET(TH!E$1,SMALL(Dong,ROWS($1:20)),))</f>
        <v>41853</v>
      </c>
      <c r="D33" s="226" t="str">
        <f ca="1">IF(ROWS($1:20)&gt;COUNT(Dong),"",OFFSET(TH!F$1,SMALL(Dong,ROWS($1:20)),))</f>
        <v xml:space="preserve">VAT Giấy 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5916960</v>
      </c>
      <c r="I33" s="25">
        <f t="shared" ca="1" si="4"/>
        <v>0</v>
      </c>
      <c r="J33" s="25">
        <f t="shared" ca="1" si="5"/>
        <v>434815755</v>
      </c>
    </row>
    <row r="34" spans="1:10" s="18" customFormat="1" ht="18" customHeight="1">
      <c r="A34" s="9">
        <f ca="1">IF(ROWS($1:21)&gt;COUNT(Dong),"",OFFSET(TH!C$1,SMALL(Dong,ROWS($1:21)),))</f>
        <v>41858</v>
      </c>
      <c r="B34" s="9" t="str">
        <f ca="1">IF(ROWS($1:21)&gt;COUNT(Dong),"",OFFSET(TH!D$1,SMALL(Dong,ROWS($1:21)),))</f>
        <v>NL/N20</v>
      </c>
      <c r="C34" s="9">
        <f ca="1">IF(ROWS($1:21)&gt;COUNT(Dong),"",OFFSET(TH!E$1,SMALL(Dong,ROWS($1:21)),))</f>
        <v>41858</v>
      </c>
      <c r="D34" s="226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39127600</v>
      </c>
      <c r="I34" s="25">
        <f t="shared" ca="1" si="4"/>
        <v>0</v>
      </c>
      <c r="J34" s="25">
        <f t="shared" ca="1" si="5"/>
        <v>473943355</v>
      </c>
    </row>
    <row r="35" spans="1:10" s="18" customFormat="1" ht="18" customHeight="1">
      <c r="A35" s="9">
        <f ca="1">IF(ROWS($1:22)&gt;COUNT(Dong),"",OFFSET(TH!C$1,SMALL(Dong,ROWS($1:22)),))</f>
        <v>41858</v>
      </c>
      <c r="B35" s="9" t="str">
        <f ca="1">IF(ROWS($1:22)&gt;COUNT(Dong),"",OFFSET(TH!D$1,SMALL(Dong,ROWS($1:22)),))</f>
        <v>NL/N20</v>
      </c>
      <c r="C35" s="9">
        <f ca="1">IF(ROWS($1:22)&gt;COUNT(Dong),"",OFFSET(TH!E$1,SMALL(Dong,ROWS($1:22)),))</f>
        <v>41858</v>
      </c>
      <c r="D35" s="226" t="str">
        <f ca="1">IF(ROWS($1:22)&gt;COUNT(Dong),"",OFFSET(TH!F$1,SMALL(Dong,ROWS($1:22)),))</f>
        <v>VAT Giấy xeo</v>
      </c>
      <c r="E35" s="46" t="str">
        <f ca="1">IF(ROWS($1:22)&gt;COUNT(Dong),"",IF(OFFSET(TH!L$1,SMALL(Dong,ROWS($1:22)),)="331",OFFSET(TH!M$1,SMALL(Dong,ROWS($1:22)),),OFFSET(TH!L$1,SMALL(Dong,ROWS($1:22)),)))</f>
        <v>1331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3912760</v>
      </c>
      <c r="I35" s="25">
        <f t="shared" ca="1" si="4"/>
        <v>0</v>
      </c>
      <c r="J35" s="25">
        <f t="shared" ca="1" si="5"/>
        <v>477856115</v>
      </c>
    </row>
    <row r="36" spans="1:10" s="18" customFormat="1" ht="18" customHeight="1">
      <c r="A36" s="9">
        <f ca="1">IF(ROWS($1:23)&gt;COUNT(Dong),"",OFFSET(TH!C$1,SMALL(Dong,ROWS($1:23)),))</f>
        <v>41859</v>
      </c>
      <c r="B36" s="9" t="str">
        <f ca="1">IF(ROWS($1:23)&gt;COUNT(Dong),"",OFFSET(TH!D$1,SMALL(Dong,ROWS($1:23)),))</f>
        <v>NL/N21</v>
      </c>
      <c r="C36" s="9">
        <f ca="1">IF(ROWS($1:23)&gt;COUNT(Dong),"",OFFSET(TH!E$1,SMALL(Dong,ROWS($1:23)),))</f>
        <v>41859</v>
      </c>
      <c r="D36" s="226" t="str">
        <f ca="1">IF(ROWS($1:23)&gt;COUNT(Dong),"",OFFSET(TH!F$1,SMALL(Dong,ROWS($1:23)),))</f>
        <v>Giấy 2 da KT1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50630400</v>
      </c>
      <c r="I36" s="25">
        <f t="shared" ca="1" si="4"/>
        <v>0</v>
      </c>
      <c r="J36" s="25">
        <f t="shared" ca="1" si="5"/>
        <v>528486515</v>
      </c>
    </row>
    <row r="37" spans="1:10" s="18" customFormat="1" ht="18" customHeight="1">
      <c r="A37" s="9">
        <f ca="1">IF(ROWS($1:24)&gt;COUNT(Dong),"",OFFSET(TH!C$1,SMALL(Dong,ROWS($1:24)),))</f>
        <v>41859</v>
      </c>
      <c r="B37" s="9" t="str">
        <f ca="1">IF(ROWS($1:24)&gt;COUNT(Dong),"",OFFSET(TH!D$1,SMALL(Dong,ROWS($1:24)),))</f>
        <v>NL/N21</v>
      </c>
      <c r="C37" s="9">
        <f ca="1">IF(ROWS($1:24)&gt;COUNT(Dong),"",OFFSET(TH!E$1,SMALL(Dong,ROWS($1:24)),))</f>
        <v>41859</v>
      </c>
      <c r="D37" s="226" t="str">
        <f ca="1">IF(ROWS($1:24)&gt;COUNT(Dong),"",OFFSET(TH!F$1,SMALL(Dong,ROWS($1:24)),))</f>
        <v xml:space="preserve">VAT Giấy 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5063040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533549555</v>
      </c>
    </row>
    <row r="38" spans="1:10" s="18" customFormat="1" ht="18" customHeight="1">
      <c r="A38" s="9">
        <f ca="1">IF(ROWS($1:25)&gt;COUNT(Dong),"",OFFSET(TH!C$1,SMALL(Dong,ROWS($1:25)),))</f>
        <v>41864</v>
      </c>
      <c r="B38" s="9" t="str">
        <f ca="1">IF(ROWS($1:25)&gt;COUNT(Dong),"",OFFSET(TH!D$1,SMALL(Dong,ROWS($1:25)),))</f>
        <v>NL/N22</v>
      </c>
      <c r="C38" s="9">
        <f ca="1">IF(ROWS($1:25)&gt;COUNT(Dong),"",OFFSET(TH!E$1,SMALL(Dong,ROWS($1:25)),))</f>
        <v>41864</v>
      </c>
      <c r="D38" s="226" t="str">
        <f ca="1">IF(ROWS($1:25)&gt;COUNT(Dong),"",OFFSET(TH!F$1,SMALL(Dong,ROWS($1:25)),))</f>
        <v>Giấy 2 da KT1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16262400</v>
      </c>
      <c r="I38" s="25">
        <f t="shared" ca="1" si="6"/>
        <v>0</v>
      </c>
      <c r="J38" s="25">
        <f t="shared" ca="1" si="7"/>
        <v>549811955</v>
      </c>
    </row>
    <row r="39" spans="1:10" s="18" customFormat="1" ht="18" customHeight="1">
      <c r="A39" s="9">
        <f ca="1">IF(ROWS($1:26)&gt;COUNT(Dong),"",OFFSET(TH!C$1,SMALL(Dong,ROWS($1:26)),))</f>
        <v>41864</v>
      </c>
      <c r="B39" s="9" t="str">
        <f ca="1">IF(ROWS($1:26)&gt;COUNT(Dong),"",OFFSET(TH!D$1,SMALL(Dong,ROWS($1:26)),))</f>
        <v>NL/N22</v>
      </c>
      <c r="C39" s="9">
        <f ca="1">IF(ROWS($1:26)&gt;COUNT(Dong),"",OFFSET(TH!E$1,SMALL(Dong,ROWS($1:26)),))</f>
        <v>41864</v>
      </c>
      <c r="D39" s="226" t="str">
        <f ca="1">IF(ROWS($1:26)&gt;COUNT(Dong),"",OFFSET(TH!F$1,SMALL(Dong,ROWS($1:26)),))</f>
        <v>Giấy cuộn xeo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31556000</v>
      </c>
      <c r="I39" s="25">
        <f t="shared" ca="1" si="6"/>
        <v>0</v>
      </c>
      <c r="J39" s="25">
        <f t="shared" ca="1" si="7"/>
        <v>581367955</v>
      </c>
    </row>
    <row r="40" spans="1:10" s="18" customFormat="1" ht="18" customHeight="1">
      <c r="A40" s="9">
        <f ca="1">IF(ROWS($1:27)&gt;COUNT(Dong),"",OFFSET(TH!C$1,SMALL(Dong,ROWS($1:27)),))</f>
        <v>41864</v>
      </c>
      <c r="B40" s="9" t="str">
        <f ca="1">IF(ROWS($1:27)&gt;COUNT(Dong),"",OFFSET(TH!D$1,SMALL(Dong,ROWS($1:27)),))</f>
        <v>NL/N22</v>
      </c>
      <c r="C40" s="9">
        <f ca="1">IF(ROWS($1:27)&gt;COUNT(Dong),"",OFFSET(TH!E$1,SMALL(Dong,ROWS($1:27)),))</f>
        <v>41864</v>
      </c>
      <c r="D40" s="226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4781840</v>
      </c>
      <c r="I40" s="25">
        <f t="shared" ca="1" si="6"/>
        <v>0</v>
      </c>
      <c r="J40" s="25">
        <f t="shared" ca="1" si="7"/>
        <v>586149795</v>
      </c>
    </row>
    <row r="41" spans="1:10" s="18" customFormat="1" ht="18" customHeight="1">
      <c r="A41" s="9">
        <f ca="1">IF(ROWS($1:28)&gt;COUNT(Dong),"",OFFSET(TH!C$1,SMALL(Dong,ROWS($1:28)),))</f>
        <v>41851</v>
      </c>
      <c r="B41" s="9" t="str">
        <f ca="1">IF(ROWS($1:28)&gt;COUNT(Dong),"",OFFSET(TH!D$1,SMALL(Dong,ROWS($1:28)),))</f>
        <v>GBN</v>
      </c>
      <c r="C41" s="9">
        <f ca="1">IF(ROWS($1:28)&gt;COUNT(Dong),"",OFFSET(TH!E$1,SMALL(Dong,ROWS($1:28)),))</f>
        <v>41851</v>
      </c>
      <c r="D41" s="226" t="str">
        <f ca="1">IF(ROWS($1:28)&gt;COUNT(Dong),"",OFFSET(TH!F$1,SMALL(Dong,ROWS($1:28)),))</f>
        <v>Thanh toán tiền hàng</v>
      </c>
      <c r="E41" s="46" t="str">
        <f ca="1">IF(ROWS($1:28)&gt;COUNT(Dong),"",IF(OFFSET(TH!L$1,SMALL(Dong,ROWS($1:28)),)="331",OFFSET(TH!M$1,SMALL(Dong,ROWS($1:28)),),OFFSET(TH!L$1,SMALL(Dong,ROWS($1:28)),)))</f>
        <v>1121</v>
      </c>
      <c r="F41" s="46"/>
      <c r="G41" s="58">
        <f ca="1">IF(ROWS($1:28)&gt;COUNT(Dong),"",IF(OFFSET(TH!L$1,SMALL(Dong,ROWS($1:28)),)="331",OFFSET(TH!K$1,SMALL(Dong,ROWS($1:28)),),0))</f>
        <v>30000000</v>
      </c>
      <c r="H41" s="58">
        <f ca="1">IF(ROWS($1:28)&gt;COUNT(Dong),"",IF(OFFSET(TH!M$1,SMALL(Dong,ROWS($1:28)),)="331",OFFSET(TH!K$1,SMALL(Dong,ROWS($1:28)),),0))</f>
        <v>0</v>
      </c>
      <c r="I41" s="25">
        <f t="shared" ca="1" si="6"/>
        <v>0</v>
      </c>
      <c r="J41" s="25">
        <f t="shared" ca="1" si="7"/>
        <v>556149795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556149795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0" t="str">
        <f ca="1">"Ngày 31 tháng  12  năm  "&amp;YEAR($A$14)</f>
        <v>Ngày 31 tháng  12  năm  2014</v>
      </c>
      <c r="F56" s="960"/>
      <c r="G56" s="960"/>
      <c r="H56" s="960"/>
      <c r="I56" s="960"/>
      <c r="J56" s="960"/>
    </row>
    <row r="57" spans="1:11" s="18" customFormat="1" ht="14.25" customHeight="1">
      <c r="C57" s="214" t="s">
        <v>11</v>
      </c>
      <c r="E57" s="960" t="s">
        <v>12</v>
      </c>
      <c r="F57" s="960"/>
      <c r="G57" s="960"/>
      <c r="H57" s="960"/>
      <c r="I57" s="960"/>
      <c r="J57" s="960"/>
    </row>
    <row r="58" spans="1:11" s="18" customFormat="1" ht="14.25" customHeight="1">
      <c r="C58" s="214" t="s">
        <v>13</v>
      </c>
      <c r="E58" s="960" t="s">
        <v>13</v>
      </c>
      <c r="F58" s="960"/>
      <c r="G58" s="960"/>
      <c r="H58" s="960"/>
      <c r="I58" s="960"/>
      <c r="J58" s="96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995" t="s">
        <v>1291</v>
      </c>
      <c r="B1" s="995"/>
      <c r="C1" s="995"/>
      <c r="D1" s="995"/>
      <c r="E1" s="995"/>
      <c r="F1" s="995"/>
      <c r="G1" s="995"/>
      <c r="H1" s="995"/>
      <c r="I1" s="995"/>
    </row>
    <row r="2" spans="1:9" s="10" customFormat="1" ht="15.75" customHeight="1">
      <c r="A2" s="1010" t="s">
        <v>35</v>
      </c>
      <c r="B2" s="1011" t="s">
        <v>1292</v>
      </c>
      <c r="C2" s="1011" t="s">
        <v>1293</v>
      </c>
      <c r="D2" s="1011" t="s">
        <v>37</v>
      </c>
      <c r="E2" s="1011"/>
      <c r="F2" s="1011" t="s">
        <v>38</v>
      </c>
      <c r="G2" s="1011"/>
      <c r="H2" s="1012" t="s">
        <v>346</v>
      </c>
      <c r="I2" s="1001"/>
    </row>
    <row r="3" spans="1:9" s="10" customFormat="1" ht="15.75" customHeight="1">
      <c r="A3" s="1010"/>
      <c r="B3" s="1011"/>
      <c r="C3" s="1011"/>
      <c r="D3" s="875" t="s">
        <v>42</v>
      </c>
      <c r="E3" s="875" t="s">
        <v>43</v>
      </c>
      <c r="F3" s="875" t="s">
        <v>42</v>
      </c>
      <c r="G3" s="875" t="s">
        <v>43</v>
      </c>
      <c r="H3" s="875" t="s">
        <v>42</v>
      </c>
      <c r="I3" s="875" t="s">
        <v>43</v>
      </c>
    </row>
    <row r="4" spans="1:9" s="10" customFormat="1" ht="18" customHeight="1">
      <c r="A4" s="447">
        <f t="shared" ref="A4:A10" si="0">IF(B4&lt;&gt;"",ROW()-3,"")</f>
        <v>1</v>
      </c>
      <c r="B4" s="903" t="s">
        <v>1315</v>
      </c>
      <c r="C4" s="879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77">
        <f t="shared" ref="H4:H10" si="1">ROUND(MAX(D4+F4-E4-G4,0),2)</f>
        <v>0</v>
      </c>
      <c r="I4" s="877">
        <f t="shared" ref="I4:I10" si="2">ROUND(MAX(E4+G4-D4-F4,0),2)</f>
        <v>1000000000</v>
      </c>
    </row>
    <row r="5" spans="1:9" s="10" customFormat="1" ht="18" customHeight="1">
      <c r="A5" s="447">
        <f t="shared" si="0"/>
        <v>2</v>
      </c>
      <c r="B5" s="7" t="s">
        <v>1302</v>
      </c>
      <c r="C5" s="876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77">
        <f t="shared" si="1"/>
        <v>0</v>
      </c>
      <c r="I5" s="877">
        <f t="shared" si="2"/>
        <v>0</v>
      </c>
    </row>
    <row r="6" spans="1:9" s="10" customFormat="1" ht="18" customHeight="1">
      <c r="A6" s="447">
        <f t="shared" si="0"/>
        <v>3</v>
      </c>
      <c r="B6" s="7" t="s">
        <v>1312</v>
      </c>
      <c r="C6" s="876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77">
        <f t="shared" si="1"/>
        <v>0</v>
      </c>
      <c r="I6" s="877">
        <f t="shared" si="2"/>
        <v>0</v>
      </c>
    </row>
    <row r="7" spans="1:9" s="10" customFormat="1" ht="18" customHeight="1">
      <c r="A7" s="447">
        <f t="shared" si="0"/>
        <v>4</v>
      </c>
      <c r="B7" s="7" t="s">
        <v>1320</v>
      </c>
      <c r="C7" s="876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77">
        <f t="shared" si="1"/>
        <v>0</v>
      </c>
      <c r="I7" s="877">
        <f t="shared" si="2"/>
        <v>99560000</v>
      </c>
    </row>
    <row r="8" spans="1:9" s="10" customFormat="1" ht="18" customHeight="1">
      <c r="A8" s="447">
        <f t="shared" si="0"/>
        <v>5</v>
      </c>
      <c r="B8" s="7" t="s">
        <v>1322</v>
      </c>
      <c r="C8" s="876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77">
        <f t="shared" si="1"/>
        <v>0</v>
      </c>
      <c r="I8" s="877">
        <f t="shared" si="2"/>
        <v>99560000</v>
      </c>
    </row>
    <row r="9" spans="1:9" s="10" customFormat="1" ht="18" customHeight="1">
      <c r="A9" s="447">
        <f t="shared" si="0"/>
        <v>6</v>
      </c>
      <c r="B9" s="7" t="s">
        <v>1328</v>
      </c>
      <c r="C9" s="876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77">
        <f t="shared" si="1"/>
        <v>0</v>
      </c>
      <c r="I9" s="877">
        <f t="shared" si="2"/>
        <v>99560000</v>
      </c>
    </row>
    <row r="10" spans="1:9" s="10" customFormat="1" ht="18" customHeight="1">
      <c r="A10" s="447">
        <f t="shared" si="0"/>
        <v>7</v>
      </c>
      <c r="B10" s="7" t="s">
        <v>1330</v>
      </c>
      <c r="C10" s="876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77">
        <f t="shared" si="1"/>
        <v>0</v>
      </c>
      <c r="I10" s="877">
        <f t="shared" si="2"/>
        <v>97900000</v>
      </c>
    </row>
    <row r="11" spans="1:9" s="10" customFormat="1" ht="18" customHeight="1">
      <c r="A11" s="447" t="str">
        <f t="shared" ref="A11:A12" si="3">IF(B11&lt;&gt;"",ROW()-3,"")</f>
        <v/>
      </c>
      <c r="B11" s="7"/>
      <c r="C11" s="876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77">
        <f t="shared" ref="H11" si="4">ROUND(MAX(D11+F11-E11-G11,0),2)</f>
        <v>0</v>
      </c>
      <c r="I11" s="877">
        <f t="shared" ref="I11" si="5">ROUND(MAX(E11+G11-D11-F11,0),2)</f>
        <v>0</v>
      </c>
    </row>
    <row r="12" spans="1:9" s="10" customFormat="1" ht="18" customHeight="1">
      <c r="A12" s="447" t="str">
        <f t="shared" si="3"/>
        <v/>
      </c>
      <c r="B12" s="880"/>
      <c r="C12" s="881"/>
      <c r="D12" s="182"/>
      <c r="E12" s="182"/>
      <c r="F12" s="182"/>
      <c r="G12" s="182"/>
      <c r="H12" s="878"/>
      <c r="I12" s="878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3" customFormat="1" ht="16.5" customHeight="1">
      <c r="A1" s="584" t="str">
        <f>TH!A1</f>
        <v>Đơn vị: CÔNG TY TNHH SX TM KIM DUNG PHÁT</v>
      </c>
      <c r="B1" s="882"/>
      <c r="C1" s="882"/>
      <c r="F1" s="882"/>
      <c r="G1" s="1003" t="s">
        <v>1294</v>
      </c>
      <c r="H1" s="1003"/>
      <c r="I1" s="1003"/>
    </row>
    <row r="2" spans="1:9" s="883" customFormat="1" ht="16.5" customHeight="1">
      <c r="A2" s="583" t="str">
        <f>TH!A2</f>
        <v>Địa chỉ: 1A227/1 Ấp 1, Phạm Văn Hai, Bình Chánh, TPHCM</v>
      </c>
      <c r="B2" s="845"/>
      <c r="C2" s="845"/>
      <c r="F2" s="706"/>
      <c r="G2" s="1004" t="s">
        <v>1295</v>
      </c>
      <c r="H2" s="1004"/>
      <c r="I2" s="1004"/>
    </row>
    <row r="3" spans="1:9" s="883" customFormat="1" ht="16.5" customHeight="1">
      <c r="A3" s="845"/>
      <c r="B3" s="845"/>
      <c r="C3" s="845"/>
      <c r="F3" s="706"/>
      <c r="G3" s="1004"/>
      <c r="H3" s="1004"/>
      <c r="I3" s="1004"/>
    </row>
    <row r="4" spans="1:9" s="883" customFormat="1" ht="16.5" customHeight="1">
      <c r="A4" s="845"/>
      <c r="B4" s="845"/>
      <c r="C4" s="845"/>
      <c r="F4" s="706"/>
      <c r="G4" s="846"/>
      <c r="H4" s="846"/>
      <c r="I4" s="846"/>
    </row>
    <row r="5" spans="1:9" s="18" customFormat="1" ht="23.25" customHeight="1">
      <c r="A5" s="1018" t="s">
        <v>1296</v>
      </c>
      <c r="B5" s="1018"/>
      <c r="C5" s="1018"/>
      <c r="D5" s="1018"/>
      <c r="E5" s="1018"/>
      <c r="F5" s="1018"/>
      <c r="G5" s="1018"/>
      <c r="H5" s="1018"/>
      <c r="I5" s="1018"/>
    </row>
    <row r="6" spans="1:9" s="18" customFormat="1">
      <c r="A6" s="960" t="s">
        <v>1297</v>
      </c>
      <c r="B6" s="960"/>
      <c r="C6" s="960"/>
      <c r="D6" s="960"/>
      <c r="E6" s="960"/>
      <c r="F6" s="960"/>
      <c r="G6" s="960"/>
      <c r="H6" s="960"/>
      <c r="I6" s="960"/>
    </row>
    <row r="7" spans="1:9" s="18" customFormat="1">
      <c r="A7" s="960" t="s">
        <v>1298</v>
      </c>
      <c r="B7" s="960"/>
      <c r="C7" s="960"/>
      <c r="D7" s="960"/>
      <c r="E7" s="960"/>
      <c r="F7" s="960"/>
      <c r="G7" s="960"/>
      <c r="H7" s="960"/>
      <c r="I7" s="960"/>
    </row>
    <row r="8" spans="1:9" s="18" customFormat="1" ht="15" customHeight="1">
      <c r="A8" s="960" t="str">
        <f>IF(MID($E$9,4,4)="1015","Đối tượng cho vay: NH Eximbank CN Q11","Đối tượng cho vay: NH Eximbank CN Q4")</f>
        <v>Đối tượng cho vay: NH Eximbank CN Q4</v>
      </c>
      <c r="B8" s="960"/>
      <c r="C8" s="960"/>
      <c r="D8" s="960"/>
      <c r="E8" s="960"/>
      <c r="F8" s="960"/>
      <c r="G8" s="960"/>
      <c r="H8" s="960"/>
      <c r="I8" s="960"/>
    </row>
    <row r="9" spans="1:9" s="18" customFormat="1">
      <c r="A9" s="843"/>
      <c r="B9" s="843"/>
      <c r="C9" s="843"/>
      <c r="D9" s="20" t="s">
        <v>1299</v>
      </c>
      <c r="E9" s="1013" t="s">
        <v>1302</v>
      </c>
      <c r="F9" s="1013"/>
      <c r="G9" s="847" t="str">
        <f>"ngày "&amp; TEXT(VLOOKUP($E$9,'341'!$B$4:$I$12,2,0),"dd/MM/yy")</f>
        <v>ngày 29/05/14</v>
      </c>
      <c r="H9" s="843"/>
      <c r="I9" s="843"/>
    </row>
    <row r="10" spans="1:9" s="18" customFormat="1">
      <c r="A10" s="960" t="s">
        <v>1306</v>
      </c>
      <c r="B10" s="960"/>
      <c r="C10" s="960"/>
      <c r="D10" s="960"/>
      <c r="E10" s="960"/>
      <c r="F10" s="960"/>
      <c r="G10" s="960"/>
      <c r="H10" s="960"/>
      <c r="I10" s="960"/>
    </row>
    <row r="11" spans="1:9" s="18" customFormat="1">
      <c r="C11" s="1007"/>
      <c r="D11" s="1007"/>
      <c r="E11" s="1007"/>
      <c r="F11" s="1007"/>
      <c r="G11" s="1007"/>
      <c r="H11" s="1007"/>
      <c r="I11" s="1007"/>
    </row>
    <row r="12" spans="1:9" s="18" customFormat="1" ht="15.75" customHeight="1">
      <c r="A12" s="1014" t="s">
        <v>20</v>
      </c>
      <c r="B12" s="1008" t="s">
        <v>1</v>
      </c>
      <c r="C12" s="1009"/>
      <c r="D12" s="1014" t="s">
        <v>0</v>
      </c>
      <c r="E12" s="1014" t="s">
        <v>14</v>
      </c>
      <c r="F12" s="1016" t="s">
        <v>1303</v>
      </c>
      <c r="G12" s="1017"/>
      <c r="H12" s="1016" t="s">
        <v>1304</v>
      </c>
      <c r="I12" s="1017"/>
    </row>
    <row r="13" spans="1:9" s="18" customFormat="1" ht="33.75" customHeight="1">
      <c r="A13" s="1015"/>
      <c r="B13" s="242" t="s">
        <v>15</v>
      </c>
      <c r="C13" s="242" t="s">
        <v>32</v>
      </c>
      <c r="D13" s="1015"/>
      <c r="E13" s="1015"/>
      <c r="F13" s="901" t="s">
        <v>22</v>
      </c>
      <c r="G13" s="901" t="s">
        <v>23</v>
      </c>
      <c r="H13" s="901" t="s">
        <v>22</v>
      </c>
      <c r="I13" s="901" t="s">
        <v>23</v>
      </c>
    </row>
    <row r="14" spans="1:9" s="843" customFormat="1">
      <c r="A14" s="844" t="s">
        <v>2</v>
      </c>
      <c r="B14" s="848" t="s">
        <v>3</v>
      </c>
      <c r="C14" s="844" t="s">
        <v>4</v>
      </c>
      <c r="D14" s="844" t="s">
        <v>5</v>
      </c>
      <c r="E14" s="844" t="s">
        <v>6</v>
      </c>
      <c r="F14" s="844">
        <v>3</v>
      </c>
      <c r="G14" s="844">
        <v>5</v>
      </c>
      <c r="H14" s="844">
        <v>7</v>
      </c>
      <c r="I14" s="844">
        <v>9</v>
      </c>
    </row>
    <row r="15" spans="1:9" s="18" customFormat="1" ht="19.5" customHeight="1">
      <c r="A15" s="884"/>
      <c r="B15" s="884"/>
      <c r="C15" s="884"/>
      <c r="D15" s="237" t="s">
        <v>7</v>
      </c>
      <c r="E15" s="238"/>
      <c r="F15" s="884"/>
      <c r="G15" s="884"/>
      <c r="H15" s="885">
        <f>VLOOKUP($E$9,'341'!$B$4:$I$12,3,0)</f>
        <v>0</v>
      </c>
      <c r="I15" s="885">
        <f>VLOOKUP($E$9,'341'!$B$4:$I$12,4,0)</f>
        <v>0</v>
      </c>
    </row>
    <row r="16" spans="1:9" s="18" customFormat="1" ht="19.5" customHeight="1">
      <c r="A16" s="199">
        <f ca="1">IF(ROWS($1:1)&gt;COUNT(Dong4),"",OFFSET(TH!C$1,SMALL(Dong4,ROWS($1:1)),))</f>
        <v>41788</v>
      </c>
      <c r="B16" s="184" t="str">
        <f ca="1">IF(ROWS($1:1)&gt;COUNT(Dong4),"",OFFSET(TH!D$1,SMALL(Dong4,ROWS($1:1)),))</f>
        <v>GBC</v>
      </c>
      <c r="C16" s="184">
        <f ca="1">IF(ROWS($1:1)&gt;COUNT(Dong4),"",OFFSET(TH!E$1,SMALL(Dong4,ROWS($1:1)),))</f>
        <v>41788</v>
      </c>
      <c r="D16" s="886" t="str">
        <f ca="1">IF(ROWS($1:1)&gt;COUNT(Dong4),"",OFFSET(TH!F$1,SMALL(Dong4,ROWS($1:1)),))</f>
        <v>Vay KU: 6360LDS201402161</v>
      </c>
      <c r="E16" s="184" t="str">
        <f ca="1">IF(ROWS($1:1)&gt;COUNT(Dong4),"",IF(LEFT(OFFSET(TH!M$1,SMALL(Dong4,ROWS($1:1)),),3)="341",OFFSET(TH!L$1,SMALL(Dong4,ROWS($1:1)),),OFFSET(TH!M$1,SMALL(Dong4,ROWS($1:1)),)))</f>
        <v>1121</v>
      </c>
      <c r="F16" s="776">
        <f ca="1">IF(ROWS($1:1)&gt;COUNT(Dong4),"",IF(LEFT(OFFSET(TH!L$1,SMALL(Dong4,ROWS($1:1)),),3)="341",OFFSET(TH!K$1,SMALL(Dong4,ROWS($1:1)),),0))</f>
        <v>0</v>
      </c>
      <c r="G16" s="776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87" customFormat="1" ht="19.5" customHeight="1">
      <c r="A17" s="199">
        <f ca="1">IF(ROWS($1:2)&gt;COUNT(Dong4),"",OFFSET(TH!C$1,SMALL(Dong4,ROWS($1:2)),))</f>
        <v>41983</v>
      </c>
      <c r="B17" s="184" t="str">
        <f ca="1">IF(ROWS($1:2)&gt;COUNT(Dong4),"",OFFSET(TH!D$1,SMALL(Dong4,ROWS($1:2)),))</f>
        <v>GBN</v>
      </c>
      <c r="C17" s="184">
        <f ca="1">IF(ROWS($1:2)&gt;COUNT(Dong4),"",OFFSET(TH!E$1,SMALL(Dong4,ROWS($1:2)),))</f>
        <v>41983</v>
      </c>
      <c r="D17" s="886" t="str">
        <f ca="1">IF(ROWS($1:2)&gt;COUNT(Dong4),"",OFFSET(TH!F$1,SMALL(Dong4,ROWS($1:2)),))</f>
        <v>Thu gốc vay</v>
      </c>
      <c r="E17" s="184" t="str">
        <f ca="1">IF(ROWS($1:2)&gt;COUNT(Dong4),"",IF(LEFT(OFFSET(TH!M$1,SMALL(Dong4,ROWS($1:2)),),3)="341",OFFSET(TH!L$1,SMALL(Dong4,ROWS($1:2)),),OFFSET(TH!M$1,SMALL(Dong4,ROWS($1:2)),)))</f>
        <v>1121</v>
      </c>
      <c r="F17" s="776">
        <f ca="1">IF(ROWS($1:2)&gt;COUNT(Dong4),"",IF(LEFT(OFFSET(TH!L$1,SMALL(Dong4,ROWS($1:2)),),3)="341",OFFSET(TH!K$1,SMALL(Dong4,ROWS($1:2)),),0))</f>
        <v>105000000</v>
      </c>
      <c r="G17" s="776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IF(ROWS($1:3)&gt;COUNT(Dong4),"",OFFSET(TH!C$1,SMALL(Dong4,ROWS($1:3)),))</f>
        <v/>
      </c>
      <c r="B18" s="184" t="str">
        <f ca="1">IF(ROWS($1:3)&gt;COUNT(Dong4),"",OFFSET(TH!D$1,SMALL(Dong4,ROWS($1:3)),))</f>
        <v/>
      </c>
      <c r="C18" s="184" t="str">
        <f ca="1">IF(ROWS($1:3)&gt;COUNT(Dong4),"",OFFSET(TH!E$1,SMALL(Dong4,ROWS($1:3)),))</f>
        <v/>
      </c>
      <c r="D18" s="886" t="str">
        <f ca="1">IF(ROWS($1:3)&gt;COUNT(Dong4),"",OFFSET(TH!F$1,SMALL(Dong4,ROWS($1:3)),))</f>
        <v/>
      </c>
      <c r="E18" s="184" t="str">
        <f ca="1">IF(ROWS($1:3)&gt;COUNT(Dong4),"",IF(LEFT(OFFSET(TH!M$1,SMALL(Dong4,ROWS($1:3)),),3)="341",OFFSET(TH!L$1,SMALL(Dong4,ROWS($1:3)),),OFFSET(TH!M$1,SMALL(Dong4,ROWS($1:3)),)))</f>
        <v/>
      </c>
      <c r="F18" s="776" t="str">
        <f ca="1">IF(ROWS($1:3)&gt;COUNT(Dong4),"",IF(LEFT(OFFSET(TH!L$1,SMALL(Dong4,ROWS($1:3)),),3)="341",OFFSET(TH!K$1,SMALL(Dong4,ROWS($1:3)),),0))</f>
        <v/>
      </c>
      <c r="G18" s="776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IF(ROWS($1:4)&gt;COUNT(Dong4),"",OFFSET(TH!C$1,SMALL(Dong4,ROWS($1:4)),))</f>
        <v/>
      </c>
      <c r="B19" s="184" t="str">
        <f ca="1">IF(ROWS($1:4)&gt;COUNT(Dong4),"",OFFSET(TH!D$1,SMALL(Dong4,ROWS($1:4)),))</f>
        <v/>
      </c>
      <c r="C19" s="184" t="str">
        <f ca="1">IF(ROWS($1:4)&gt;COUNT(Dong4),"",OFFSET(TH!E$1,SMALL(Dong4,ROWS($1:4)),))</f>
        <v/>
      </c>
      <c r="D19" s="886" t="str">
        <f ca="1">IF(ROWS($1:4)&gt;COUNT(Dong4),"",OFFSET(TH!F$1,SMALL(Dong4,ROWS($1:4)),))</f>
        <v/>
      </c>
      <c r="E19" s="184" t="str">
        <f ca="1">IF(ROWS($1:4)&gt;COUNT(Dong4),"",IF(LEFT(OFFSET(TH!M$1,SMALL(Dong4,ROWS($1:4)),),3)="341",OFFSET(TH!L$1,SMALL(Dong4,ROWS($1:4)),),OFFSET(TH!M$1,SMALL(Dong4,ROWS($1:4)),)))</f>
        <v/>
      </c>
      <c r="F19" s="776" t="str">
        <f ca="1">IF(ROWS($1:4)&gt;COUNT(Dong4),"",IF(LEFT(OFFSET(TH!L$1,SMALL(Dong4,ROWS($1:4)),),3)="341",OFFSET(TH!K$1,SMALL(Dong4,ROWS($1:4)),),0))</f>
        <v/>
      </c>
      <c r="G19" s="776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IF(ROWS($1:5)&gt;COUNT(Dong4),"",OFFSET(TH!C$1,SMALL(Dong4,ROWS($1:5)),))</f>
        <v/>
      </c>
      <c r="B20" s="184" t="str">
        <f ca="1">IF(ROWS($1:5)&gt;COUNT(Dong4),"",OFFSET(TH!D$1,SMALL(Dong4,ROWS($1:5)),))</f>
        <v/>
      </c>
      <c r="C20" s="184" t="str">
        <f ca="1">IF(ROWS($1:5)&gt;COUNT(Dong4),"",OFFSET(TH!E$1,SMALL(Dong4,ROWS($1:5)),))</f>
        <v/>
      </c>
      <c r="D20" s="886" t="str">
        <f ca="1">IF(ROWS($1:5)&gt;COUNT(Dong4),"",OFFSET(TH!F$1,SMALL(Dong4,ROWS($1:5)),))</f>
        <v/>
      </c>
      <c r="E20" s="184" t="str">
        <f ca="1">IF(ROWS($1:5)&gt;COUNT(Dong4),"",IF(LEFT(OFFSET(TH!M$1,SMALL(Dong4,ROWS($1:5)),),3)="341",OFFSET(TH!L$1,SMALL(Dong4,ROWS($1:5)),),OFFSET(TH!M$1,SMALL(Dong4,ROWS($1:5)),)))</f>
        <v/>
      </c>
      <c r="F20" s="776" t="str">
        <f ca="1">IF(ROWS($1:5)&gt;COUNT(Dong4),"",IF(LEFT(OFFSET(TH!L$1,SMALL(Dong4,ROWS($1:5)),),3)="341",OFFSET(TH!K$1,SMALL(Dong4,ROWS($1:5)),),0))</f>
        <v/>
      </c>
      <c r="G20" s="776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IF(ROWS($1:6)&gt;COUNT(Dong4),"",OFFSET(TH!C$1,SMALL(Dong4,ROWS($1:6)),))</f>
        <v/>
      </c>
      <c r="B21" s="184" t="str">
        <f ca="1">IF(ROWS($1:6)&gt;COUNT(Dong4),"",OFFSET(TH!D$1,SMALL(Dong4,ROWS($1:6)),))</f>
        <v/>
      </c>
      <c r="C21" s="184" t="str">
        <f ca="1">IF(ROWS($1:6)&gt;COUNT(Dong4),"",OFFSET(TH!E$1,SMALL(Dong4,ROWS($1:6)),))</f>
        <v/>
      </c>
      <c r="D21" s="886" t="str">
        <f ca="1">IF(ROWS($1:6)&gt;COUNT(Dong4),"",OFFSET(TH!F$1,SMALL(Dong4,ROWS($1:6)),))</f>
        <v/>
      </c>
      <c r="E21" s="184" t="str">
        <f ca="1">IF(ROWS($1:6)&gt;COUNT(Dong4),"",IF(LEFT(OFFSET(TH!M$1,SMALL(Dong4,ROWS($1:6)),),3)="341",OFFSET(TH!L$1,SMALL(Dong4,ROWS($1:6)),),OFFSET(TH!M$1,SMALL(Dong4,ROWS($1:6)),)))</f>
        <v/>
      </c>
      <c r="F21" s="776" t="str">
        <f ca="1">IF(ROWS($1:6)&gt;COUNT(Dong4),"",IF(LEFT(OFFSET(TH!L$1,SMALL(Dong4,ROWS($1:6)),),3)="341",OFFSET(TH!K$1,SMALL(Dong4,ROWS($1:6)),),0))</f>
        <v/>
      </c>
      <c r="G21" s="776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IF(ROWS($1:7)&gt;COUNT(Dong4),"",OFFSET(TH!C$1,SMALL(Dong4,ROWS($1:7)),))</f>
        <v/>
      </c>
      <c r="B22" s="184" t="str">
        <f ca="1">IF(ROWS($1:7)&gt;COUNT(Dong4),"",OFFSET(TH!D$1,SMALL(Dong4,ROWS($1:7)),))</f>
        <v/>
      </c>
      <c r="C22" s="184" t="str">
        <f ca="1">IF(ROWS($1:7)&gt;COUNT(Dong4),"",OFFSET(TH!E$1,SMALL(Dong4,ROWS($1:7)),))</f>
        <v/>
      </c>
      <c r="D22" s="886" t="str">
        <f ca="1">IF(ROWS($1:7)&gt;COUNT(Dong4),"",OFFSET(TH!F$1,SMALL(Dong4,ROWS($1:7)),))</f>
        <v/>
      </c>
      <c r="E22" s="184" t="str">
        <f ca="1">IF(ROWS($1:7)&gt;COUNT(Dong4),"",IF(LEFT(OFFSET(TH!M$1,SMALL(Dong4,ROWS($1:7)),),3)="341",OFFSET(TH!L$1,SMALL(Dong4,ROWS($1:7)),),OFFSET(TH!M$1,SMALL(Dong4,ROWS($1:7)),)))</f>
        <v/>
      </c>
      <c r="F22" s="776" t="str">
        <f ca="1">IF(ROWS($1:7)&gt;COUNT(Dong4),"",IF(LEFT(OFFSET(TH!L$1,SMALL(Dong4,ROWS($1:7)),),3)="341",OFFSET(TH!K$1,SMALL(Dong4,ROWS($1:7)),),0))</f>
        <v/>
      </c>
      <c r="G22" s="776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IF(ROWS($1:8)&gt;COUNT(Dong4),"",OFFSET(TH!C$1,SMALL(Dong4,ROWS($1:8)),))</f>
        <v/>
      </c>
      <c r="B23" s="184" t="str">
        <f ca="1">IF(ROWS($1:8)&gt;COUNT(Dong4),"",OFFSET(TH!D$1,SMALL(Dong4,ROWS($1:8)),))</f>
        <v/>
      </c>
      <c r="C23" s="184" t="str">
        <f ca="1">IF(ROWS($1:8)&gt;COUNT(Dong4),"",OFFSET(TH!E$1,SMALL(Dong4,ROWS($1:8)),))</f>
        <v/>
      </c>
      <c r="D23" s="886" t="str">
        <f ca="1">IF(ROWS($1:8)&gt;COUNT(Dong4),"",OFFSET(TH!F$1,SMALL(Dong4,ROWS($1:8)),))</f>
        <v/>
      </c>
      <c r="E23" s="184" t="str">
        <f ca="1">IF(ROWS($1:8)&gt;COUNT(Dong4),"",IF(LEFT(OFFSET(TH!M$1,SMALL(Dong4,ROWS($1:8)),),3)="341",OFFSET(TH!L$1,SMALL(Dong4,ROWS($1:8)),),OFFSET(TH!M$1,SMALL(Dong4,ROWS($1:8)),)))</f>
        <v/>
      </c>
      <c r="F23" s="776" t="str">
        <f ca="1">IF(ROWS($1:8)&gt;COUNT(Dong4),"",IF(LEFT(OFFSET(TH!L$1,SMALL(Dong4,ROWS($1:8)),),3)="341",OFFSET(TH!K$1,SMALL(Dong4,ROWS($1:8)),),0))</f>
        <v/>
      </c>
      <c r="G23" s="776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IF(ROWS($1:9)&gt;COUNT(Dong4),"",OFFSET(TH!C$1,SMALL(Dong4,ROWS($1:9)),))</f>
        <v/>
      </c>
      <c r="B24" s="184" t="str">
        <f ca="1">IF(ROWS($1:9)&gt;COUNT(Dong4),"",OFFSET(TH!D$1,SMALL(Dong4,ROWS($1:9)),))</f>
        <v/>
      </c>
      <c r="C24" s="184" t="str">
        <f ca="1">IF(ROWS($1:9)&gt;COUNT(Dong4),"",OFFSET(TH!E$1,SMALL(Dong4,ROWS($1:9)),))</f>
        <v/>
      </c>
      <c r="D24" s="886" t="str">
        <f ca="1">IF(ROWS($1:9)&gt;COUNT(Dong4),"",OFFSET(TH!F$1,SMALL(Dong4,ROWS($1:9)),))</f>
        <v/>
      </c>
      <c r="E24" s="184" t="str">
        <f ca="1">IF(ROWS($1:9)&gt;COUNT(Dong4),"",IF(LEFT(OFFSET(TH!M$1,SMALL(Dong4,ROWS($1:9)),),3)="341",OFFSET(TH!L$1,SMALL(Dong4,ROWS($1:9)),),OFFSET(TH!M$1,SMALL(Dong4,ROWS($1:9)),)))</f>
        <v/>
      </c>
      <c r="F24" s="776" t="str">
        <f ca="1">IF(ROWS($1:9)&gt;COUNT(Dong4),"",IF(LEFT(OFFSET(TH!L$1,SMALL(Dong4,ROWS($1:9)),),3)="341",OFFSET(TH!K$1,SMALL(Dong4,ROWS($1:9)),),0))</f>
        <v/>
      </c>
      <c r="G24" s="776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56">
        <f ca="1">SUM(F16:F25)</f>
        <v>105000000</v>
      </c>
      <c r="G26" s="756">
        <f ca="1">SUM(G16:G25)</f>
        <v>105000000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>
        <f ca="1">MAX(H15+F26-I15-G26,0)</f>
        <v>0</v>
      </c>
      <c r="I27" s="895">
        <f ca="1">MAX(I15+G26-H15-F26,0)</f>
        <v>0</v>
      </c>
    </row>
    <row r="28" spans="1:9" s="18" customFormat="1">
      <c r="E28" s="843"/>
    </row>
    <row r="29" spans="1:9" s="18" customFormat="1">
      <c r="A29" s="896" t="s">
        <v>1300</v>
      </c>
      <c r="E29" s="843"/>
    </row>
    <row r="30" spans="1:9" s="18" customFormat="1">
      <c r="A30" s="896" t="str">
        <f>"- Ngày mở sổ: "&amp; TEXT(VLOOKUP($E$9,'341'!$B$4:$I$12,2,0),"dd/MM/yy")</f>
        <v>- Ngày mở sổ: 29/05/14</v>
      </c>
      <c r="E30" s="843"/>
    </row>
    <row r="31" spans="1:9" s="18" customFormat="1">
      <c r="E31" s="843"/>
      <c r="H31" s="843" t="s">
        <v>1305</v>
      </c>
    </row>
    <row r="32" spans="1:9" s="18" customFormat="1">
      <c r="C32" s="843" t="s">
        <v>11</v>
      </c>
      <c r="E32" s="843"/>
      <c r="H32" s="843" t="s">
        <v>12</v>
      </c>
    </row>
    <row r="33" spans="2:8" s="18" customFormat="1">
      <c r="C33" s="843" t="s">
        <v>13</v>
      </c>
      <c r="E33" s="843"/>
      <c r="H33" s="843" t="s">
        <v>13</v>
      </c>
    </row>
    <row r="34" spans="2:8" s="18" customFormat="1">
      <c r="E34" s="843"/>
    </row>
    <row r="35" spans="2:8" s="18" customFormat="1">
      <c r="E35" s="843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1301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5" t="str">
        <f>TH!$A$1</f>
        <v>Đơn vị: CÔNG TY TNHH SX TM KIM DUNG PHÁT</v>
      </c>
      <c r="C2" s="265"/>
      <c r="F2" s="266"/>
      <c r="G2" s="266"/>
      <c r="H2" s="266"/>
      <c r="I2" s="266"/>
      <c r="J2" s="1021" t="s">
        <v>181</v>
      </c>
      <c r="K2" s="1021"/>
      <c r="L2" s="1021"/>
      <c r="M2" s="1021"/>
      <c r="N2" s="266"/>
    </row>
    <row r="3" spans="1:14">
      <c r="A3" s="816" t="str">
        <f>TH!$A$2</f>
        <v>Địa chỉ: 1A227/1 Ấp 1, Phạm Văn Hai, Bình Chánh, TPHCM</v>
      </c>
      <c r="C3" s="265"/>
      <c r="F3" s="267"/>
      <c r="G3" s="267"/>
      <c r="H3" s="267"/>
      <c r="I3" s="267"/>
      <c r="J3" s="102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9"/>
      <c r="L3" s="1029"/>
      <c r="M3" s="1029"/>
      <c r="N3" s="267"/>
    </row>
    <row r="4" spans="1:14">
      <c r="F4" s="267"/>
      <c r="G4" s="267"/>
      <c r="H4" s="267"/>
      <c r="I4" s="267"/>
      <c r="J4" s="1029"/>
      <c r="K4" s="1029"/>
      <c r="L4" s="1029"/>
      <c r="M4" s="1029"/>
      <c r="N4" s="267"/>
    </row>
    <row r="5" spans="1:14" s="268" customFormat="1" ht="23.25" customHeight="1">
      <c r="A5" s="1020" t="s">
        <v>182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</row>
    <row r="6" spans="1:14">
      <c r="A6" s="1021" t="s">
        <v>421</v>
      </c>
      <c r="B6" s="1021" t="s">
        <v>183</v>
      </c>
      <c r="C6" s="1021"/>
      <c r="D6" s="1021"/>
      <c r="E6" s="1021"/>
      <c r="F6" s="1021"/>
      <c r="G6" s="1021"/>
      <c r="H6" s="1021"/>
      <c r="I6" s="1021"/>
      <c r="J6" s="1021"/>
      <c r="K6" s="1021"/>
      <c r="L6" s="1021"/>
      <c r="M6" s="1021"/>
      <c r="N6" s="1021"/>
    </row>
    <row r="7" spans="1:14"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</row>
    <row r="8" spans="1:14" ht="15.75" customHeight="1">
      <c r="A8" s="1023" t="s">
        <v>20</v>
      </c>
      <c r="B8" s="1024" t="s">
        <v>1</v>
      </c>
      <c r="C8" s="1025"/>
      <c r="D8" s="1023" t="s">
        <v>0</v>
      </c>
      <c r="E8" s="1023" t="s">
        <v>14</v>
      </c>
      <c r="F8" s="1028" t="s">
        <v>21</v>
      </c>
      <c r="G8" s="1028"/>
      <c r="H8" s="1028"/>
      <c r="I8" s="1028"/>
      <c r="J8" s="1028"/>
      <c r="K8" s="1028"/>
      <c r="L8" s="1028" t="s">
        <v>31</v>
      </c>
      <c r="M8" s="1028"/>
      <c r="N8" s="1028"/>
    </row>
    <row r="9" spans="1:14" ht="15.75" customHeight="1">
      <c r="A9" s="1023"/>
      <c r="B9" s="1026"/>
      <c r="C9" s="1027"/>
      <c r="D9" s="1023"/>
      <c r="E9" s="1023"/>
      <c r="F9" s="1028" t="s">
        <v>184</v>
      </c>
      <c r="G9" s="1028"/>
      <c r="H9" s="1028"/>
      <c r="I9" s="1028" t="s">
        <v>185</v>
      </c>
      <c r="J9" s="1028"/>
      <c r="K9" s="1028"/>
      <c r="L9" s="1023" t="s">
        <v>186</v>
      </c>
      <c r="M9" s="1023" t="s">
        <v>187</v>
      </c>
      <c r="N9" s="1023" t="s">
        <v>188</v>
      </c>
    </row>
    <row r="10" spans="1:14" ht="15.75" customHeight="1">
      <c r="A10" s="1023"/>
      <c r="B10" s="1031" t="s">
        <v>15</v>
      </c>
      <c r="C10" s="1031" t="s">
        <v>32</v>
      </c>
      <c r="D10" s="1023"/>
      <c r="E10" s="1023"/>
      <c r="F10" s="1033" t="s">
        <v>186</v>
      </c>
      <c r="G10" s="1033" t="s">
        <v>187</v>
      </c>
      <c r="H10" s="1033" t="s">
        <v>188</v>
      </c>
      <c r="I10" s="1033" t="s">
        <v>186</v>
      </c>
      <c r="J10" s="1033" t="s">
        <v>187</v>
      </c>
      <c r="K10" s="1033" t="s">
        <v>188</v>
      </c>
      <c r="L10" s="1030"/>
      <c r="M10" s="1030"/>
      <c r="N10" s="1030"/>
    </row>
    <row r="11" spans="1:14">
      <c r="A11" s="1023"/>
      <c r="B11" s="1032"/>
      <c r="C11" s="1032"/>
      <c r="D11" s="1023"/>
      <c r="E11" s="1023"/>
      <c r="F11" s="1034"/>
      <c r="G11" s="1034"/>
      <c r="H11" s="1034"/>
      <c r="I11" s="1034"/>
      <c r="J11" s="1034"/>
      <c r="K11" s="1034"/>
      <c r="L11" s="1030"/>
      <c r="M11" s="1030"/>
      <c r="N11" s="1030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CDPS!$D$45</f>
        <v>0</v>
      </c>
      <c r="M13" s="271"/>
      <c r="N13" s="271"/>
    </row>
    <row r="14" spans="1:14">
      <c r="A14" s="819">
        <v>40634</v>
      </c>
      <c r="B14" s="695" t="s">
        <v>353</v>
      </c>
      <c r="C14" s="819">
        <v>40634</v>
      </c>
      <c r="D14" s="274" t="s">
        <v>404</v>
      </c>
      <c r="E14" s="695" t="s">
        <v>47</v>
      </c>
      <c r="F14" s="274"/>
      <c r="G14" s="274"/>
      <c r="H14" s="274"/>
      <c r="I14" s="345">
        <v>1700000000</v>
      </c>
      <c r="J14" s="274"/>
      <c r="K14" s="274"/>
      <c r="L14" s="698">
        <f>L13+I14-G14</f>
        <v>1700000000</v>
      </c>
      <c r="M14" s="274"/>
      <c r="N14" s="274"/>
    </row>
    <row r="15" spans="1:14">
      <c r="A15" s="819">
        <v>40634</v>
      </c>
      <c r="B15" s="695" t="s">
        <v>354</v>
      </c>
      <c r="C15" s="819">
        <v>40634</v>
      </c>
      <c r="D15" s="275" t="s">
        <v>405</v>
      </c>
      <c r="E15" s="696" t="s">
        <v>47</v>
      </c>
      <c r="F15" s="275"/>
      <c r="G15" s="275"/>
      <c r="H15" s="275"/>
      <c r="I15" s="360">
        <v>100000000</v>
      </c>
      <c r="J15" s="275"/>
      <c r="K15" s="275"/>
      <c r="L15" s="698">
        <f t="shared" ref="L15:L16" si="0">L14+I15-G15</f>
        <v>1800000000</v>
      </c>
      <c r="M15" s="275"/>
      <c r="N15" s="275"/>
    </row>
    <row r="16" spans="1:14">
      <c r="A16" s="819">
        <v>40634</v>
      </c>
      <c r="B16" s="695" t="s">
        <v>359</v>
      </c>
      <c r="C16" s="819">
        <v>40634</v>
      </c>
      <c r="D16" s="275" t="s">
        <v>406</v>
      </c>
      <c r="E16" s="696" t="s">
        <v>47</v>
      </c>
      <c r="F16" s="275"/>
      <c r="G16" s="275"/>
      <c r="H16" s="275"/>
      <c r="I16" s="360">
        <v>100000000</v>
      </c>
      <c r="J16" s="275"/>
      <c r="K16" s="275"/>
      <c r="L16" s="698">
        <f t="shared" si="0"/>
        <v>1900000000</v>
      </c>
      <c r="M16" s="275"/>
      <c r="N16" s="275"/>
    </row>
    <row r="17" spans="1:14">
      <c r="A17" s="695"/>
      <c r="B17" s="274"/>
      <c r="C17" s="69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5"/>
      <c r="B18" s="274"/>
      <c r="C18" s="695"/>
      <c r="D18" s="276" t="s">
        <v>133</v>
      </c>
      <c r="E18" s="474" t="s">
        <v>19</v>
      </c>
      <c r="F18" s="277"/>
      <c r="G18" s="277"/>
      <c r="H18" s="277"/>
      <c r="I18" s="697">
        <f>SUM(I13:I17)</f>
        <v>1900000000</v>
      </c>
      <c r="J18" s="277"/>
      <c r="K18" s="277"/>
      <c r="L18" s="699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9" t="str">
        <f>"Ngày 31 tháng  12  năm  "&amp;YEAR($A$14)</f>
        <v>Ngày 31 tháng  12  năm  2011</v>
      </c>
      <c r="F23" s="1019"/>
      <c r="G23" s="1019"/>
      <c r="H23" s="1019"/>
      <c r="I23" s="1019"/>
      <c r="J23" s="1019"/>
      <c r="K23" s="1019"/>
      <c r="L23" s="1019"/>
      <c r="M23" s="1019"/>
      <c r="N23" s="1019"/>
    </row>
    <row r="24" spans="1:14">
      <c r="A24" s="1019" t="s">
        <v>11</v>
      </c>
      <c r="B24" s="1019"/>
      <c r="C24" s="1019"/>
      <c r="D24" s="1019"/>
      <c r="E24" s="1019" t="s">
        <v>12</v>
      </c>
      <c r="F24" s="1019"/>
      <c r="G24" s="1019"/>
      <c r="H24" s="1019"/>
      <c r="I24" s="1019"/>
      <c r="J24" s="1019"/>
      <c r="K24" s="1019"/>
      <c r="L24" s="1019"/>
      <c r="M24" s="1019"/>
      <c r="N24" s="1019"/>
    </row>
    <row r="25" spans="1:14">
      <c r="A25" s="1019" t="s">
        <v>13</v>
      </c>
      <c r="B25" s="1019"/>
      <c r="C25" s="1019"/>
      <c r="D25" s="1019"/>
      <c r="E25" s="1019" t="s">
        <v>13</v>
      </c>
      <c r="F25" s="1019"/>
      <c r="G25" s="1019"/>
      <c r="H25" s="1019"/>
      <c r="I25" s="1019"/>
      <c r="J25" s="1019"/>
      <c r="K25" s="1019"/>
      <c r="L25" s="1019"/>
      <c r="M25" s="1019"/>
      <c r="N25" s="101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291" activePane="bottomLeft" state="frozen"/>
      <selection activeCell="A9" sqref="A9"/>
      <selection pane="bottomLeft" activeCell="H304" sqref="H30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5" t="str">
        <f>TH!$A$1</f>
        <v>Đơn vị: CÔNG TY TNHH SX TM KIM DUNG PHÁT</v>
      </c>
      <c r="C1" s="283"/>
      <c r="D1" s="283"/>
      <c r="E1" s="283"/>
      <c r="F1" s="284"/>
      <c r="G1" s="284"/>
      <c r="H1" s="1003" t="s">
        <v>190</v>
      </c>
      <c r="I1" s="1003"/>
      <c r="J1" s="1003"/>
      <c r="K1" s="1003"/>
      <c r="L1" s="1003"/>
      <c r="M1" s="700"/>
      <c r="N1" s="701"/>
    </row>
    <row r="2" spans="1:14" s="263" customFormat="1" ht="14.25" customHeight="1">
      <c r="B2" s="816" t="str">
        <f>TH!$A$2</f>
        <v>Địa chỉ: 1A227/1 Ấp 1, Phạm Văn Hai, Bình Chánh, TPHCM</v>
      </c>
      <c r="C2" s="285"/>
      <c r="D2" s="285"/>
      <c r="E2" s="285"/>
      <c r="F2" s="285"/>
      <c r="G2" s="285"/>
      <c r="H2" s="100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4"/>
      <c r="J2" s="1004"/>
      <c r="K2" s="1004"/>
      <c r="L2" s="1004"/>
      <c r="M2" s="706"/>
      <c r="N2" s="701"/>
    </row>
    <row r="3" spans="1:14" s="263" customFormat="1" ht="14.25" customHeight="1">
      <c r="B3" s="285"/>
      <c r="C3" s="285"/>
      <c r="D3" s="285"/>
      <c r="E3" s="285"/>
      <c r="F3" s="285"/>
      <c r="G3" s="285"/>
      <c r="H3" s="1004"/>
      <c r="I3" s="1004"/>
      <c r="J3" s="1004"/>
      <c r="K3" s="1004"/>
      <c r="L3" s="1004"/>
      <c r="M3" s="707"/>
      <c r="N3" s="701"/>
    </row>
    <row r="4" spans="1:14" s="286" customFormat="1" ht="27.75" customHeight="1">
      <c r="B4" s="1043" t="s">
        <v>191</v>
      </c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N4" s="702"/>
    </row>
    <row r="5" spans="1:14" s="286" customFormat="1" ht="15" customHeight="1">
      <c r="B5" s="1042" t="s">
        <v>192</v>
      </c>
      <c r="C5" s="1042"/>
      <c r="D5" s="1042"/>
      <c r="E5" s="1042"/>
      <c r="F5" s="1042"/>
      <c r="G5" s="1042"/>
      <c r="H5" s="1042"/>
      <c r="I5" s="1042"/>
      <c r="J5" s="1042"/>
      <c r="K5" s="1042"/>
      <c r="L5" s="1042"/>
      <c r="N5" s="702"/>
    </row>
    <row r="6" spans="1:14" s="286" customFormat="1" ht="12.75" customHeight="1">
      <c r="B6" s="1042" t="s">
        <v>193</v>
      </c>
      <c r="C6" s="1042"/>
      <c r="D6" s="1042"/>
      <c r="E6" s="1042"/>
      <c r="F6" s="1042"/>
      <c r="G6" s="1042"/>
      <c r="H6" s="1042"/>
      <c r="I6" s="1042"/>
      <c r="J6" s="1042"/>
      <c r="K6" s="1042"/>
      <c r="L6" s="1042"/>
      <c r="N6" s="702"/>
    </row>
    <row r="7" spans="1:14" s="287" customFormat="1" ht="24" customHeight="1">
      <c r="C7" s="1035" t="s">
        <v>194</v>
      </c>
      <c r="D7" s="1035"/>
      <c r="E7" s="1035"/>
      <c r="F7" s="1035"/>
      <c r="G7" s="1035"/>
      <c r="H7" s="1035"/>
      <c r="I7" s="1035"/>
      <c r="J7" s="1035"/>
      <c r="K7" s="1035"/>
      <c r="L7" s="1035"/>
      <c r="N7" s="703"/>
    </row>
    <row r="8" spans="1:14" ht="20.25" customHeight="1">
      <c r="B8" s="1036" t="s">
        <v>35</v>
      </c>
      <c r="C8" s="1037" t="s">
        <v>195</v>
      </c>
      <c r="D8" s="1038" t="s">
        <v>196</v>
      </c>
      <c r="E8" s="1040" t="s">
        <v>139</v>
      </c>
      <c r="F8" s="1040"/>
      <c r="G8" s="1040"/>
      <c r="H8" s="1040"/>
      <c r="I8" s="1040"/>
      <c r="J8" s="1040"/>
      <c r="K8" s="1040"/>
      <c r="L8" s="1040"/>
    </row>
    <row r="9" spans="1:14" ht="20.25" customHeight="1">
      <c r="B9" s="1036"/>
      <c r="C9" s="1037"/>
      <c r="D9" s="1039"/>
      <c r="E9" s="1040" t="s">
        <v>197</v>
      </c>
      <c r="F9" s="1040"/>
      <c r="G9" s="1041" t="s">
        <v>198</v>
      </c>
      <c r="H9" s="1041"/>
      <c r="I9" s="1041" t="s">
        <v>199</v>
      </c>
      <c r="J9" s="1041"/>
      <c r="K9" s="1041" t="s">
        <v>200</v>
      </c>
      <c r="L9" s="1041"/>
    </row>
    <row r="10" spans="1:14" ht="20.25" customHeight="1">
      <c r="B10" s="1036"/>
      <c r="C10" s="1037"/>
      <c r="D10" s="289"/>
      <c r="E10" s="290" t="s">
        <v>201</v>
      </c>
      <c r="F10" s="290" t="s">
        <v>202</v>
      </c>
      <c r="G10" s="290" t="s">
        <v>201</v>
      </c>
      <c r="H10" s="290" t="s">
        <v>202</v>
      </c>
      <c r="I10" s="290" t="s">
        <v>201</v>
      </c>
      <c r="J10" s="290" t="s">
        <v>202</v>
      </c>
      <c r="K10" s="290" t="s">
        <v>201</v>
      </c>
      <c r="L10" s="290" t="s">
        <v>202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4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351</v>
      </c>
      <c r="D12" s="29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330</v>
      </c>
      <c r="D13" s="295" t="s">
        <v>329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1065</v>
      </c>
      <c r="D14" s="29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4">
        <f>IF(C15&lt;&gt;"",ROW()-11,"")</f>
        <v>4</v>
      </c>
      <c r="C15" s="192" t="s">
        <v>1029</v>
      </c>
      <c r="D15" s="29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4">
        <f t="shared" ref="B16:B19" si="5">IF(C16&lt;&gt;"",ROW()-11,"")</f>
        <v>5</v>
      </c>
      <c r="C16" s="296" t="s">
        <v>1034</v>
      </c>
      <c r="D16" s="29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4">
        <f t="shared" si="5"/>
        <v>6</v>
      </c>
      <c r="C17" s="189" t="s">
        <v>1035</v>
      </c>
      <c r="D17" s="29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4">
        <f t="shared" si="5"/>
        <v>7</v>
      </c>
      <c r="C18" s="40" t="s">
        <v>1141</v>
      </c>
      <c r="D18" s="295" t="s">
        <v>329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4">
        <f t="shared" si="5"/>
        <v>8</v>
      </c>
      <c r="C19" s="189" t="s">
        <v>1051</v>
      </c>
      <c r="D19" s="295" t="s">
        <v>329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328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1122</v>
      </c>
      <c r="D23" s="29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1024</v>
      </c>
      <c r="D24" s="29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3"/>
        <v>45629</v>
      </c>
      <c r="L24" s="8">
        <f t="shared" si="14"/>
        <v>437771850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1118</v>
      </c>
      <c r="D25" s="29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1089</v>
      </c>
      <c r="D26" s="29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3"/>
        <v>161355</v>
      </c>
      <c r="L26" s="8">
        <f t="shared" si="14"/>
        <v>1288039800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1094</v>
      </c>
      <c r="D27" s="29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3"/>
        <v>2730</v>
      </c>
      <c r="L27" s="8">
        <f t="shared" si="14"/>
        <v>25116000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1093</v>
      </c>
      <c r="D28" s="29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3"/>
        <v>12207</v>
      </c>
      <c r="L28" s="8">
        <f t="shared" si="14"/>
        <v>115966500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1159</v>
      </c>
      <c r="D29" s="295" t="s">
        <v>349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1081</v>
      </c>
      <c r="D30" s="295" t="s">
        <v>349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1186</v>
      </c>
      <c r="D31" s="295" t="s">
        <v>349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1183</v>
      </c>
      <c r="D32" s="295" t="s">
        <v>349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1182</v>
      </c>
      <c r="D33" s="295" t="s">
        <v>349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1196</v>
      </c>
      <c r="D34" s="295" t="s">
        <v>349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1082</v>
      </c>
      <c r="D35" s="295" t="s">
        <v>349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1197</v>
      </c>
      <c r="D36" s="295" t="s">
        <v>349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1194</v>
      </c>
      <c r="D37" s="295" t="s">
        <v>349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1083</v>
      </c>
      <c r="D38" s="295" t="s">
        <v>349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1084</v>
      </c>
      <c r="D39" s="295" t="s">
        <v>349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1169</v>
      </c>
      <c r="D40" s="295" t="s">
        <v>349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1180</v>
      </c>
      <c r="D41" s="295" t="s">
        <v>349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1181</v>
      </c>
      <c r="D42" s="295" t="s">
        <v>349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1085</v>
      </c>
      <c r="D43" s="295" t="s">
        <v>349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1170</v>
      </c>
      <c r="D44" s="295" t="s">
        <v>349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1185</v>
      </c>
      <c r="D45" s="295" t="s">
        <v>349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1173</v>
      </c>
      <c r="D46" s="295" t="s">
        <v>349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1190</v>
      </c>
      <c r="D47" s="295" t="s">
        <v>349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1191</v>
      </c>
      <c r="D48" s="295" t="s">
        <v>349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1192</v>
      </c>
      <c r="D49" s="295" t="s">
        <v>349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1193</v>
      </c>
      <c r="D50" s="295" t="s">
        <v>349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1187</v>
      </c>
      <c r="D51" s="295" t="s">
        <v>349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1189</v>
      </c>
      <c r="D52" s="295" t="s">
        <v>349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1175</v>
      </c>
      <c r="D53" s="295" t="s">
        <v>349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1174</v>
      </c>
      <c r="D54" s="295" t="s">
        <v>349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1176</v>
      </c>
      <c r="D55" s="295" t="s">
        <v>349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1184</v>
      </c>
      <c r="D56" s="295" t="s">
        <v>349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1195</v>
      </c>
      <c r="D57" s="295" t="s">
        <v>349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1188</v>
      </c>
      <c r="D58" s="295" t="s">
        <v>349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1166</v>
      </c>
      <c r="D59" s="295" t="s">
        <v>349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1165</v>
      </c>
      <c r="D60" s="295" t="s">
        <v>349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87" t="s">
        <v>1156</v>
      </c>
      <c r="D61" s="295" t="s">
        <v>349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1167</v>
      </c>
      <c r="D62" s="295" t="s">
        <v>349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1164</v>
      </c>
      <c r="D63" s="295" t="s">
        <v>349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1163</v>
      </c>
      <c r="D64" s="295" t="s">
        <v>349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1112</v>
      </c>
      <c r="D65" s="295" t="s">
        <v>349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1162</v>
      </c>
      <c r="D66" s="295" t="s">
        <v>349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1114</v>
      </c>
      <c r="D67" s="295" t="s">
        <v>349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1111</v>
      </c>
      <c r="D68" s="295" t="s">
        <v>349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1110</v>
      </c>
      <c r="D69" s="295" t="s">
        <v>349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1209</v>
      </c>
      <c r="D70" s="295" t="s">
        <v>349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1113</v>
      </c>
      <c r="D71" s="295" t="s">
        <v>349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1208</v>
      </c>
      <c r="D72" s="295" t="s">
        <v>349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1107</v>
      </c>
      <c r="D73" s="295" t="s">
        <v>349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1108</v>
      </c>
      <c r="D74" s="295" t="s">
        <v>349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1109</v>
      </c>
      <c r="D75" s="295" t="s">
        <v>349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1009</v>
      </c>
      <c r="D76" s="295" t="s">
        <v>349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1007</v>
      </c>
      <c r="D77" s="295" t="s">
        <v>349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1016</v>
      </c>
      <c r="D78" s="295" t="s">
        <v>349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1155</v>
      </c>
      <c r="D79" s="295" t="s">
        <v>349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333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0</v>
      </c>
      <c r="J81" s="13">
        <f t="shared" si="21"/>
        <v>0</v>
      </c>
      <c r="K81" s="13">
        <f t="shared" si="21"/>
        <v>251146</v>
      </c>
      <c r="L81" s="13">
        <f t="shared" si="21"/>
        <v>2267260130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773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1171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805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843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655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657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652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839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656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842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737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736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1214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530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1218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630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1217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1215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1219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451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1216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755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1213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822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828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824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781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899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747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897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898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550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553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894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481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647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485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794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789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557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472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674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672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889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476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491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701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518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814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642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638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554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819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619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498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543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486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622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581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583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569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882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776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853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574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423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733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877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660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711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714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875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750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676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529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568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484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639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497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893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627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546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856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857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514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591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613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880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744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670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429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502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494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716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527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492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718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816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702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500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617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615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717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493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602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678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859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860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735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636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593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802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605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698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1220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798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728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580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587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715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592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874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892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525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861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577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645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784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665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826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629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671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604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489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442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572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610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607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663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862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533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740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640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845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628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625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682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709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788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506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0" t="s">
        <v>509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510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763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700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713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891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748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850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834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720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579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873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872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462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611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411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539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565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833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900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858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465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523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469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461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863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864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600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427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832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479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437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775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487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521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836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558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869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756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590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837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560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445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458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503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538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598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852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694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724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780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703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769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867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883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762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690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753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731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760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452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439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1221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454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434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436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432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457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435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456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1277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203</v>
      </c>
      <c r="D305" s="292"/>
      <c r="E305" s="13">
        <f t="shared" ref="E305:L305" si="39">SUM(E83:E304)</f>
        <v>0</v>
      </c>
      <c r="F305" s="13">
        <f t="shared" si="39"/>
        <v>0</v>
      </c>
      <c r="G305" s="13">
        <f t="shared" si="39"/>
        <v>0</v>
      </c>
      <c r="H305" s="13">
        <f t="shared" si="39"/>
        <v>0</v>
      </c>
      <c r="I305" s="13">
        <f t="shared" si="39"/>
        <v>0</v>
      </c>
      <c r="J305" s="13">
        <f t="shared" si="39"/>
        <v>0</v>
      </c>
      <c r="K305" s="13">
        <f t="shared" si="39"/>
        <v>0</v>
      </c>
      <c r="L305" s="13">
        <f t="shared" si="39"/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94"/>
      <c r="D309" s="994"/>
      <c r="E309" s="994"/>
      <c r="F309" s="817"/>
      <c r="G309" s="817"/>
      <c r="H309" s="817"/>
      <c r="I309" s="817"/>
      <c r="J309" s="994" t="s">
        <v>420</v>
      </c>
      <c r="K309" s="994"/>
      <c r="L309" s="994"/>
    </row>
    <row r="310" spans="1:13" ht="19.5" customHeight="1">
      <c r="C310" s="818"/>
      <c r="D310" s="818"/>
      <c r="E310" s="818"/>
      <c r="F310" s="994"/>
      <c r="G310" s="994"/>
      <c r="H310" s="994"/>
      <c r="I310" s="817"/>
      <c r="J310" s="994" t="s">
        <v>109</v>
      </c>
      <c r="K310" s="994"/>
      <c r="L310" s="994"/>
    </row>
    <row r="311" spans="1:13" ht="19.5" customHeight="1">
      <c r="C311" s="818"/>
      <c r="D311" s="818"/>
      <c r="E311" s="818"/>
      <c r="F311" s="994"/>
      <c r="G311" s="994"/>
      <c r="H311" s="994"/>
      <c r="I311" s="288"/>
      <c r="J311" s="994" t="s">
        <v>136</v>
      </c>
      <c r="K311" s="994"/>
      <c r="L311" s="994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11:H311"/>
    <mergeCell ref="J311:L311"/>
    <mergeCell ref="C309:E309"/>
    <mergeCell ref="J309:L309"/>
    <mergeCell ref="F310:H310"/>
    <mergeCell ref="J310:L31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36" customFormat="1" ht="12" customHeight="1">
      <c r="A2" s="635" t="str">
        <f>TH!A1</f>
        <v>Đơn vị: CÔNG TY TNHH SX TM KIM DUNG PHÁT</v>
      </c>
      <c r="G2" s="637" t="str">
        <f>+IF(LEFT($D$7,1)="N","Mẫu số 01 - VT","Mẫu số 02 - VT")</f>
        <v>Mẫu số 02 - VT</v>
      </c>
    </row>
    <row r="3" spans="1:17" s="636" customFormat="1" ht="12" customHeight="1">
      <c r="A3" s="63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37" t="s">
        <v>104</v>
      </c>
      <c r="O3" s="639"/>
      <c r="P3" s="640">
        <f>IF(J5="Quý I",1,IF(J5="Quý II",4,IF(J5="Quý III",7,IF(J5="Quý IV",10,""))))</f>
        <v>10</v>
      </c>
      <c r="Q3" s="640">
        <f>IF(J5="Quý I",3,IF(J5="Quý II",6,IF(J5="Quý III",9,IF(J5="Quý IV",12,""))))</f>
        <v>12</v>
      </c>
    </row>
    <row r="4" spans="1:17" s="63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1"/>
      <c r="M4" s="642"/>
      <c r="N4" s="637" t="s">
        <v>105</v>
      </c>
      <c r="O4" s="639"/>
    </row>
    <row r="5" spans="1:17" ht="18" customHeight="1" thickBot="1">
      <c r="D5" s="311" t="str">
        <f>+IF(LEFT($L$5,1)="N","PHIẾU NHẬP KHO","PHIẾU XUẤT KHO")</f>
        <v>PHIẾU XUẤT KHO</v>
      </c>
      <c r="J5" s="632" t="s">
        <v>412</v>
      </c>
      <c r="K5" s="312"/>
      <c r="L5" s="633" t="s">
        <v>415</v>
      </c>
      <c r="M5" s="313"/>
      <c r="N5" s="634">
        <v>2</v>
      </c>
      <c r="O5" s="308"/>
      <c r="P5" s="308"/>
    </row>
    <row r="6" spans="1:17" ht="10.5" customHeight="1">
      <c r="D6" s="64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5"/>
      <c r="M6" s="310"/>
      <c r="O6" s="308"/>
    </row>
    <row r="7" spans="1:17" ht="10.5" customHeight="1">
      <c r="C7" s="646" t="str">
        <f xml:space="preserve"> "Số:"</f>
        <v>Số:</v>
      </c>
      <c r="D7" s="647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48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4" t="s">
        <v>35</v>
      </c>
      <c r="B14" s="1044" t="s">
        <v>204</v>
      </c>
      <c r="C14" s="1044" t="s">
        <v>205</v>
      </c>
      <c r="D14" s="1044" t="s">
        <v>196</v>
      </c>
      <c r="E14" s="1046" t="s">
        <v>206</v>
      </c>
      <c r="F14" s="1046"/>
      <c r="G14" s="1044" t="s">
        <v>207</v>
      </c>
      <c r="H14" s="1044" t="s">
        <v>208</v>
      </c>
    </row>
    <row r="15" spans="1:17" ht="12.75" customHeight="1">
      <c r="A15" s="1045"/>
      <c r="B15" s="1045"/>
      <c r="C15" s="1045"/>
      <c r="D15" s="1045"/>
      <c r="E15" s="649" t="s">
        <v>209</v>
      </c>
      <c r="F15" s="649" t="str">
        <f>IF(LEFT($D$7,1)="N","Thực nhập","Thực xuất")</f>
        <v>Thực xuất</v>
      </c>
      <c r="G15" s="1045"/>
      <c r="H15" s="1045"/>
    </row>
    <row r="16" spans="1:17" s="71" customFormat="1" ht="8.25" customHeight="1">
      <c r="A16" s="650" t="s">
        <v>2</v>
      </c>
      <c r="B16" s="650" t="s">
        <v>3</v>
      </c>
      <c r="C16" s="650" t="s">
        <v>4</v>
      </c>
      <c r="D16" s="650" t="s">
        <v>5</v>
      </c>
      <c r="E16" s="650">
        <v>1</v>
      </c>
      <c r="F16" s="650">
        <v>2</v>
      </c>
      <c r="G16" s="650">
        <v>3</v>
      </c>
      <c r="H16" s="650">
        <v>4</v>
      </c>
    </row>
    <row r="17" spans="1:8" ht="11.25" customHeight="1">
      <c r="A17" s="651">
        <f ca="1">IF(B17="","",ROW()-16)</f>
        <v>1</v>
      </c>
      <c r="B17" s="652" t="str">
        <f ca="1">IF(ROWS($1:1)&gt;COUNT(Dong10),"",OFFSET(TH!F$1,SMALL(Dong10,ROWS($1:1)),))</f>
        <v>Thùng (36,5x18,5x20,5)</v>
      </c>
      <c r="C17" s="653"/>
      <c r="D17" s="654">
        <f ca="1">IF(ISNA(VLOOKUP(B17,NXT!$C$12:$D$304,2,0)),"",VLOOKUP(B17,NXT!$C$12:$D$304,2,0))</f>
        <v>0</v>
      </c>
      <c r="E17" s="655"/>
      <c r="F17" s="656">
        <f ca="1">IF(ROWS($1:1)&gt;COUNT(Dong10),"",OFFSET(TH!I$1,SMALL(Dong10,ROWS($1:1)),))</f>
        <v>267</v>
      </c>
      <c r="G17" s="656">
        <f ca="1">IF(ROWS($1:1)&gt;COUNT(Dong10),"",OFFSET(TH!J$1,SMALL(Dong10,ROWS($1:1)),))</f>
        <v>3700</v>
      </c>
      <c r="H17" s="655">
        <f ca="1">IF(F17&lt;&gt;"",ROUND(F17*G17,0),0)</f>
        <v>987900</v>
      </c>
    </row>
    <row r="18" spans="1:8" ht="11.25" customHeight="1">
      <c r="A18" s="651">
        <f t="shared" ref="A18:A20" ca="1" si="0">IF(B18="","",A17+1)</f>
        <v>2</v>
      </c>
      <c r="B18" s="652" t="str">
        <f ca="1">IF(ROWS($1:2)&gt;COUNT(Dong10),"",OFFSET(TH!F$1,SMALL(Dong10,ROWS($1:2)),))</f>
        <v>Thùng (44x18x38)</v>
      </c>
      <c r="C18" s="653"/>
      <c r="D18" s="654">
        <f ca="1">IF(ISNA(VLOOKUP(B18,NXT!$C$12:$D$304,2,0)),"",VLOOKUP(B18,NXT!$C$12:$D$304,2,0))</f>
        <v>0</v>
      </c>
      <c r="E18" s="655"/>
      <c r="F18" s="656">
        <f ca="1">IF(ROWS($1:2)&gt;COUNT(Dong10),"",OFFSET(TH!I$1,SMALL(Dong10,ROWS($1:2)),))</f>
        <v>120</v>
      </c>
      <c r="G18" s="656">
        <f ca="1">IF(ROWS($1:2)&gt;COUNT(Dong10),"",OFFSET(TH!J$1,SMALL(Dong10,ROWS($1:2)),))</f>
        <v>6500</v>
      </c>
      <c r="H18" s="655">
        <f t="shared" ref="H18:H24" ca="1" si="1">IF(F18&lt;&gt;"",ROUND(F18*G18,0),0)</f>
        <v>780000</v>
      </c>
    </row>
    <row r="19" spans="1:8" ht="11.25" customHeight="1">
      <c r="A19" s="651">
        <f t="shared" ca="1" si="0"/>
        <v>3</v>
      </c>
      <c r="B19" s="652" t="str">
        <f ca="1">IF(ROWS($1:3)&gt;COUNT(Dong10),"",OFFSET(TH!F$1,SMALL(Dong10,ROWS($1:3)),))</f>
        <v>Nắp (56x28x7)</v>
      </c>
      <c r="C19" s="653"/>
      <c r="D19" s="654">
        <f ca="1">IF(ISNA(VLOOKUP(B19,NXT!$C$12:$D$304,2,0)),"",VLOOKUP(B19,NXT!$C$12:$D$304,2,0))</f>
        <v>0</v>
      </c>
      <c r="E19" s="655"/>
      <c r="F19" s="656">
        <f ca="1">IF(ROWS($1:3)&gt;COUNT(Dong10),"",OFFSET(TH!I$1,SMALL(Dong10,ROWS($1:3)),))</f>
        <v>230</v>
      </c>
      <c r="G19" s="656">
        <f ca="1">IF(ROWS($1:3)&gt;COUNT(Dong10),"",OFFSET(TH!J$1,SMALL(Dong10,ROWS($1:3)),))</f>
        <v>6500</v>
      </c>
      <c r="H19" s="655">
        <f t="shared" ca="1" si="1"/>
        <v>1495000</v>
      </c>
    </row>
    <row r="20" spans="1:8" ht="11.25" customHeight="1">
      <c r="A20" s="651">
        <f t="shared" ca="1" si="0"/>
        <v>4</v>
      </c>
      <c r="B20" s="652" t="str">
        <f ca="1">IF(ROWS($1:4)&gt;COUNT(Dong10),"",OFFSET(TH!F$1,SMALL(Dong10,ROWS($1:4)),))</f>
        <v>Nắp (46x23x7)</v>
      </c>
      <c r="C20" s="653"/>
      <c r="D20" s="654">
        <f ca="1">IF(ISNA(VLOOKUP(B20,NXT!$C$12:$D$304,2,0)),"",VLOOKUP(B20,NXT!$C$12:$D$304,2,0))</f>
        <v>0</v>
      </c>
      <c r="E20" s="655"/>
      <c r="F20" s="656">
        <f ca="1">IF(ROWS($1:4)&gt;COUNT(Dong10),"",OFFSET(TH!I$1,SMALL(Dong10,ROWS($1:4)),))</f>
        <v>230</v>
      </c>
      <c r="G20" s="656">
        <f ca="1">IF(ROWS($1:4)&gt;COUNT(Dong10),"",OFFSET(TH!J$1,SMALL(Dong10,ROWS($1:4)),))</f>
        <v>5500</v>
      </c>
      <c r="H20" s="655">
        <f t="shared" ca="1" si="1"/>
        <v>1265000</v>
      </c>
    </row>
    <row r="21" spans="1:8" ht="11.25" customHeight="1">
      <c r="A21" s="651" t="str">
        <f t="shared" ref="A21:A23" ca="1" si="2">IF(B21="","",A20+1)</f>
        <v/>
      </c>
      <c r="B21" s="652" t="str">
        <f ca="1">IF(ROWS($1:5)&gt;COUNT(Dong10),"",OFFSET(TH!F$1,SMALL(Dong10,ROWS($1:5)),))</f>
        <v/>
      </c>
      <c r="C21" s="653"/>
      <c r="D21" s="654" t="str">
        <f ca="1">IF(ISNA(VLOOKUP(B21,NXT!$C$12:$D$304,2,0)),"",VLOOKUP(B21,NXT!$C$12:$D$304,2,0))</f>
        <v/>
      </c>
      <c r="E21" s="655"/>
      <c r="F21" s="656" t="str">
        <f ca="1">IF(ROWS($1:5)&gt;COUNT(Dong10),"",OFFSET(TH!I$1,SMALL(Dong10,ROWS($1:5)),))</f>
        <v/>
      </c>
      <c r="G21" s="656" t="str">
        <f ca="1">IF(ROWS($1:5)&gt;COUNT(Dong10),"",OFFSET(TH!J$1,SMALL(Dong10,ROWS($1:5)),))</f>
        <v/>
      </c>
      <c r="H21" s="655">
        <f t="shared" ca="1" si="1"/>
        <v>0</v>
      </c>
    </row>
    <row r="22" spans="1:8" ht="11.25" customHeight="1">
      <c r="A22" s="651" t="str">
        <f t="shared" ca="1" si="2"/>
        <v/>
      </c>
      <c r="B22" s="652" t="str">
        <f ca="1">IF(ROWS($1:6)&gt;COUNT(Dong10),"",OFFSET(TH!F$1,SMALL(Dong10,ROWS($1:6)),))</f>
        <v/>
      </c>
      <c r="C22" s="653"/>
      <c r="D22" s="654" t="str">
        <f ca="1">IF(ISNA(VLOOKUP(B22,NXT!$C$12:$D$304,2,0)),"",VLOOKUP(B22,NXT!$C$12:$D$304,2,0))</f>
        <v/>
      </c>
      <c r="E22" s="655"/>
      <c r="F22" s="656" t="str">
        <f ca="1">IF(ROWS($1:6)&gt;COUNT(Dong10),"",OFFSET(TH!I$1,SMALL(Dong10,ROWS($1:6)),))</f>
        <v/>
      </c>
      <c r="G22" s="656" t="str">
        <f ca="1">IF(ROWS($1:6)&gt;COUNT(Dong10),"",OFFSET(TH!J$1,SMALL(Dong10,ROWS($1:6)),))</f>
        <v/>
      </c>
      <c r="H22" s="655">
        <f t="shared" ca="1" si="1"/>
        <v>0</v>
      </c>
    </row>
    <row r="23" spans="1:8" ht="11.25" customHeight="1">
      <c r="A23" s="651" t="str">
        <f t="shared" ca="1" si="2"/>
        <v/>
      </c>
      <c r="B23" s="652" t="str">
        <f ca="1">IF(ROWS($1:7)&gt;COUNT(Dong10),"",OFFSET(TH!F$1,SMALL(Dong10,ROWS($1:7)),))</f>
        <v/>
      </c>
      <c r="C23" s="653"/>
      <c r="D23" s="654" t="str">
        <f ca="1">IF(ISNA(VLOOKUP(B23,NXT!$C$12:$D$304,2,0)),"",VLOOKUP(B23,NXT!$C$12:$D$304,2,0))</f>
        <v/>
      </c>
      <c r="E23" s="655"/>
      <c r="F23" s="656" t="str">
        <f ca="1">IF(ROWS($1:7)&gt;COUNT(Dong10),"",OFFSET(TH!I$1,SMALL(Dong10,ROWS($1:7)),))</f>
        <v/>
      </c>
      <c r="G23" s="656" t="str">
        <f ca="1">IF(ROWS($1:7)&gt;COUNT(Dong10),"",OFFSET(TH!J$1,SMALL(Dong10,ROWS($1:7)),))</f>
        <v/>
      </c>
      <c r="H23" s="655">
        <f t="shared" ca="1" si="1"/>
        <v>0</v>
      </c>
    </row>
    <row r="24" spans="1:8" ht="11.25" customHeight="1">
      <c r="A24" s="651" t="str">
        <f t="shared" ref="A24" ca="1" si="3">IF(B24="","",A23+1)</f>
        <v/>
      </c>
      <c r="B24" s="652" t="str">
        <f ca="1">IF(ROWS($1:8)&gt;COUNT(Dong10),"",OFFSET(TH!F$1,SMALL(Dong10,ROWS($1:8)),))</f>
        <v/>
      </c>
      <c r="C24" s="653"/>
      <c r="D24" s="654" t="str">
        <f ca="1">IF(ISNA(VLOOKUP(B24,NXT!$C$12:$D$304,2,0)),"",VLOOKUP(B24,NXT!$C$12:$D$304,2,0))</f>
        <v/>
      </c>
      <c r="E24" s="655"/>
      <c r="F24" s="656" t="str">
        <f ca="1">IF(ROWS($1:8)&gt;COUNT(Dong10),"",OFFSET(TH!I$1,SMALL(Dong10,ROWS($1:8)),))</f>
        <v/>
      </c>
      <c r="G24" s="656" t="str">
        <f ca="1">IF(ROWS($1:8)&gt;COUNT(Dong10),"",OFFSET(TH!J$1,SMALL(Dong10,ROWS($1:8)),))</f>
        <v/>
      </c>
      <c r="H24" s="655">
        <f t="shared" ca="1" si="1"/>
        <v>0</v>
      </c>
    </row>
    <row r="25" spans="1:8" ht="11.25" customHeight="1">
      <c r="A25" s="651" t="str">
        <f t="shared" ref="A25" ca="1" si="4">IF(B25="","",A24+1)</f>
        <v/>
      </c>
      <c r="B25" s="652" t="str">
        <f ca="1">IF(ROWS($1:9)&gt;COUNT(Dong10),"",OFFSET(TH!F$1,SMALL(Dong10,ROWS($1:9)),))</f>
        <v/>
      </c>
      <c r="C25" s="653"/>
      <c r="D25" s="654" t="str">
        <f ca="1">IF(ISNA(VLOOKUP(B25,NXT!$C$12:$D$304,2,0)),"",VLOOKUP(B25,NXT!$C$12:$D$304,2,0))</f>
        <v/>
      </c>
      <c r="E25" s="655"/>
      <c r="F25" s="656" t="str">
        <f ca="1">IF(ROWS($1:9)&gt;COUNT(Dong10),"",OFFSET(TH!I$1,SMALL(Dong10,ROWS($1:9)),))</f>
        <v/>
      </c>
      <c r="G25" s="656" t="str">
        <f ca="1">IF(ROWS($1:9)&gt;COUNT(Dong10),"",OFFSET(TH!J$1,SMALL(Dong10,ROWS($1:9)),))</f>
        <v/>
      </c>
      <c r="H25" s="655">
        <f t="shared" ref="H25" ca="1" si="5">IF(F25&lt;&gt;"",ROUND(F25*G25,0),0)</f>
        <v>0</v>
      </c>
    </row>
    <row r="26" spans="1:8" ht="11.25" customHeight="1">
      <c r="A26" s="651"/>
      <c r="B26" s="652"/>
      <c r="C26" s="653"/>
      <c r="D26" s="654"/>
      <c r="E26" s="655"/>
      <c r="F26" s="656"/>
      <c r="G26" s="657"/>
      <c r="H26" s="655"/>
    </row>
    <row r="27" spans="1:8" ht="11.25" customHeight="1">
      <c r="A27" s="1046" t="s">
        <v>210</v>
      </c>
      <c r="B27" s="1046"/>
      <c r="C27" s="658"/>
      <c r="D27" s="658"/>
      <c r="E27" s="659"/>
      <c r="F27" s="659"/>
      <c r="G27" s="659"/>
      <c r="H27" s="659">
        <f ca="1">SUM(H17:H26)</f>
        <v>4527900</v>
      </c>
    </row>
    <row r="28" spans="1:8" ht="3" customHeight="1">
      <c r="A28" s="660"/>
      <c r="B28" s="660"/>
      <c r="C28" s="310"/>
      <c r="D28" s="310"/>
      <c r="E28" s="661"/>
      <c r="F28" s="661"/>
      <c r="G28" s="661"/>
      <c r="H28" s="661"/>
    </row>
    <row r="29" spans="1:8" ht="11.25" customHeight="1">
      <c r="A29" s="307" t="e">
        <f ca="1">"Tổng số tiền (viết bằng chữ):  "&amp;[3]!VND(H27,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2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47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4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3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213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1047" t="s">
        <v>214</v>
      </c>
      <c r="K2" s="1047"/>
      <c r="L2" s="1047"/>
      <c r="M2" s="1047"/>
      <c r="N2" s="324"/>
    </row>
    <row r="3" spans="1:17" s="263" customFormat="1" ht="16.5" customHeight="1">
      <c r="B3" s="585" t="str">
        <f>TH!A2</f>
        <v>Địa chỉ: 1A227/1 Ấp 1, Phạm Văn Hai, Bình Chánh, TPHCM</v>
      </c>
      <c r="C3" s="320"/>
      <c r="D3" s="320"/>
      <c r="E3" s="325"/>
      <c r="F3" s="320"/>
      <c r="J3" s="104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8"/>
      <c r="L3" s="1048"/>
      <c r="M3" s="1048"/>
      <c r="N3" s="326"/>
    </row>
    <row r="4" spans="1:17" s="263" customFormat="1" ht="16.5" customHeight="1">
      <c r="B4" s="320"/>
      <c r="C4" s="320"/>
      <c r="D4" s="320"/>
      <c r="E4" s="325"/>
      <c r="F4" s="320"/>
      <c r="J4" s="1048"/>
      <c r="K4" s="1048"/>
      <c r="L4" s="1048"/>
      <c r="M4" s="1048"/>
      <c r="N4" s="326"/>
    </row>
    <row r="5" spans="1:17" ht="18.75" customHeight="1">
      <c r="B5" s="1049" t="s">
        <v>215</v>
      </c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327"/>
    </row>
    <row r="6" spans="1:17" s="328" customFormat="1" ht="12.75">
      <c r="B6" s="1050" t="s">
        <v>216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329"/>
    </row>
    <row r="7" spans="1:17">
      <c r="C7" s="330"/>
      <c r="D7" s="330"/>
      <c r="F7" s="332" t="s">
        <v>268</v>
      </c>
      <c r="G7" s="448" t="str">
        <f>IF($O$10="VL","1522",IF($O$10="NL","1521",IF($O$10="TP","155","")))</f>
        <v>1521</v>
      </c>
      <c r="H7" s="332" t="s">
        <v>217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218</v>
      </c>
      <c r="H8" s="330"/>
      <c r="I8" s="330"/>
      <c r="J8" s="1051" t="s">
        <v>350</v>
      </c>
      <c r="K8" s="1051"/>
      <c r="L8" s="1051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1053" t="s">
        <v>35</v>
      </c>
      <c r="B10" s="1054" t="s">
        <v>1</v>
      </c>
      <c r="C10" s="1054"/>
      <c r="D10" s="1055" t="s">
        <v>0</v>
      </c>
      <c r="E10" s="1055" t="s">
        <v>219</v>
      </c>
      <c r="F10" s="1055" t="s">
        <v>207</v>
      </c>
      <c r="G10" s="1057" t="s">
        <v>220</v>
      </c>
      <c r="H10" s="1058"/>
      <c r="I10" s="1057" t="s">
        <v>221</v>
      </c>
      <c r="J10" s="1058"/>
      <c r="K10" s="1057" t="s">
        <v>222</v>
      </c>
      <c r="L10" s="1058"/>
      <c r="M10" s="1055" t="s">
        <v>127</v>
      </c>
      <c r="N10" s="337"/>
      <c r="O10" s="338" t="s">
        <v>213</v>
      </c>
    </row>
    <row r="11" spans="1:17" ht="31.5" customHeight="1">
      <c r="A11" s="1053"/>
      <c r="B11" s="339" t="s">
        <v>15</v>
      </c>
      <c r="C11" s="339" t="s">
        <v>32</v>
      </c>
      <c r="D11" s="1055"/>
      <c r="E11" s="1055"/>
      <c r="F11" s="1055"/>
      <c r="G11" s="339" t="s">
        <v>206</v>
      </c>
      <c r="H11" s="339" t="s">
        <v>208</v>
      </c>
      <c r="I11" s="339" t="s">
        <v>206</v>
      </c>
      <c r="J11" s="339" t="s">
        <v>208</v>
      </c>
      <c r="K11" s="339" t="s">
        <v>206</v>
      </c>
      <c r="L11" s="339" t="s">
        <v>208</v>
      </c>
      <c r="M11" s="1055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224</v>
      </c>
      <c r="I12" s="341">
        <v>4</v>
      </c>
      <c r="J12" s="341" t="s">
        <v>225</v>
      </c>
      <c r="K12" s="341">
        <v>6</v>
      </c>
      <c r="L12" s="341" t="s">
        <v>226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 t="e">
        <f>VLOOKUP($J$8,NXT!$C$12:$L$304,3,0)</f>
        <v>#N/A</v>
      </c>
      <c r="L13" s="348" t="e">
        <f>VLOOKUP($J$8,NXT!$C$12:$L$304,4,0)</f>
        <v>#N/A</v>
      </c>
      <c r="M13" s="347"/>
      <c r="N13" s="343"/>
    </row>
    <row r="14" spans="1:17">
      <c r="A14" s="314" t="str">
        <f ca="1">IF(B14="","",ROW()-13)</f>
        <v/>
      </c>
      <c r="B14" s="349" t="str">
        <f ca="1">IF(ROWS($1:1)&gt;COUNT(Dong11),"",OFFSET(TH!D$1,SMALL(Dong11,ROWS($1:1)),))</f>
        <v/>
      </c>
      <c r="C14" s="350" t="str">
        <f ca="1">IF(ROWS($1:1)&gt;COUNT(Dong11),"",OFFSET(TH!E$1,SMALL(Dong11,ROWS($1:1)),))</f>
        <v/>
      </c>
      <c r="D14" s="351" t="str">
        <f ca="1">IF(ROWS($1:1)&gt;COUNT(Dong11),"",OFFSET(TH!H$1,SMALL(Dong11,ROWS($1:1)),))</f>
        <v/>
      </c>
      <c r="E14" s="349" t="str">
        <f ca="1">IF(ROWS($1:1)&gt;COUNT(Dong11),"",IF(OFFSET(TH!L$1,SMALL(Dong11,ROWS($1:1)),)=$G$7,OFFSET(TH!M$1,SMALL(Dong11,ROWS($1:1)),),OFFSET(TH!L$1,SMALL(Dong11,ROWS($1:1)),)))</f>
        <v/>
      </c>
      <c r="F14" s="352">
        <f ca="1">IF(ROWS($1:1)&gt;COUNT(Dong11),0,OFFSET(TH!J$1,SMALL(Dong11,ROWS($1:1)),))</f>
        <v>0</v>
      </c>
      <c r="G14" s="352">
        <f ca="1">IF(ROWS($1:1)&gt;COUNT(Dong11),0,IF(MID(OFFSET(TH!D$1,SMALL(Dong11,ROWS($1:1)),),4,1)="N",OFFSET(TH!I$1,SMALL(Dong11,ROWS($1:1)),),0))</f>
        <v>0</v>
      </c>
      <c r="H14" s="353">
        <f ca="1">ROUND(F14*G14,0)</f>
        <v>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0</v>
      </c>
      <c r="L14" s="353">
        <f ca="1">IF(D14&lt;&gt;"",L13+H14-J14,0)</f>
        <v>0</v>
      </c>
      <c r="M14" s="353"/>
      <c r="N14" s="343"/>
    </row>
    <row r="15" spans="1:17">
      <c r="A15" s="314" t="str">
        <f t="shared" ref="A15:A24" ca="1" si="0">IF(B15="","",A14+1)</f>
        <v/>
      </c>
      <c r="B15" s="349" t="str">
        <f ca="1">IF(ROWS($1:2)&gt;COUNT(Dong11),"",OFFSET(TH!D$1,SMALL(Dong11,ROWS($1:2)),))</f>
        <v/>
      </c>
      <c r="C15" s="350" t="str">
        <f ca="1">IF(ROWS($1:2)&gt;COUNT(Dong11),"",OFFSET(TH!E$1,SMALL(Dong11,ROWS($1:2)),))</f>
        <v/>
      </c>
      <c r="D15" s="351" t="str">
        <f ca="1">IF(ROWS($1:2)&gt;COUNT(Dong11),"",OFFSET(TH!H$1,SMALL(Dong11,ROWS($1:2)),))</f>
        <v/>
      </c>
      <c r="E15" s="349" t="str">
        <f ca="1">IF(ROWS($1:2)&gt;COUNT(Dong11),"",IF(OFFSET(TH!L$1,SMALL(Dong11,ROWS($1:2)),)=$G$7,OFFSET(TH!M$1,SMALL(Dong11,ROWS($1:2)),),OFFSET(TH!L$1,SMALL(Dong11,ROWS($1:2)),)))</f>
        <v/>
      </c>
      <c r="F15" s="352">
        <f ca="1">IF(ROWS($1:2)&gt;COUNT(Dong11),0,OFFSET(TH!J$1,SMALL(Dong11,ROWS($1:2)),))</f>
        <v>0</v>
      </c>
      <c r="G15" s="352">
        <f ca="1">IF(ROWS($1:2)&gt;COUNT(Dong11),0,IF(MID(OFFSET(TH!D$1,SMALL(Dong11,ROWS($1:2)),),4,1)="N",OFFSET(TH!I$1,SMALL(Dong11,ROWS($1:2)),),0))</f>
        <v>0</v>
      </c>
      <c r="H15" s="353">
        <f t="shared" ref="H15:H24" ca="1" si="1">ROUND(F15*G15,0)</f>
        <v>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0</v>
      </c>
      <c r="L15" s="353">
        <f t="shared" ref="L15:L24" ca="1" si="4">IF(D15&lt;&gt;"",L14+H15-J15,0)</f>
        <v>0</v>
      </c>
      <c r="M15" s="353"/>
      <c r="N15" s="343"/>
      <c r="Q15" s="354"/>
    </row>
    <row r="16" spans="1:17">
      <c r="A16" s="314" t="str">
        <f t="shared" ca="1" si="0"/>
        <v/>
      </c>
      <c r="B16" s="349" t="str">
        <f ca="1">IF(ROWS($1:3)&gt;COUNT(Dong11),"",OFFSET(TH!D$1,SMALL(Dong11,ROWS($1:3)),))</f>
        <v/>
      </c>
      <c r="C16" s="350" t="str">
        <f ca="1">IF(ROWS($1:3)&gt;COUNT(Dong11),"",OFFSET(TH!E$1,SMALL(Dong11,ROWS($1:3)),))</f>
        <v/>
      </c>
      <c r="D16" s="351" t="str">
        <f ca="1">IF(ROWS($1:3)&gt;COUNT(Dong11),"",OFFSET(TH!H$1,SMALL(Dong11,ROWS($1:3)),))</f>
        <v/>
      </c>
      <c r="E16" s="349" t="str">
        <f ca="1">IF(ROWS($1:3)&gt;COUNT(Dong11),"",IF(OFFSET(TH!L$1,SMALL(Dong11,ROWS($1:3)),)=$G$7,OFFSET(TH!M$1,SMALL(Dong11,ROWS($1:3)),),OFFSET(TH!L$1,SMALL(Dong11,ROWS($1:3)),)))</f>
        <v/>
      </c>
      <c r="F16" s="352">
        <f ca="1">IF(ROWS($1:3)&gt;COUNT(Dong11),0,OFFSET(TH!J$1,SMALL(Dong11,ROWS($1:3)),))</f>
        <v>0</v>
      </c>
      <c r="G16" s="352">
        <f ca="1">IF(ROWS($1:3)&gt;COUNT(Dong11),0,IF(MID(OFFSET(TH!D$1,SMALL(Dong11,ROWS($1:3)),),4,1)="N",OFFSET(TH!I$1,SMALL(Dong11,ROWS($1:3)),),0))</f>
        <v>0</v>
      </c>
      <c r="H16" s="353">
        <f t="shared" ca="1" si="1"/>
        <v>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0</v>
      </c>
      <c r="L16" s="353">
        <f t="shared" ca="1" si="4"/>
        <v>0</v>
      </c>
      <c r="M16" s="353"/>
      <c r="N16" s="343"/>
    </row>
    <row r="17" spans="1:16">
      <c r="A17" s="314" t="str">
        <f t="shared" ca="1" si="0"/>
        <v/>
      </c>
      <c r="B17" s="349" t="str">
        <f ca="1">IF(ROWS($1:4)&gt;COUNT(Dong11),"",OFFSET(TH!D$1,SMALL(Dong11,ROWS($1:4)),))</f>
        <v/>
      </c>
      <c r="C17" s="350" t="str">
        <f ca="1">IF(ROWS($1:4)&gt;COUNT(Dong11),"",OFFSET(TH!E$1,SMALL(Dong11,ROWS($1:4)),))</f>
        <v/>
      </c>
      <c r="D17" s="351" t="str">
        <f ca="1">IF(ROWS($1:4)&gt;COUNT(Dong11),"",OFFSET(TH!H$1,SMALL(Dong11,ROWS($1:4)),))</f>
        <v/>
      </c>
      <c r="E17" s="349" t="str">
        <f ca="1">IF(ROWS($1:4)&gt;COUNT(Dong11),"",IF(OFFSET(TH!L$1,SMALL(Dong11,ROWS($1:4)),)=$G$7,OFFSET(TH!M$1,SMALL(Dong11,ROWS($1:4)),),OFFSET(TH!L$1,SMALL(Dong11,ROWS($1:4)),)))</f>
        <v/>
      </c>
      <c r="F17" s="352">
        <f ca="1">IF(ROWS($1:4)&gt;COUNT(Dong11),0,OFFSET(TH!J$1,SMALL(Dong11,ROWS($1:4)),))</f>
        <v>0</v>
      </c>
      <c r="G17" s="352">
        <f ca="1">IF(ROWS($1:4)&gt;COUNT(Dong11),0,IF(MID(OFFSET(TH!D$1,SMALL(Dong11,ROWS($1:4)),),4,1)="N",OFFSET(TH!I$1,SMALL(Dong11,ROWS($1:4)),),0))</f>
        <v>0</v>
      </c>
      <c r="H17" s="353">
        <f t="shared" ca="1" si="1"/>
        <v>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0</v>
      </c>
      <c r="L17" s="353">
        <f t="shared" ca="1" si="4"/>
        <v>0</v>
      </c>
      <c r="M17" s="353"/>
      <c r="N17" s="343"/>
      <c r="P17" s="355"/>
    </row>
    <row r="18" spans="1:16">
      <c r="A18" s="314" t="str">
        <f t="shared" ca="1" si="0"/>
        <v/>
      </c>
      <c r="B18" s="349" t="str">
        <f ca="1">IF(ROWS($1:5)&gt;COUNT(Dong11),"",OFFSET(TH!D$1,SMALL(Dong11,ROWS($1:5)),))</f>
        <v/>
      </c>
      <c r="C18" s="350" t="str">
        <f ca="1">IF(ROWS($1:5)&gt;COUNT(Dong11),"",OFFSET(TH!E$1,SMALL(Dong11,ROWS($1:5)),))</f>
        <v/>
      </c>
      <c r="D18" s="351" t="str">
        <f ca="1">IF(ROWS($1:5)&gt;COUNT(Dong11),"",OFFSET(TH!H$1,SMALL(Dong11,ROWS($1:5)),))</f>
        <v/>
      </c>
      <c r="E18" s="349" t="str">
        <f ca="1">IF(ROWS($1:5)&gt;COUNT(Dong11),"",IF(OFFSET(TH!L$1,SMALL(Dong11,ROWS($1:5)),)=$G$7,OFFSET(TH!M$1,SMALL(Dong11,ROWS($1:5)),),OFFSET(TH!L$1,SMALL(Dong11,ROWS($1:5)),)))</f>
        <v/>
      </c>
      <c r="F18" s="352">
        <f ca="1">IF(ROWS($1:5)&gt;COUNT(Dong11),0,OFFSET(TH!J$1,SMALL(Dong11,ROWS($1:5)),))</f>
        <v>0</v>
      </c>
      <c r="G18" s="352">
        <f ca="1">IF(ROWS($1:5)&gt;COUNT(Dong11),0,IF(MID(OFFSET(TH!D$1,SMALL(Dong11,ROWS($1:5)),),4,1)="N",OFFSET(TH!I$1,SMALL(Dong11,ROWS($1:5)),),0))</f>
        <v>0</v>
      </c>
      <c r="H18" s="353">
        <f t="shared" ca="1" si="1"/>
        <v>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0</v>
      </c>
      <c r="L18" s="353">
        <f t="shared" ca="1" si="4"/>
        <v>0</v>
      </c>
      <c r="M18" s="353"/>
      <c r="N18" s="343"/>
    </row>
    <row r="19" spans="1:16">
      <c r="A19" s="314" t="str">
        <f t="shared" ca="1" si="0"/>
        <v/>
      </c>
      <c r="B19" s="349" t="str">
        <f ca="1">IF(ROWS($1:6)&gt;COUNT(Dong11),"",OFFSET(TH!D$1,SMALL(Dong11,ROWS($1:6)),))</f>
        <v/>
      </c>
      <c r="C19" s="350" t="str">
        <f ca="1">IF(ROWS($1:6)&gt;COUNT(Dong11),"",OFFSET(TH!E$1,SMALL(Dong11,ROWS($1:6)),))</f>
        <v/>
      </c>
      <c r="D19" s="351" t="str">
        <f ca="1">IF(ROWS($1:6)&gt;COUNT(Dong11),"",OFFSET(TH!H$1,SMALL(Dong11,ROWS($1:6)),))</f>
        <v/>
      </c>
      <c r="E19" s="349" t="str">
        <f ca="1">IF(ROWS($1:6)&gt;COUNT(Dong11),"",IF(OFFSET(TH!L$1,SMALL(Dong11,ROWS($1:6)),)=$G$7,OFFSET(TH!M$1,SMALL(Dong11,ROWS($1:6)),),OFFSET(TH!L$1,SMALL(Dong11,ROWS($1:6)),)))</f>
        <v/>
      </c>
      <c r="F19" s="352">
        <f ca="1">IF(ROWS($1:6)&gt;COUNT(Dong11),0,OFFSET(TH!J$1,SMALL(Dong11,ROWS($1:6)),))</f>
        <v>0</v>
      </c>
      <c r="G19" s="352">
        <f ca="1">IF(ROWS($1:6)&gt;COUNT(Dong11),0,IF(MID(OFFSET(TH!D$1,SMALL(Dong11,ROWS($1:6)),),4,1)="N",OFFSET(TH!I$1,SMALL(Dong11,ROWS($1:6)),),0))</f>
        <v>0</v>
      </c>
      <c r="H19" s="353">
        <f t="shared" ca="1" si="1"/>
        <v>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0</v>
      </c>
      <c r="L19" s="353">
        <f t="shared" ca="1" si="4"/>
        <v>0</v>
      </c>
      <c r="M19" s="353"/>
      <c r="N19" s="343"/>
    </row>
    <row r="20" spans="1:16">
      <c r="A20" s="314" t="str">
        <f t="shared" ca="1" si="0"/>
        <v/>
      </c>
      <c r="B20" s="349" t="str">
        <f ca="1">IF(ROWS($1:7)&gt;COUNT(Dong11),"",OFFSET(TH!D$1,SMALL(Dong11,ROWS($1:7)),))</f>
        <v/>
      </c>
      <c r="C20" s="350" t="str">
        <f ca="1">IF(ROWS($1:7)&gt;COUNT(Dong11),"",OFFSET(TH!E$1,SMALL(Dong11,ROWS($1:7)),))</f>
        <v/>
      </c>
      <c r="D20" s="351" t="str">
        <f ca="1">IF(ROWS($1:7)&gt;COUNT(Dong11),"",OFFSET(TH!H$1,SMALL(Dong11,ROWS($1:7)),))</f>
        <v/>
      </c>
      <c r="E20" s="349" t="str">
        <f ca="1">IF(ROWS($1:7)&gt;COUNT(Dong11),"",IF(OFFSET(TH!L$1,SMALL(Dong11,ROWS($1:7)),)=$G$7,OFFSET(TH!M$1,SMALL(Dong11,ROWS($1:7)),),OFFSET(TH!L$1,SMALL(Dong11,ROWS($1:7)),)))</f>
        <v/>
      </c>
      <c r="F20" s="352">
        <f ca="1">IF(ROWS($1:7)&gt;COUNT(Dong11),0,OFFSET(TH!J$1,SMALL(Dong11,ROWS($1:7)),))</f>
        <v>0</v>
      </c>
      <c r="G20" s="352">
        <f ca="1">IF(ROWS($1:7)&gt;COUNT(Dong11),0,IF(MID(OFFSET(TH!D$1,SMALL(Dong11,ROWS($1:7)),),4,1)="N",OFFSET(TH!I$1,SMALL(Dong11,ROWS($1:7)),),0))</f>
        <v>0</v>
      </c>
      <c r="H20" s="353">
        <f t="shared" ca="1" si="1"/>
        <v>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0</v>
      </c>
      <c r="L20" s="353">
        <f t="shared" ca="1" si="4"/>
        <v>0</v>
      </c>
      <c r="M20" s="353"/>
      <c r="N20" s="343"/>
    </row>
    <row r="21" spans="1:16">
      <c r="A21" s="314" t="str">
        <f t="shared" ca="1" si="0"/>
        <v/>
      </c>
      <c r="B21" s="349" t="str">
        <f ca="1">IF(ROWS($1:8)&gt;COUNT(Dong11),"",OFFSET(TH!D$1,SMALL(Dong11,ROWS($1:8)),))</f>
        <v/>
      </c>
      <c r="C21" s="350" t="str">
        <f ca="1">IF(ROWS($1:8)&gt;COUNT(Dong11),"",OFFSET(TH!E$1,SMALL(Dong11,ROWS($1:8)),))</f>
        <v/>
      </c>
      <c r="D21" s="351" t="str">
        <f ca="1">IF(ROWS($1:8)&gt;COUNT(Dong11),"",OFFSET(TH!H$1,SMALL(Dong11,ROWS($1:8)),))</f>
        <v/>
      </c>
      <c r="E21" s="349" t="str">
        <f ca="1">IF(ROWS($1:8)&gt;COUNT(Dong11),"",IF(OFFSET(TH!L$1,SMALL(Dong11,ROWS($1:8)),)=$G$7,OFFSET(TH!M$1,SMALL(Dong11,ROWS($1:8)),),OFFSET(TH!L$1,SMALL(Dong11,ROWS($1:8)),)))</f>
        <v/>
      </c>
      <c r="F21" s="352">
        <f ca="1">IF(ROWS($1:8)&gt;COUNT(Dong11),0,OFFSET(TH!J$1,SMALL(Dong11,ROWS($1:8)),))</f>
        <v>0</v>
      </c>
      <c r="G21" s="352">
        <f ca="1">IF(ROWS($1:8)&gt;COUNT(Dong11),0,IF(MID(OFFSET(TH!D$1,SMALL(Dong11,ROWS($1:8)),),4,1)="N",OFFSET(TH!I$1,SMALL(Dong11,ROWS($1:8)),),0))</f>
        <v>0</v>
      </c>
      <c r="H21" s="353">
        <f t="shared" ca="1" si="1"/>
        <v>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0</v>
      </c>
      <c r="L21" s="353">
        <f t="shared" ca="1" si="4"/>
        <v>0</v>
      </c>
      <c r="M21" s="353"/>
      <c r="N21" s="343"/>
    </row>
    <row r="22" spans="1:16">
      <c r="A22" s="314" t="str">
        <f t="shared" ca="1" si="0"/>
        <v/>
      </c>
      <c r="B22" s="349" t="str">
        <f ca="1">IF(ROWS($1:9)&gt;COUNT(Dong11),"",OFFSET(TH!D$1,SMALL(Dong11,ROWS($1:9)),))</f>
        <v/>
      </c>
      <c r="C22" s="350" t="str">
        <f ca="1">IF(ROWS($1:9)&gt;COUNT(Dong11),"",OFFSET(TH!E$1,SMALL(Dong11,ROWS($1:9)),))</f>
        <v/>
      </c>
      <c r="D22" s="351" t="str">
        <f ca="1">IF(ROWS($1:9)&gt;COUNT(Dong11),"",OFFSET(TH!H$1,SMALL(Dong11,ROWS($1:9)),))</f>
        <v/>
      </c>
      <c r="E22" s="349" t="str">
        <f ca="1">IF(ROWS($1:9)&gt;COUNT(Dong11),"",IF(OFFSET(TH!L$1,SMALL(Dong11,ROWS($1:9)),)=$G$7,OFFSET(TH!M$1,SMALL(Dong11,ROWS($1:9)),),OFFSET(TH!L$1,SMALL(Dong11,ROWS($1:9)),)))</f>
        <v/>
      </c>
      <c r="F22" s="352">
        <f ca="1">IF(ROWS($1:9)&gt;COUNT(Dong11),0,OFFSET(TH!J$1,SMALL(Dong11,ROWS($1:9)),))</f>
        <v>0</v>
      </c>
      <c r="G22" s="352">
        <f ca="1">IF(ROWS($1:9)&gt;COUNT(Dong11),0,IF(MID(OFFSET(TH!D$1,SMALL(Dong11,ROWS($1:9)),),4,1)="N",OFFSET(TH!I$1,SMALL(Dong11,ROWS($1:9)),),0))</f>
        <v>0</v>
      </c>
      <c r="H22" s="353">
        <f t="shared" ca="1" si="1"/>
        <v>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0</v>
      </c>
      <c r="L22" s="353">
        <f t="shared" ca="1" si="4"/>
        <v>0</v>
      </c>
      <c r="M22" s="353"/>
      <c r="N22" s="343"/>
    </row>
    <row r="23" spans="1:16">
      <c r="A23" s="314" t="str">
        <f t="shared" ca="1" si="0"/>
        <v/>
      </c>
      <c r="B23" s="349" t="str">
        <f ca="1">IF(ROWS($1:10)&gt;COUNT(Dong11),"",OFFSET(TH!D$1,SMALL(Dong11,ROWS($1:10)),))</f>
        <v/>
      </c>
      <c r="C23" s="350" t="str">
        <f ca="1">IF(ROWS($1:10)&gt;COUNT(Dong11),"",OFFSET(TH!E$1,SMALL(Dong11,ROWS($1:10)),))</f>
        <v/>
      </c>
      <c r="D23" s="351" t="str">
        <f ca="1">IF(ROWS($1:10)&gt;COUNT(Dong11),"",OFFSET(TH!H$1,SMALL(Dong11,ROWS($1:10)),))</f>
        <v/>
      </c>
      <c r="E23" s="349" t="str">
        <f ca="1">IF(ROWS($1:10)&gt;COUNT(Dong11),"",IF(OFFSET(TH!L$1,SMALL(Dong11,ROWS($1:10)),)=$G$7,OFFSET(TH!M$1,SMALL(Dong11,ROWS($1:10)),),OFFSET(TH!L$1,SMALL(Dong11,ROWS($1:10)),)))</f>
        <v/>
      </c>
      <c r="F23" s="352">
        <f ca="1">IF(ROWS($1:10)&gt;COUNT(Dong11),0,OFFSET(TH!J$1,SMALL(Dong11,ROWS($1:10)),))</f>
        <v>0</v>
      </c>
      <c r="G23" s="352">
        <f ca="1">IF(ROWS($1:10)&gt;COUNT(Dong11),0,IF(MID(OFFSET(TH!D$1,SMALL(Dong11,ROWS($1:10)),),4,1)="N",OFFSET(TH!I$1,SMALL(Dong11,ROWS($1:10)),),0))</f>
        <v>0</v>
      </c>
      <c r="H23" s="353">
        <f t="shared" ca="1" si="1"/>
        <v>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0</v>
      </c>
      <c r="L23" s="353">
        <f t="shared" ca="1" si="4"/>
        <v>0</v>
      </c>
      <c r="M23" s="353"/>
      <c r="N23" s="343"/>
    </row>
    <row r="24" spans="1:16">
      <c r="A24" s="314" t="str">
        <f t="shared" ca="1" si="0"/>
        <v/>
      </c>
      <c r="B24" s="349" t="str">
        <f ca="1">IF(ROWS($1:11)&gt;COUNT(Dong11),"",OFFSET(TH!D$1,SMALL(Dong11,ROWS($1:11)),))</f>
        <v/>
      </c>
      <c r="C24" s="350" t="str">
        <f ca="1">IF(ROWS($1:11)&gt;COUNT(Dong11),"",OFFSET(TH!E$1,SMALL(Dong11,ROWS($1:11)),))</f>
        <v/>
      </c>
      <c r="D24" s="351" t="str">
        <f ca="1">IF(ROWS($1:11)&gt;COUNT(Dong11),"",OFFSET(TH!H$1,SMALL(Dong11,ROWS($1:11)),))</f>
        <v/>
      </c>
      <c r="E24" s="349" t="str">
        <f ca="1">IF(ROWS($1:11)&gt;COUNT(Dong11),"",IF(OFFSET(TH!L$1,SMALL(Dong11,ROWS($1:11)),)=$G$7,OFFSET(TH!M$1,SMALL(Dong11,ROWS($1:11)),),OFFSET(TH!L$1,SMALL(Dong11,ROWS($1:11)),)))</f>
        <v/>
      </c>
      <c r="F24" s="352">
        <f ca="1">IF(ROWS($1:11)&gt;COUNT(Dong11),0,OFFSET(TH!J$1,SMALL(Dong11,ROWS($1:11)),))</f>
        <v>0</v>
      </c>
      <c r="G24" s="352">
        <f ca="1">IF(ROWS($1:11)&gt;COUNT(Dong11),0,IF(MID(OFFSET(TH!D$1,SMALL(Dong11,ROWS($1:11)),),4,1)="N",OFFSET(TH!I$1,SMALL(Dong11,ROWS($1:11)),),0))</f>
        <v>0</v>
      </c>
      <c r="H24" s="353">
        <f t="shared" ca="1" si="1"/>
        <v>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0</v>
      </c>
      <c r="L24" s="353">
        <f t="shared" ca="1" si="4"/>
        <v>0</v>
      </c>
      <c r="M24" s="353"/>
      <c r="N24" s="343"/>
    </row>
    <row r="25" spans="1:16">
      <c r="A25" s="314" t="str">
        <f t="shared" ref="A25:A38" ca="1" si="5">IF(B25="","",A24+1)</f>
        <v/>
      </c>
      <c r="B25" s="349" t="str">
        <f ca="1">IF(ROWS($1:12)&gt;COUNT(Dong11),"",OFFSET(TH!D$1,SMALL(Dong11,ROWS($1:12)),))</f>
        <v/>
      </c>
      <c r="C25" s="350" t="str">
        <f ca="1">IF(ROWS($1:12)&gt;COUNT(Dong11),"",OFFSET(TH!E$1,SMALL(Dong11,ROWS($1:12)),))</f>
        <v/>
      </c>
      <c r="D25" s="351" t="str">
        <f ca="1">IF(ROWS($1:12)&gt;COUNT(Dong11),"",OFFSET(TH!H$1,SMALL(Dong11,ROWS($1:12)),))</f>
        <v/>
      </c>
      <c r="E25" s="349" t="str">
        <f ca="1">IF(ROWS($1:12)&gt;COUNT(Dong11),"",IF(OFFSET(TH!L$1,SMALL(Dong11,ROWS($1:12)),)=$G$7,OFFSET(TH!M$1,SMALL(Dong11,ROWS($1:12)),),OFFSET(TH!L$1,SMALL(Dong11,ROWS($1:12)),)))</f>
        <v/>
      </c>
      <c r="F25" s="352">
        <f ca="1">IF(ROWS($1:12)&gt;COUNT(Dong11),0,OFFSET(TH!J$1,SMALL(Dong11,ROWS($1:12)),))</f>
        <v>0</v>
      </c>
      <c r="G25" s="352">
        <f ca="1">IF(ROWS($1:12)&gt;COUNT(Dong11),0,IF(MID(OFFSET(TH!D$1,SMALL(Dong11,ROWS($1:12)),),4,1)="N",OFFSET(TH!I$1,SMALL(Dong11,ROWS($1:12)),),0))</f>
        <v>0</v>
      </c>
      <c r="H25" s="353">
        <f t="shared" ref="H25:H38" ca="1" si="6">ROUND(F25*G25,0)</f>
        <v>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0</v>
      </c>
      <c r="L25" s="353">
        <f t="shared" ref="L25:L38" ca="1" si="9">IF(D25&lt;&gt;"",L24+H25-J25,0)</f>
        <v>0</v>
      </c>
      <c r="M25" s="353"/>
      <c r="N25" s="343"/>
    </row>
    <row r="26" spans="1:16">
      <c r="A26" s="314" t="str">
        <f t="shared" ca="1" si="5"/>
        <v/>
      </c>
      <c r="B26" s="349" t="str">
        <f ca="1">IF(ROWS($1:13)&gt;COUNT(Dong11),"",OFFSET(TH!D$1,SMALL(Dong11,ROWS($1:13)),))</f>
        <v/>
      </c>
      <c r="C26" s="350" t="str">
        <f ca="1">IF(ROWS($1:13)&gt;COUNT(Dong11),"",OFFSET(TH!E$1,SMALL(Dong11,ROWS($1:13)),))</f>
        <v/>
      </c>
      <c r="D26" s="351" t="str">
        <f ca="1">IF(ROWS($1:13)&gt;COUNT(Dong11),"",OFFSET(TH!H$1,SMALL(Dong11,ROWS($1:13)),))</f>
        <v/>
      </c>
      <c r="E26" s="349" t="str">
        <f ca="1">IF(ROWS($1:13)&gt;COUNT(Dong11),"",IF(OFFSET(TH!L$1,SMALL(Dong11,ROWS($1:13)),)=$G$7,OFFSET(TH!M$1,SMALL(Dong11,ROWS($1:13)),),OFFSET(TH!L$1,SMALL(Dong11,ROWS($1:13)),)))</f>
        <v/>
      </c>
      <c r="F26" s="352">
        <f ca="1">IF(ROWS($1:13)&gt;COUNT(Dong11),0,OFFSET(TH!J$1,SMALL(Dong11,ROWS($1:13)),))</f>
        <v>0</v>
      </c>
      <c r="G26" s="352">
        <f ca="1">IF(ROWS($1:13)&gt;COUNT(Dong11),0,IF(MID(OFFSET(TH!D$1,SMALL(Dong11,ROWS($1:13)),),4,1)="N",OFFSET(TH!I$1,SMALL(Dong11,ROWS($1:13)),),0))</f>
        <v>0</v>
      </c>
      <c r="H26" s="353">
        <f t="shared" ca="1" si="6"/>
        <v>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0</v>
      </c>
      <c r="L26" s="353">
        <f t="shared" ca="1" si="9"/>
        <v>0</v>
      </c>
      <c r="M26" s="353"/>
      <c r="N26" s="343"/>
    </row>
    <row r="27" spans="1:16">
      <c r="A27" s="314" t="str">
        <f t="shared" ca="1" si="5"/>
        <v/>
      </c>
      <c r="B27" s="349" t="str">
        <f ca="1">IF(ROWS($1:14)&gt;COUNT(Dong11),"",OFFSET(TH!D$1,SMALL(Dong11,ROWS($1:14)),))</f>
        <v/>
      </c>
      <c r="C27" s="350" t="str">
        <f ca="1">IF(ROWS($1:14)&gt;COUNT(Dong11),"",OFFSET(TH!E$1,SMALL(Dong11,ROWS($1:14)),))</f>
        <v/>
      </c>
      <c r="D27" s="351" t="str">
        <f ca="1">IF(ROWS($1:14)&gt;COUNT(Dong11),"",OFFSET(TH!H$1,SMALL(Dong11,ROWS($1:14)),))</f>
        <v/>
      </c>
      <c r="E27" s="349" t="str">
        <f ca="1">IF(ROWS($1:14)&gt;COUNT(Dong11),"",IF(OFFSET(TH!L$1,SMALL(Dong11,ROWS($1:14)),)=$G$7,OFFSET(TH!M$1,SMALL(Dong11,ROWS($1:14)),),OFFSET(TH!L$1,SMALL(Dong11,ROWS($1:14)),)))</f>
        <v/>
      </c>
      <c r="F27" s="352">
        <f ca="1">IF(ROWS($1:14)&gt;COUNT(Dong11),0,OFFSET(TH!J$1,SMALL(Dong11,ROWS($1:14)),))</f>
        <v>0</v>
      </c>
      <c r="G27" s="352">
        <f ca="1">IF(ROWS($1:14)&gt;COUNT(Dong11),0,IF(MID(OFFSET(TH!D$1,SMALL(Dong11,ROWS($1:14)),),4,1)="N",OFFSET(TH!I$1,SMALL(Dong11,ROWS($1:14)),),0))</f>
        <v>0</v>
      </c>
      <c r="H27" s="353">
        <f t="shared" ca="1" si="6"/>
        <v>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0</v>
      </c>
      <c r="L27" s="353">
        <f t="shared" ca="1" si="9"/>
        <v>0</v>
      </c>
      <c r="M27" s="353"/>
      <c r="N27" s="343"/>
    </row>
    <row r="28" spans="1:16">
      <c r="A28" s="314" t="str">
        <f t="shared" ca="1" si="5"/>
        <v/>
      </c>
      <c r="B28" s="349" t="str">
        <f ca="1">IF(ROWS($1:15)&gt;COUNT(Dong11),"",OFFSET(TH!D$1,SMALL(Dong11,ROWS($1:15)),))</f>
        <v/>
      </c>
      <c r="C28" s="350" t="str">
        <f ca="1">IF(ROWS($1:15)&gt;COUNT(Dong11),"",OFFSET(TH!E$1,SMALL(Dong11,ROWS($1:15)),))</f>
        <v/>
      </c>
      <c r="D28" s="351" t="str">
        <f ca="1">IF(ROWS($1:15)&gt;COUNT(Dong11),"",OFFSET(TH!H$1,SMALL(Dong11,ROWS($1:15)),))</f>
        <v/>
      </c>
      <c r="E28" s="349" t="str">
        <f ca="1">IF(ROWS($1:15)&gt;COUNT(Dong11),"",IF(OFFSET(TH!L$1,SMALL(Dong11,ROWS($1:15)),)=$G$7,OFFSET(TH!M$1,SMALL(Dong11,ROWS($1:15)),),OFFSET(TH!L$1,SMALL(Dong11,ROWS($1:15)),)))</f>
        <v/>
      </c>
      <c r="F28" s="352">
        <f ca="1">IF(ROWS($1:15)&gt;COUNT(Dong11),0,OFFSET(TH!J$1,SMALL(Dong11,ROWS($1:15)),))</f>
        <v>0</v>
      </c>
      <c r="G28" s="352">
        <f ca="1">IF(ROWS($1:15)&gt;COUNT(Dong11),0,IF(MID(OFFSET(TH!D$1,SMALL(Dong11,ROWS($1:15)),),4,1)="N",OFFSET(TH!I$1,SMALL(Dong11,ROWS($1:15)),),0))</f>
        <v>0</v>
      </c>
      <c r="H28" s="353">
        <f t="shared" ca="1" si="6"/>
        <v>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0</v>
      </c>
      <c r="L28" s="353">
        <f t="shared" ca="1" si="9"/>
        <v>0</v>
      </c>
      <c r="M28" s="353"/>
      <c r="N28" s="343"/>
    </row>
    <row r="29" spans="1:16">
      <c r="A29" s="314" t="str">
        <f t="shared" ca="1" si="5"/>
        <v/>
      </c>
      <c r="B29" s="349" t="str">
        <f ca="1">IF(ROWS($1:16)&gt;COUNT(Dong11),"",OFFSET(TH!D$1,SMALL(Dong11,ROWS($1:16)),))</f>
        <v/>
      </c>
      <c r="C29" s="350" t="str">
        <f ca="1">IF(ROWS($1:16)&gt;COUNT(Dong11),"",OFFSET(TH!E$1,SMALL(Dong11,ROWS($1:16)),))</f>
        <v/>
      </c>
      <c r="D29" s="351" t="str">
        <f ca="1">IF(ROWS($1:16)&gt;COUNT(Dong11),"",OFFSET(TH!H$1,SMALL(Dong11,ROWS($1:16)),))</f>
        <v/>
      </c>
      <c r="E29" s="349" t="str">
        <f ca="1">IF(ROWS($1:16)&gt;COUNT(Dong11),"",IF(OFFSET(TH!L$1,SMALL(Dong11,ROWS($1:16)),)=$G$7,OFFSET(TH!M$1,SMALL(Dong11,ROWS($1:16)),),OFFSET(TH!L$1,SMALL(Dong11,ROWS($1:16)),)))</f>
        <v/>
      </c>
      <c r="F29" s="352">
        <f ca="1">IF(ROWS($1:16)&gt;COUNT(Dong11),0,OFFSET(TH!J$1,SMALL(Dong11,ROWS($1:16)),))</f>
        <v>0</v>
      </c>
      <c r="G29" s="352">
        <f ca="1">IF(ROWS($1:16)&gt;COUNT(Dong11),0,IF(MID(OFFSET(TH!D$1,SMALL(Dong11,ROWS($1:16)),),4,1)="N",OFFSET(TH!I$1,SMALL(Dong11,ROWS($1:16)),),0))</f>
        <v>0</v>
      </c>
      <c r="H29" s="353">
        <f t="shared" ca="1" si="6"/>
        <v>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0</v>
      </c>
      <c r="L29" s="353">
        <f t="shared" ca="1" si="9"/>
        <v>0</v>
      </c>
      <c r="M29" s="353"/>
      <c r="N29" s="343"/>
    </row>
    <row r="30" spans="1:16">
      <c r="A30" s="314" t="str">
        <f t="shared" ca="1" si="5"/>
        <v/>
      </c>
      <c r="B30" s="349" t="str">
        <f ca="1">IF(ROWS($1:17)&gt;COUNT(Dong11),"",OFFSET(TH!D$1,SMALL(Dong11,ROWS($1:17)),))</f>
        <v/>
      </c>
      <c r="C30" s="350" t="str">
        <f ca="1">IF(ROWS($1:17)&gt;COUNT(Dong11),"",OFFSET(TH!E$1,SMALL(Dong11,ROWS($1:17)),))</f>
        <v/>
      </c>
      <c r="D30" s="351" t="str">
        <f ca="1">IF(ROWS($1:17)&gt;COUNT(Dong11),"",OFFSET(TH!H$1,SMALL(Dong11,ROWS($1:17)),))</f>
        <v/>
      </c>
      <c r="E30" s="349" t="str">
        <f ca="1">IF(ROWS($1:17)&gt;COUNT(Dong11),"",IF(OFFSET(TH!L$1,SMALL(Dong11,ROWS($1:17)),)=$G$7,OFFSET(TH!M$1,SMALL(Dong11,ROWS($1:17)),),OFFSET(TH!L$1,SMALL(Dong11,ROWS($1:17)),)))</f>
        <v/>
      </c>
      <c r="F30" s="352">
        <f ca="1">IF(ROWS($1:17)&gt;COUNT(Dong11),0,OFFSET(TH!J$1,SMALL(Dong11,ROWS($1:17)),))</f>
        <v>0</v>
      </c>
      <c r="G30" s="352">
        <f ca="1">IF(ROWS($1:17)&gt;COUNT(Dong11),0,IF(MID(OFFSET(TH!D$1,SMALL(Dong11,ROWS($1:17)),),4,1)="N",OFFSET(TH!I$1,SMALL(Dong11,ROWS($1:17)),),0))</f>
        <v>0</v>
      </c>
      <c r="H30" s="353">
        <f t="shared" ca="1" si="6"/>
        <v>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0</v>
      </c>
      <c r="L30" s="353">
        <f t="shared" ca="1" si="9"/>
        <v>0</v>
      </c>
      <c r="M30" s="353"/>
      <c r="N30" s="343"/>
    </row>
    <row r="31" spans="1:16">
      <c r="A31" s="314" t="str">
        <f t="shared" ca="1" si="5"/>
        <v/>
      </c>
      <c r="B31" s="349" t="str">
        <f ca="1">IF(ROWS($1:18)&gt;COUNT(Dong11),"",OFFSET(TH!D$1,SMALL(Dong11,ROWS($1:18)),))</f>
        <v/>
      </c>
      <c r="C31" s="350" t="str">
        <f ca="1">IF(ROWS($1:18)&gt;COUNT(Dong11),"",OFFSET(TH!E$1,SMALL(Dong11,ROWS($1:18)),))</f>
        <v/>
      </c>
      <c r="D31" s="351" t="str">
        <f ca="1">IF(ROWS($1:18)&gt;COUNT(Dong11),"",OFFSET(TH!H$1,SMALL(Dong11,ROWS($1:18)),))</f>
        <v/>
      </c>
      <c r="E31" s="349" t="str">
        <f ca="1">IF(ROWS($1:18)&gt;COUNT(Dong11),"",IF(OFFSET(TH!L$1,SMALL(Dong11,ROWS($1:18)),)=$G$7,OFFSET(TH!M$1,SMALL(Dong11,ROWS($1:18)),),OFFSET(TH!L$1,SMALL(Dong11,ROWS($1:18)),)))</f>
        <v/>
      </c>
      <c r="F31" s="352">
        <f ca="1">IF(ROWS($1:18)&gt;COUNT(Dong11),0,OFFSET(TH!J$1,SMALL(Dong11,ROWS($1:18)),))</f>
        <v>0</v>
      </c>
      <c r="G31" s="352">
        <f ca="1">IF(ROWS($1:18)&gt;COUNT(Dong11),0,IF(MID(OFFSET(TH!D$1,SMALL(Dong11,ROWS($1:18)),),4,1)="N",OFFSET(TH!I$1,SMALL(Dong11,ROWS($1:18)),),0))</f>
        <v>0</v>
      </c>
      <c r="H31" s="353">
        <f t="shared" ca="1" si="6"/>
        <v>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0</v>
      </c>
      <c r="L31" s="353">
        <f t="shared" ca="1" si="9"/>
        <v>0</v>
      </c>
      <c r="M31" s="353"/>
      <c r="N31" s="343"/>
    </row>
    <row r="32" spans="1:16">
      <c r="A32" s="314" t="str">
        <f t="shared" ca="1" si="5"/>
        <v/>
      </c>
      <c r="B32" s="349" t="str">
        <f ca="1">IF(ROWS($1:19)&gt;COUNT(Dong11),"",OFFSET(TH!D$1,SMALL(Dong11,ROWS($1:19)),))</f>
        <v/>
      </c>
      <c r="C32" s="350" t="str">
        <f ca="1">IF(ROWS($1:19)&gt;COUNT(Dong11),"",OFFSET(TH!E$1,SMALL(Dong11,ROWS($1:19)),))</f>
        <v/>
      </c>
      <c r="D32" s="351" t="str">
        <f ca="1">IF(ROWS($1:19)&gt;COUNT(Dong11),"",OFFSET(TH!H$1,SMALL(Dong11,ROWS($1:19)),))</f>
        <v/>
      </c>
      <c r="E32" s="349" t="str">
        <f ca="1">IF(ROWS($1:19)&gt;COUNT(Dong11),"",IF(OFFSET(TH!L$1,SMALL(Dong11,ROWS($1:19)),)=$G$7,OFFSET(TH!M$1,SMALL(Dong11,ROWS($1:19)),),OFFSET(TH!L$1,SMALL(Dong11,ROWS($1:19)),)))</f>
        <v/>
      </c>
      <c r="F32" s="352">
        <f ca="1">IF(ROWS($1:19)&gt;COUNT(Dong11),0,OFFSET(TH!J$1,SMALL(Dong11,ROWS($1:19)),))</f>
        <v>0</v>
      </c>
      <c r="G32" s="352">
        <f ca="1">IF(ROWS($1:19)&gt;COUNT(Dong11),0,IF(MID(OFFSET(TH!D$1,SMALL(Dong11,ROWS($1:19)),),4,1)="N",OFFSET(TH!I$1,SMALL(Dong11,ROWS($1:19)),),0))</f>
        <v>0</v>
      </c>
      <c r="H32" s="353">
        <f t="shared" ca="1" si="6"/>
        <v>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0</v>
      </c>
      <c r="L32" s="353">
        <f t="shared" ca="1" si="9"/>
        <v>0</v>
      </c>
      <c r="M32" s="353"/>
      <c r="N32" s="343"/>
    </row>
    <row r="33" spans="1:14">
      <c r="A33" s="314" t="str">
        <f t="shared" ca="1" si="5"/>
        <v/>
      </c>
      <c r="B33" s="349" t="str">
        <f ca="1">IF(ROWS($1:20)&gt;COUNT(Dong11),"",OFFSET(TH!D$1,SMALL(Dong11,ROWS($1:20)),))</f>
        <v/>
      </c>
      <c r="C33" s="350" t="str">
        <f ca="1">IF(ROWS($1:20)&gt;COUNT(Dong11),"",OFFSET(TH!E$1,SMALL(Dong11,ROWS($1:20)),))</f>
        <v/>
      </c>
      <c r="D33" s="351" t="str">
        <f ca="1">IF(ROWS($1:20)&gt;COUNT(Dong11),"",OFFSET(TH!H$1,SMALL(Dong11,ROWS($1:20)),))</f>
        <v/>
      </c>
      <c r="E33" s="349" t="str">
        <f ca="1">IF(ROWS($1:20)&gt;COUNT(Dong11),"",IF(OFFSET(TH!L$1,SMALL(Dong11,ROWS($1:20)),)=$G$7,OFFSET(TH!M$1,SMALL(Dong11,ROWS($1:20)),),OFFSET(TH!L$1,SMALL(Dong11,ROWS($1:20)),)))</f>
        <v/>
      </c>
      <c r="F33" s="352">
        <f ca="1">IF(ROWS($1:20)&gt;COUNT(Dong11),0,OFFSET(TH!J$1,SMALL(Dong11,ROWS($1:20)),))</f>
        <v>0</v>
      </c>
      <c r="G33" s="352">
        <f ca="1">IF(ROWS($1:20)&gt;COUNT(Dong11),0,IF(MID(OFFSET(TH!D$1,SMALL(Dong11,ROWS($1:20)),),4,1)="N",OFFSET(TH!I$1,SMALL(Dong11,ROWS($1:20)),),0))</f>
        <v>0</v>
      </c>
      <c r="H33" s="353">
        <f t="shared" ca="1" si="6"/>
        <v>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0</v>
      </c>
      <c r="L33" s="353">
        <f t="shared" ca="1" si="9"/>
        <v>0</v>
      </c>
      <c r="M33" s="353"/>
      <c r="N33" s="343"/>
    </row>
    <row r="34" spans="1:14">
      <c r="A34" s="314" t="str">
        <f t="shared" ca="1" si="5"/>
        <v/>
      </c>
      <c r="B34" s="349" t="str">
        <f ca="1">IF(ROWS($1:21)&gt;COUNT(Dong11),"",OFFSET(TH!D$1,SMALL(Dong11,ROWS($1:21)),))</f>
        <v/>
      </c>
      <c r="C34" s="350" t="str">
        <f ca="1">IF(ROWS($1:21)&gt;COUNT(Dong11),"",OFFSET(TH!E$1,SMALL(Dong11,ROWS($1:21)),))</f>
        <v/>
      </c>
      <c r="D34" s="351" t="str">
        <f ca="1">IF(ROWS($1:21)&gt;COUNT(Dong11),"",OFFSET(TH!H$1,SMALL(Dong11,ROWS($1:21)),))</f>
        <v/>
      </c>
      <c r="E34" s="349" t="str">
        <f ca="1">IF(ROWS($1:21)&gt;COUNT(Dong11),"",IF(OFFSET(TH!L$1,SMALL(Dong11,ROWS($1:21)),)=$G$7,OFFSET(TH!M$1,SMALL(Dong11,ROWS($1:21)),),OFFSET(TH!L$1,SMALL(Dong11,ROWS($1:21)),)))</f>
        <v/>
      </c>
      <c r="F34" s="352">
        <f ca="1">IF(ROWS($1:21)&gt;COUNT(Dong11),0,OFFSET(TH!J$1,SMALL(Dong11,ROWS($1:21)),))</f>
        <v>0</v>
      </c>
      <c r="G34" s="352">
        <f ca="1">IF(ROWS($1:21)&gt;COUNT(Dong11),0,IF(MID(OFFSET(TH!D$1,SMALL(Dong11,ROWS($1:21)),),4,1)="N",OFFSET(TH!I$1,SMALL(Dong11,ROWS($1:21)),),0))</f>
        <v>0</v>
      </c>
      <c r="H34" s="353">
        <f t="shared" ca="1" si="6"/>
        <v>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0</v>
      </c>
      <c r="L34" s="353">
        <f t="shared" ca="1" si="9"/>
        <v>0</v>
      </c>
      <c r="M34" s="353"/>
      <c r="N34" s="343"/>
    </row>
    <row r="35" spans="1:14">
      <c r="A35" s="314" t="str">
        <f t="shared" ca="1" si="5"/>
        <v/>
      </c>
      <c r="B35" s="349" t="str">
        <f ca="1">IF(ROWS($1:22)&gt;COUNT(Dong11),"",OFFSET(TH!D$1,SMALL(Dong11,ROWS($1:22)),))</f>
        <v/>
      </c>
      <c r="C35" s="350" t="str">
        <f ca="1">IF(ROWS($1:22)&gt;COUNT(Dong11),"",OFFSET(TH!E$1,SMALL(Dong11,ROWS($1:22)),))</f>
        <v/>
      </c>
      <c r="D35" s="351" t="str">
        <f ca="1">IF(ROWS($1:22)&gt;COUNT(Dong11),"",OFFSET(TH!H$1,SMALL(Dong11,ROWS($1:22)),))</f>
        <v/>
      </c>
      <c r="E35" s="349" t="str">
        <f ca="1">IF(ROWS($1:22)&gt;COUNT(Dong11),"",IF(OFFSET(TH!L$1,SMALL(Dong11,ROWS($1:22)),)=$G$7,OFFSET(TH!M$1,SMALL(Dong11,ROWS($1:22)),),OFFSET(TH!L$1,SMALL(Dong11,ROWS($1:22)),)))</f>
        <v/>
      </c>
      <c r="F35" s="352">
        <f ca="1">IF(ROWS($1:22)&gt;COUNT(Dong11),0,OFFSET(TH!J$1,SMALL(Dong11,ROWS($1:22)),))</f>
        <v>0</v>
      </c>
      <c r="G35" s="352">
        <f ca="1">IF(ROWS($1:22)&gt;COUNT(Dong11),0,IF(MID(OFFSET(TH!D$1,SMALL(Dong11,ROWS($1:22)),),4,1)="N",OFFSET(TH!I$1,SMALL(Dong11,ROWS($1:22)),),0))</f>
        <v>0</v>
      </c>
      <c r="H35" s="353">
        <f t="shared" ca="1" si="6"/>
        <v>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0</v>
      </c>
      <c r="L35" s="353">
        <f t="shared" ca="1" si="9"/>
        <v>0</v>
      </c>
      <c r="M35" s="353"/>
      <c r="N35" s="343"/>
    </row>
    <row r="36" spans="1:14">
      <c r="A36" s="314" t="str">
        <f t="shared" ca="1" si="5"/>
        <v/>
      </c>
      <c r="B36" s="349" t="str">
        <f ca="1">IF(ROWS($1:23)&gt;COUNT(Dong11),"",OFFSET(TH!D$1,SMALL(Dong11,ROWS($1:23)),))</f>
        <v/>
      </c>
      <c r="C36" s="350" t="str">
        <f ca="1">IF(ROWS($1:23)&gt;COUNT(Dong11),"",OFFSET(TH!E$1,SMALL(Dong11,ROWS($1:23)),))</f>
        <v/>
      </c>
      <c r="D36" s="351" t="str">
        <f ca="1">IF(ROWS($1:23)&gt;COUNT(Dong11),"",OFFSET(TH!H$1,SMALL(Dong11,ROWS($1:23)),))</f>
        <v/>
      </c>
      <c r="E36" s="349" t="str">
        <f ca="1">IF(ROWS($1:23)&gt;COUNT(Dong11),"",IF(OFFSET(TH!L$1,SMALL(Dong11,ROWS($1:23)),)=$G$7,OFFSET(TH!M$1,SMALL(Dong11,ROWS($1:23)),),OFFSET(TH!L$1,SMALL(Dong11,ROWS($1:23)),)))</f>
        <v/>
      </c>
      <c r="F36" s="352">
        <f ca="1">IF(ROWS($1:23)&gt;COUNT(Dong11),0,OFFSET(TH!J$1,SMALL(Dong11,ROWS($1:23)),))</f>
        <v>0</v>
      </c>
      <c r="G36" s="352">
        <f ca="1">IF(ROWS($1:23)&gt;COUNT(Dong11),0,IF(MID(OFFSET(TH!D$1,SMALL(Dong11,ROWS($1:23)),),4,1)="N",OFFSET(TH!I$1,SMALL(Dong11,ROWS($1:23)),),0))</f>
        <v>0</v>
      </c>
      <c r="H36" s="353">
        <f t="shared" ca="1" si="6"/>
        <v>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0</v>
      </c>
      <c r="L36" s="353">
        <f t="shared" ca="1" si="9"/>
        <v>0</v>
      </c>
      <c r="M36" s="353"/>
      <c r="N36" s="343"/>
    </row>
    <row r="37" spans="1:14">
      <c r="A37" s="314" t="str">
        <f t="shared" ca="1" si="5"/>
        <v/>
      </c>
      <c r="B37" s="349" t="str">
        <f ca="1">IF(ROWS($1:24)&gt;COUNT(Dong11),"",OFFSET(TH!D$1,SMALL(Dong11,ROWS($1:24)),))</f>
        <v/>
      </c>
      <c r="C37" s="350" t="str">
        <f ca="1">IF(ROWS($1:24)&gt;COUNT(Dong11),"",OFFSET(TH!E$1,SMALL(Dong11,ROWS($1:24)),))</f>
        <v/>
      </c>
      <c r="D37" s="351" t="str">
        <f ca="1">IF(ROWS($1:24)&gt;COUNT(Dong11),"",OFFSET(TH!H$1,SMALL(Dong11,ROWS($1:24)),))</f>
        <v/>
      </c>
      <c r="E37" s="349" t="str">
        <f ca="1">IF(ROWS($1:24)&gt;COUNT(Dong11),"",IF(OFFSET(TH!L$1,SMALL(Dong11,ROWS($1:24)),)=$G$7,OFFSET(TH!M$1,SMALL(Dong11,ROWS($1:24)),),OFFSET(TH!L$1,SMALL(Dong11,ROWS($1:24)),)))</f>
        <v/>
      </c>
      <c r="F37" s="352">
        <f ca="1">IF(ROWS($1:24)&gt;COUNT(Dong11),0,OFFSET(TH!J$1,SMALL(Dong11,ROWS($1:24)),))</f>
        <v>0</v>
      </c>
      <c r="G37" s="352">
        <f ca="1">IF(ROWS($1:24)&gt;COUNT(Dong11),0,IF(MID(OFFSET(TH!D$1,SMALL(Dong11,ROWS($1:24)),),4,1)="N",OFFSET(TH!I$1,SMALL(Dong11,ROWS($1:24)),),0))</f>
        <v>0</v>
      </c>
      <c r="H37" s="353">
        <f t="shared" ca="1" si="6"/>
        <v>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0</v>
      </c>
      <c r="L37" s="353">
        <f t="shared" ca="1" si="9"/>
        <v>0</v>
      </c>
      <c r="M37" s="353"/>
      <c r="N37" s="343"/>
    </row>
    <row r="38" spans="1:14">
      <c r="A38" s="314" t="str">
        <f t="shared" ca="1" si="5"/>
        <v/>
      </c>
      <c r="B38" s="349" t="str">
        <f ca="1">IF(ROWS($1:25)&gt;COUNT(Dong11),"",OFFSET(TH!D$1,SMALL(Dong11,ROWS($1:25)),))</f>
        <v/>
      </c>
      <c r="C38" s="350" t="str">
        <f ca="1">IF(ROWS($1:25)&gt;COUNT(Dong11),"",OFFSET(TH!E$1,SMALL(Dong11,ROWS($1:25)),))</f>
        <v/>
      </c>
      <c r="D38" s="351" t="str">
        <f ca="1">IF(ROWS($1:25)&gt;COUNT(Dong11),"",OFFSET(TH!H$1,SMALL(Dong11,ROWS($1:25)),))</f>
        <v/>
      </c>
      <c r="E38" s="349" t="str">
        <f ca="1">IF(ROWS($1:25)&gt;COUNT(Dong11),"",IF(OFFSET(TH!L$1,SMALL(Dong11,ROWS($1:25)),)=$G$7,OFFSET(TH!M$1,SMALL(Dong11,ROWS($1:25)),),OFFSET(TH!L$1,SMALL(Dong11,ROWS($1:25)),)))</f>
        <v/>
      </c>
      <c r="F38" s="352">
        <f ca="1">IF(ROWS($1:25)&gt;COUNT(Dong11),0,OFFSET(TH!J$1,SMALL(Dong11,ROWS($1:25)),))</f>
        <v>0</v>
      </c>
      <c r="G38" s="352">
        <f ca="1">IF(ROWS($1:25)&gt;COUNT(Dong11),0,IF(MID(OFFSET(TH!D$1,SMALL(Dong11,ROWS($1:25)),),4,1)="N",OFFSET(TH!I$1,SMALL(Dong11,ROWS($1:25)),),0))</f>
        <v>0</v>
      </c>
      <c r="H38" s="353">
        <f t="shared" ca="1" si="6"/>
        <v>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0</v>
      </c>
      <c r="L38" s="353">
        <f t="shared" ca="1" si="9"/>
        <v>0</v>
      </c>
      <c r="M38" s="353"/>
      <c r="N38" s="343"/>
    </row>
    <row r="39" spans="1:14">
      <c r="A39" s="314" t="str">
        <f t="shared" ref="A39:A62" ca="1" si="10">IF(B39="","",A38+1)</f>
        <v/>
      </c>
      <c r="B39" s="349" t="str">
        <f ca="1">IF(ROWS($1:26)&gt;COUNT(Dong11),"",OFFSET(TH!D$1,SMALL(Dong11,ROWS($1:26)),))</f>
        <v/>
      </c>
      <c r="C39" s="350" t="str">
        <f ca="1">IF(ROWS($1:26)&gt;COUNT(Dong11),"",OFFSET(TH!E$1,SMALL(Dong11,ROWS($1:26)),))</f>
        <v/>
      </c>
      <c r="D39" s="351" t="str">
        <f ca="1">IF(ROWS($1:26)&gt;COUNT(Dong11),"",OFFSET(TH!H$1,SMALL(Dong11,ROWS($1:26)),))</f>
        <v/>
      </c>
      <c r="E39" s="349" t="str">
        <f ca="1">IF(ROWS($1:26)&gt;COUNT(Dong11),"",IF(OFFSET(TH!L$1,SMALL(Dong11,ROWS($1:26)),)=$G$7,OFFSET(TH!M$1,SMALL(Dong11,ROWS($1:26)),),OFFSET(TH!L$1,SMALL(Dong11,ROWS($1:26)),)))</f>
        <v/>
      </c>
      <c r="F39" s="352">
        <f ca="1">IF(ROWS($1:26)&gt;COUNT(Dong11),0,OFFSET(TH!J$1,SMALL(Dong11,ROWS($1:26)),))</f>
        <v>0</v>
      </c>
      <c r="G39" s="352">
        <f ca="1">IF(ROWS($1:26)&gt;COUNT(Dong11),0,IF(MID(OFFSET(TH!D$1,SMALL(Dong11,ROWS($1:26)),),4,1)="N",OFFSET(TH!I$1,SMALL(Dong11,ROWS($1:26)),),0))</f>
        <v>0</v>
      </c>
      <c r="H39" s="353">
        <f t="shared" ref="H39:H62" ca="1" si="11">ROUND(F39*G39,0)</f>
        <v>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0</v>
      </c>
      <c r="L39" s="353">
        <f t="shared" ref="L39:L62" ca="1" si="14">IF(D39&lt;&gt;"",L38+H39-J39,0)</f>
        <v>0</v>
      </c>
      <c r="M39" s="353"/>
      <c r="N39" s="343"/>
    </row>
    <row r="40" spans="1:14">
      <c r="A40" s="314" t="str">
        <f t="shared" ca="1" si="10"/>
        <v/>
      </c>
      <c r="B40" s="349" t="str">
        <f ca="1">IF(ROWS($1:27)&gt;COUNT(Dong11),"",OFFSET(TH!D$1,SMALL(Dong11,ROWS($1:27)),))</f>
        <v/>
      </c>
      <c r="C40" s="350" t="str">
        <f ca="1">IF(ROWS($1:27)&gt;COUNT(Dong11),"",OFFSET(TH!E$1,SMALL(Dong11,ROWS($1:27)),))</f>
        <v/>
      </c>
      <c r="D40" s="351" t="str">
        <f ca="1">IF(ROWS($1:27)&gt;COUNT(Dong11),"",OFFSET(TH!H$1,SMALL(Dong11,ROWS($1:27)),))</f>
        <v/>
      </c>
      <c r="E40" s="349" t="str">
        <f ca="1">IF(ROWS($1:27)&gt;COUNT(Dong11),"",IF(OFFSET(TH!L$1,SMALL(Dong11,ROWS($1:27)),)=$G$7,OFFSET(TH!M$1,SMALL(Dong11,ROWS($1:27)),),OFFSET(TH!L$1,SMALL(Dong11,ROWS($1:27)),)))</f>
        <v/>
      </c>
      <c r="F40" s="352">
        <f ca="1">IF(ROWS($1:27)&gt;COUNT(Dong11),0,OFFSET(TH!J$1,SMALL(Dong11,ROWS($1:27)),))</f>
        <v>0</v>
      </c>
      <c r="G40" s="352">
        <f ca="1">IF(ROWS($1:27)&gt;COUNT(Dong11),0,IF(MID(OFFSET(TH!D$1,SMALL(Dong11,ROWS($1:27)),),4,1)="N",OFFSET(TH!I$1,SMALL(Dong11,ROWS($1:27)),),0))</f>
        <v>0</v>
      </c>
      <c r="H40" s="353">
        <f t="shared" ca="1" si="11"/>
        <v>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0</v>
      </c>
      <c r="L40" s="353">
        <f t="shared" ca="1" si="14"/>
        <v>0</v>
      </c>
      <c r="M40" s="353"/>
      <c r="N40" s="343"/>
    </row>
    <row r="41" spans="1:14">
      <c r="A41" s="314" t="str">
        <f t="shared" ca="1" si="10"/>
        <v/>
      </c>
      <c r="B41" s="349" t="str">
        <f ca="1">IF(ROWS($1:28)&gt;COUNT(Dong11),"",OFFSET(TH!D$1,SMALL(Dong11,ROWS($1:28)),))</f>
        <v/>
      </c>
      <c r="C41" s="350" t="str">
        <f ca="1">IF(ROWS($1:28)&gt;COUNT(Dong11),"",OFFSET(TH!E$1,SMALL(Dong11,ROWS($1:28)),))</f>
        <v/>
      </c>
      <c r="D41" s="351" t="str">
        <f ca="1">IF(ROWS($1:28)&gt;COUNT(Dong11),"",OFFSET(TH!H$1,SMALL(Dong11,ROWS($1:28)),))</f>
        <v/>
      </c>
      <c r="E41" s="349" t="str">
        <f ca="1">IF(ROWS($1:28)&gt;COUNT(Dong11),"",IF(OFFSET(TH!L$1,SMALL(Dong11,ROWS($1:28)),)=$G$7,OFFSET(TH!M$1,SMALL(Dong11,ROWS($1:28)),),OFFSET(TH!L$1,SMALL(Dong11,ROWS($1:28)),)))</f>
        <v/>
      </c>
      <c r="F41" s="352">
        <f ca="1">IF(ROWS($1:28)&gt;COUNT(Dong11),0,OFFSET(TH!J$1,SMALL(Dong11,ROWS($1:28)),))</f>
        <v>0</v>
      </c>
      <c r="G41" s="352">
        <f ca="1">IF(ROWS($1:28)&gt;COUNT(Dong11),0,IF(MID(OFFSET(TH!D$1,SMALL(Dong11,ROWS($1:28)),),4,1)="N",OFFSET(TH!I$1,SMALL(Dong11,ROWS($1:28)),),0))</f>
        <v>0</v>
      </c>
      <c r="H41" s="353">
        <f t="shared" ca="1" si="11"/>
        <v>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0</v>
      </c>
      <c r="L41" s="353">
        <f t="shared" ca="1" si="14"/>
        <v>0</v>
      </c>
      <c r="M41" s="353"/>
      <c r="N41" s="343"/>
    </row>
    <row r="42" spans="1:14">
      <c r="A42" s="314" t="str">
        <f t="shared" ca="1" si="10"/>
        <v/>
      </c>
      <c r="B42" s="349" t="str">
        <f ca="1">IF(ROWS($1:29)&gt;COUNT(Dong11),"",OFFSET(TH!D$1,SMALL(Dong11,ROWS($1:29)),))</f>
        <v/>
      </c>
      <c r="C42" s="350" t="str">
        <f ca="1">IF(ROWS($1:29)&gt;COUNT(Dong11),"",OFFSET(TH!E$1,SMALL(Dong11,ROWS($1:29)),))</f>
        <v/>
      </c>
      <c r="D42" s="351" t="str">
        <f ca="1">IF(ROWS($1:29)&gt;COUNT(Dong11),"",OFFSET(TH!H$1,SMALL(Dong11,ROWS($1:29)),))</f>
        <v/>
      </c>
      <c r="E42" s="349" t="str">
        <f ca="1">IF(ROWS($1:29)&gt;COUNT(Dong11),"",IF(OFFSET(TH!L$1,SMALL(Dong11,ROWS($1:29)),)=$G$7,OFFSET(TH!M$1,SMALL(Dong11,ROWS($1:29)),),OFFSET(TH!L$1,SMALL(Dong11,ROWS($1:29)),)))</f>
        <v/>
      </c>
      <c r="F42" s="352">
        <f ca="1">IF(ROWS($1:29)&gt;COUNT(Dong11),0,OFFSET(TH!J$1,SMALL(Dong11,ROWS($1:29)),))</f>
        <v>0</v>
      </c>
      <c r="G42" s="352">
        <f ca="1">IF(ROWS($1:29)&gt;COUNT(Dong11),0,IF(MID(OFFSET(TH!D$1,SMALL(Dong11,ROWS($1:29)),),4,1)="N",OFFSET(TH!I$1,SMALL(Dong11,ROWS($1:29)),),0))</f>
        <v>0</v>
      </c>
      <c r="H42" s="353">
        <f t="shared" ca="1" si="11"/>
        <v>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0</v>
      </c>
      <c r="L42" s="353">
        <f t="shared" ca="1" si="14"/>
        <v>0</v>
      </c>
      <c r="M42" s="353"/>
      <c r="N42" s="343"/>
    </row>
    <row r="43" spans="1:14">
      <c r="A43" s="314" t="str">
        <f t="shared" ca="1" si="10"/>
        <v/>
      </c>
      <c r="B43" s="349" t="str">
        <f ca="1">IF(ROWS($1:30)&gt;COUNT(Dong11),"",OFFSET(TH!D$1,SMALL(Dong11,ROWS($1:30)),))</f>
        <v/>
      </c>
      <c r="C43" s="350" t="str">
        <f ca="1">IF(ROWS($1:30)&gt;COUNT(Dong11),"",OFFSET(TH!E$1,SMALL(Dong11,ROWS($1:30)),))</f>
        <v/>
      </c>
      <c r="D43" s="351" t="str">
        <f ca="1">IF(ROWS($1:30)&gt;COUNT(Dong11),"",OFFSET(TH!H$1,SMALL(Dong11,ROWS($1:30)),))</f>
        <v/>
      </c>
      <c r="E43" s="349" t="str">
        <f ca="1">IF(ROWS($1:30)&gt;COUNT(Dong11),"",IF(OFFSET(TH!L$1,SMALL(Dong11,ROWS($1:30)),)=$G$7,OFFSET(TH!M$1,SMALL(Dong11,ROWS($1:30)),),OFFSET(TH!L$1,SMALL(Dong11,ROWS($1:30)),)))</f>
        <v/>
      </c>
      <c r="F43" s="352">
        <f ca="1">IF(ROWS($1:30)&gt;COUNT(Dong11),0,OFFSET(TH!J$1,SMALL(Dong11,ROWS($1:30)),))</f>
        <v>0</v>
      </c>
      <c r="G43" s="352">
        <f ca="1">IF(ROWS($1:30)&gt;COUNT(Dong11),0,IF(MID(OFFSET(TH!D$1,SMALL(Dong11,ROWS($1:30)),),4,1)="N",OFFSET(TH!I$1,SMALL(Dong11,ROWS($1:30)),),0))</f>
        <v>0</v>
      </c>
      <c r="H43" s="353">
        <f t="shared" ca="1" si="11"/>
        <v>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0</v>
      </c>
      <c r="L43" s="353">
        <f t="shared" ca="1" si="14"/>
        <v>0</v>
      </c>
      <c r="M43" s="353"/>
      <c r="N43" s="343"/>
    </row>
    <row r="44" spans="1:14">
      <c r="A44" s="314" t="str">
        <f t="shared" ca="1" si="10"/>
        <v/>
      </c>
      <c r="B44" s="349" t="str">
        <f ca="1">IF(ROWS($1:31)&gt;COUNT(Dong11),"",OFFSET(TH!D$1,SMALL(Dong11,ROWS($1:31)),))</f>
        <v/>
      </c>
      <c r="C44" s="350" t="str">
        <f ca="1">IF(ROWS($1:31)&gt;COUNT(Dong11),"",OFFSET(TH!E$1,SMALL(Dong11,ROWS($1:31)),))</f>
        <v/>
      </c>
      <c r="D44" s="351" t="str">
        <f ca="1">IF(ROWS($1:31)&gt;COUNT(Dong11),"",OFFSET(TH!H$1,SMALL(Dong11,ROWS($1:31)),))</f>
        <v/>
      </c>
      <c r="E44" s="349" t="str">
        <f ca="1">IF(ROWS($1:31)&gt;COUNT(Dong11),"",IF(OFFSET(TH!L$1,SMALL(Dong11,ROWS($1:31)),)=$G$7,OFFSET(TH!M$1,SMALL(Dong11,ROWS($1:31)),),OFFSET(TH!L$1,SMALL(Dong11,ROWS($1:31)),)))</f>
        <v/>
      </c>
      <c r="F44" s="352">
        <f ca="1">IF(ROWS($1:31)&gt;COUNT(Dong11),0,OFFSET(TH!J$1,SMALL(Dong11,ROWS($1:31)),))</f>
        <v>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0</v>
      </c>
      <c r="L44" s="353">
        <f t="shared" ca="1" si="14"/>
        <v>0</v>
      </c>
      <c r="M44" s="353"/>
      <c r="N44" s="343"/>
    </row>
    <row r="45" spans="1:14">
      <c r="A45" s="314" t="str">
        <f t="shared" ca="1" si="10"/>
        <v/>
      </c>
      <c r="B45" s="349" t="str">
        <f ca="1">IF(ROWS($1:32)&gt;COUNT(Dong11),"",OFFSET(TH!D$1,SMALL(Dong11,ROWS($1:32)),))</f>
        <v/>
      </c>
      <c r="C45" s="350" t="str">
        <f ca="1">IF(ROWS($1:32)&gt;COUNT(Dong11),"",OFFSET(TH!E$1,SMALL(Dong11,ROWS($1:32)),))</f>
        <v/>
      </c>
      <c r="D45" s="351" t="str">
        <f ca="1">IF(ROWS($1:32)&gt;COUNT(Dong11),"",OFFSET(TH!H$1,SMALL(Dong11,ROWS($1:32)),))</f>
        <v/>
      </c>
      <c r="E45" s="349" t="str">
        <f ca="1">IF(ROWS($1:32)&gt;COUNT(Dong11),"",IF(OFFSET(TH!L$1,SMALL(Dong11,ROWS($1:32)),)=$G$7,OFFSET(TH!M$1,SMALL(Dong11,ROWS($1:32)),),OFFSET(TH!L$1,SMALL(Dong11,ROWS($1:32)),)))</f>
        <v/>
      </c>
      <c r="F45" s="352">
        <f ca="1">IF(ROWS($1:32)&gt;COUNT(Dong11),0,OFFSET(TH!J$1,SMALL(Dong11,ROWS($1:32)),))</f>
        <v>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0</v>
      </c>
      <c r="L45" s="353">
        <f t="shared" ca="1" si="14"/>
        <v>0</v>
      </c>
      <c r="M45" s="353"/>
      <c r="N45" s="343"/>
    </row>
    <row r="46" spans="1:14">
      <c r="A46" s="314" t="str">
        <f t="shared" ca="1" si="10"/>
        <v/>
      </c>
      <c r="B46" s="349" t="str">
        <f ca="1">IF(ROWS($1:33)&gt;COUNT(Dong11),"",OFFSET(TH!D$1,SMALL(Dong11,ROWS($1:33)),))</f>
        <v/>
      </c>
      <c r="C46" s="350" t="str">
        <f ca="1">IF(ROWS($1:33)&gt;COUNT(Dong11),"",OFFSET(TH!E$1,SMALL(Dong11,ROWS($1:33)),))</f>
        <v/>
      </c>
      <c r="D46" s="351" t="str">
        <f ca="1">IF(ROWS($1:33)&gt;COUNT(Dong11),"",OFFSET(TH!H$1,SMALL(Dong11,ROWS($1:33)),))</f>
        <v/>
      </c>
      <c r="E46" s="349" t="str">
        <f ca="1">IF(ROWS($1:33)&gt;COUNT(Dong11),"",IF(OFFSET(TH!L$1,SMALL(Dong11,ROWS($1:33)),)=$G$7,OFFSET(TH!M$1,SMALL(Dong11,ROWS($1:33)),),OFFSET(TH!L$1,SMALL(Dong11,ROWS($1:33)),)))</f>
        <v/>
      </c>
      <c r="F46" s="352">
        <f ca="1">IF(ROWS($1:33)&gt;COUNT(Dong11),0,OFFSET(TH!J$1,SMALL(Dong11,ROWS($1:33)),))</f>
        <v>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0</v>
      </c>
      <c r="L46" s="353">
        <f t="shared" ca="1" si="14"/>
        <v>0</v>
      </c>
      <c r="M46" s="353"/>
      <c r="N46" s="343"/>
    </row>
    <row r="47" spans="1:14">
      <c r="A47" s="314" t="str">
        <f t="shared" ca="1" si="10"/>
        <v/>
      </c>
      <c r="B47" s="349" t="str">
        <f ca="1">IF(ROWS($1:34)&gt;COUNT(Dong11),"",OFFSET(TH!D$1,SMALL(Dong11,ROWS($1:34)),))</f>
        <v/>
      </c>
      <c r="C47" s="350" t="str">
        <f ca="1">IF(ROWS($1:34)&gt;COUNT(Dong11),"",OFFSET(TH!E$1,SMALL(Dong11,ROWS($1:34)),))</f>
        <v/>
      </c>
      <c r="D47" s="351" t="str">
        <f ca="1">IF(ROWS($1:34)&gt;COUNT(Dong11),"",OFFSET(TH!H$1,SMALL(Dong11,ROWS($1:34)),))</f>
        <v/>
      </c>
      <c r="E47" s="349" t="str">
        <f ca="1">IF(ROWS($1:34)&gt;COUNT(Dong11),"",IF(OFFSET(TH!L$1,SMALL(Dong11,ROWS($1:34)),)=$G$7,OFFSET(TH!M$1,SMALL(Dong11,ROWS($1:34)),),OFFSET(TH!L$1,SMALL(Dong11,ROWS($1:34)),)))</f>
        <v/>
      </c>
      <c r="F47" s="352">
        <f ca="1">IF(ROWS($1:34)&gt;COUNT(Dong11),0,OFFSET(TH!J$1,SMALL(Dong11,ROWS($1:34)),))</f>
        <v>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0</v>
      </c>
      <c r="L47" s="353">
        <f t="shared" ca="1" si="14"/>
        <v>0</v>
      </c>
      <c r="M47" s="353"/>
      <c r="N47" s="343"/>
    </row>
    <row r="48" spans="1:14">
      <c r="A48" s="314" t="str">
        <f t="shared" ca="1" si="10"/>
        <v/>
      </c>
      <c r="B48" s="349" t="str">
        <f ca="1">IF(ROWS($1:35)&gt;COUNT(Dong11),"",OFFSET(TH!D$1,SMALL(Dong11,ROWS($1:35)),))</f>
        <v/>
      </c>
      <c r="C48" s="350" t="str">
        <f ca="1">IF(ROWS($1:35)&gt;COUNT(Dong11),"",OFFSET(TH!E$1,SMALL(Dong11,ROWS($1:35)),))</f>
        <v/>
      </c>
      <c r="D48" s="351" t="str">
        <f ca="1">IF(ROWS($1:35)&gt;COUNT(Dong11),"",OFFSET(TH!H$1,SMALL(Dong11,ROWS($1:35)),))</f>
        <v/>
      </c>
      <c r="E48" s="349" t="str">
        <f ca="1">IF(ROWS($1:35)&gt;COUNT(Dong11),"",IF(OFFSET(TH!L$1,SMALL(Dong11,ROWS($1:35)),)=$G$7,OFFSET(TH!M$1,SMALL(Dong11,ROWS($1:35)),),OFFSET(TH!L$1,SMALL(Dong11,ROWS($1:35)),)))</f>
        <v/>
      </c>
      <c r="F48" s="352">
        <f ca="1">IF(ROWS($1:35)&gt;COUNT(Dong11),0,OFFSET(TH!J$1,SMALL(Dong11,ROWS($1:35)),))</f>
        <v>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0</v>
      </c>
      <c r="L48" s="353">
        <f t="shared" ca="1" si="14"/>
        <v>0</v>
      </c>
      <c r="M48" s="353"/>
      <c r="N48" s="343"/>
    </row>
    <row r="49" spans="1:14">
      <c r="A49" s="314" t="str">
        <f t="shared" ca="1" si="10"/>
        <v/>
      </c>
      <c r="B49" s="349" t="str">
        <f ca="1">IF(ROWS($1:36)&gt;COUNT(Dong11),"",OFFSET(TH!D$1,SMALL(Dong11,ROWS($1:36)),))</f>
        <v/>
      </c>
      <c r="C49" s="350" t="str">
        <f ca="1">IF(ROWS($1:36)&gt;COUNT(Dong11),"",OFFSET(TH!E$1,SMALL(Dong11,ROWS($1:36)),))</f>
        <v/>
      </c>
      <c r="D49" s="351" t="str">
        <f ca="1">IF(ROWS($1:36)&gt;COUNT(Dong11),"",OFFSET(TH!H$1,SMALL(Dong11,ROWS($1:36)),))</f>
        <v/>
      </c>
      <c r="E49" s="349" t="str">
        <f ca="1">IF(ROWS($1:36)&gt;COUNT(Dong11),"",IF(OFFSET(TH!L$1,SMALL(Dong11,ROWS($1:36)),)=$G$7,OFFSET(TH!M$1,SMALL(Dong11,ROWS($1:36)),),OFFSET(TH!L$1,SMALL(Dong11,ROWS($1:36)),)))</f>
        <v/>
      </c>
      <c r="F49" s="352">
        <f ca="1">IF(ROWS($1:36)&gt;COUNT(Dong11),0,OFFSET(TH!J$1,SMALL(Dong11,ROWS($1:36)),))</f>
        <v>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0</v>
      </c>
      <c r="L49" s="353">
        <f t="shared" ca="1" si="14"/>
        <v>0</v>
      </c>
      <c r="M49" s="353"/>
      <c r="N49" s="343"/>
    </row>
    <row r="50" spans="1:14">
      <c r="A50" s="314" t="str">
        <f t="shared" ca="1" si="10"/>
        <v/>
      </c>
      <c r="B50" s="349" t="str">
        <f ca="1">IF(ROWS($1:37)&gt;COUNT(Dong11),"",OFFSET(TH!D$1,SMALL(Dong11,ROWS($1:37)),))</f>
        <v/>
      </c>
      <c r="C50" s="350" t="str">
        <f ca="1">IF(ROWS($1:37)&gt;COUNT(Dong11),"",OFFSET(TH!E$1,SMALL(Dong11,ROWS($1:37)),))</f>
        <v/>
      </c>
      <c r="D50" s="351" t="str">
        <f ca="1">IF(ROWS($1:37)&gt;COUNT(Dong11),"",OFFSET(TH!H$1,SMALL(Dong11,ROWS($1:37)),))</f>
        <v/>
      </c>
      <c r="E50" s="349" t="str">
        <f ca="1">IF(ROWS($1:37)&gt;COUNT(Dong11),"",IF(OFFSET(TH!L$1,SMALL(Dong11,ROWS($1:37)),)=$G$7,OFFSET(TH!M$1,SMALL(Dong11,ROWS($1:37)),),OFFSET(TH!L$1,SMALL(Dong11,ROWS($1:37)),)))</f>
        <v/>
      </c>
      <c r="F50" s="352">
        <f ca="1">IF(ROWS($1:37)&gt;COUNT(Dong11),0,OFFSET(TH!J$1,SMALL(Dong11,ROWS($1:37)),))</f>
        <v>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0</v>
      </c>
      <c r="L50" s="353">
        <f t="shared" ca="1" si="14"/>
        <v>0</v>
      </c>
      <c r="M50" s="353"/>
      <c r="N50" s="343"/>
    </row>
    <row r="51" spans="1:14">
      <c r="A51" s="314" t="str">
        <f t="shared" ca="1" si="10"/>
        <v/>
      </c>
      <c r="B51" s="349" t="str">
        <f ca="1">IF(ROWS($1:38)&gt;COUNT(Dong11),"",OFFSET(TH!D$1,SMALL(Dong11,ROWS($1:38)),))</f>
        <v/>
      </c>
      <c r="C51" s="350" t="str">
        <f ca="1">IF(ROWS($1:38)&gt;COUNT(Dong11),"",OFFSET(TH!E$1,SMALL(Dong11,ROWS($1:38)),))</f>
        <v/>
      </c>
      <c r="D51" s="351" t="str">
        <f ca="1">IF(ROWS($1:38)&gt;COUNT(Dong11),"",OFFSET(TH!H$1,SMALL(Dong11,ROWS($1:38)),))</f>
        <v/>
      </c>
      <c r="E51" s="349" t="str">
        <f ca="1">IF(ROWS($1:38)&gt;COUNT(Dong11),"",IF(OFFSET(TH!L$1,SMALL(Dong11,ROWS($1:38)),)=$G$7,OFFSET(TH!M$1,SMALL(Dong11,ROWS($1:38)),),OFFSET(TH!L$1,SMALL(Dong11,ROWS($1:38)),)))</f>
        <v/>
      </c>
      <c r="F51" s="352">
        <f ca="1">IF(ROWS($1:38)&gt;COUNT(Dong11),0,OFFSET(TH!J$1,SMALL(Dong11,ROWS($1:38)),))</f>
        <v>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0</v>
      </c>
      <c r="L51" s="353">
        <f t="shared" ca="1" si="14"/>
        <v>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227</v>
      </c>
      <c r="E74" s="341" t="s">
        <v>19</v>
      </c>
      <c r="F74" s="341" t="s">
        <v>19</v>
      </c>
      <c r="G74" s="362">
        <f ca="1">SUM(G14:G73)</f>
        <v>0</v>
      </c>
      <c r="H74" s="362">
        <f ca="1">SUM(H14:H73)</f>
        <v>0</v>
      </c>
      <c r="I74" s="362">
        <f ca="1">SUM(I14:I73)</f>
        <v>0</v>
      </c>
      <c r="J74" s="362">
        <f ca="1">SUM(J14:J73)</f>
        <v>0</v>
      </c>
      <c r="K74" s="362" t="e">
        <f ca="1">K13+G74-I74</f>
        <v>#N/A</v>
      </c>
      <c r="L74" s="362" t="e">
        <f ca="1">L13+H74-J74</f>
        <v>#N/A</v>
      </c>
      <c r="M74" s="361"/>
      <c r="N74" s="343"/>
    </row>
    <row r="75" spans="1:14">
      <c r="B75" s="363" t="s">
        <v>228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1056" t="e">
        <f ca="1">"Ngày 31 tháng  12  năm  "&amp;YEAR($A$14)</f>
        <v>#VALUE!</v>
      </c>
      <c r="K77" s="1056"/>
      <c r="L77" s="1056"/>
      <c r="M77" s="1056"/>
      <c r="N77" s="343"/>
    </row>
    <row r="78" spans="1:14">
      <c r="C78" s="330"/>
      <c r="D78" s="541" t="s">
        <v>11</v>
      </c>
      <c r="E78" s="1056" t="s">
        <v>12</v>
      </c>
      <c r="F78" s="1056"/>
      <c r="G78" s="1056"/>
      <c r="H78" s="1056"/>
      <c r="I78" s="1056"/>
      <c r="J78" s="1056" t="s">
        <v>109</v>
      </c>
      <c r="K78" s="1056"/>
      <c r="L78" s="1056"/>
      <c r="M78" s="1056"/>
      <c r="N78" s="343"/>
    </row>
    <row r="79" spans="1:14">
      <c r="C79" s="330"/>
      <c r="D79" s="541" t="s">
        <v>13</v>
      </c>
      <c r="E79" s="1056" t="s">
        <v>13</v>
      </c>
      <c r="F79" s="1056"/>
      <c r="G79" s="1056"/>
      <c r="H79" s="1056" t="s">
        <v>136</v>
      </c>
      <c r="I79" s="1056"/>
      <c r="J79" s="1056" t="s">
        <v>136</v>
      </c>
      <c r="K79" s="1056"/>
      <c r="L79" s="1056"/>
      <c r="M79" s="1056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3" t="s">
        <v>151</v>
      </c>
      <c r="E88" s="553"/>
      <c r="J88" s="1052" t="s">
        <v>103</v>
      </c>
      <c r="K88" s="1052"/>
      <c r="L88" s="1052"/>
      <c r="M88" s="1052"/>
      <c r="N88" s="55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1070" t="s">
        <v>229</v>
      </c>
      <c r="G1" s="1070"/>
      <c r="H1" s="1070"/>
      <c r="I1" s="1070"/>
      <c r="J1" s="1070"/>
      <c r="K1" s="373"/>
      <c r="L1" s="374"/>
    </row>
    <row r="2" spans="1:12" ht="15" customHeight="1">
      <c r="A2" s="586" t="str">
        <f>TH!A2</f>
        <v>Địa chỉ: 1A227/1 Ấp 1, Phạm Văn Hai, Bình Chánh, TPHCM</v>
      </c>
      <c r="B2" s="375"/>
      <c r="C2" s="375"/>
      <c r="D2" s="375"/>
      <c r="E2" s="376"/>
      <c r="F2" s="1069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9"/>
      <c r="H2" s="1069"/>
      <c r="I2" s="1069"/>
      <c r="J2" s="1069"/>
      <c r="K2" s="373"/>
    </row>
    <row r="3" spans="1:12" ht="15">
      <c r="A3" s="375"/>
      <c r="B3" s="375"/>
      <c r="C3" s="375"/>
      <c r="D3" s="375"/>
      <c r="E3" s="376"/>
      <c r="F3" s="1069"/>
      <c r="G3" s="1069"/>
      <c r="H3" s="1069"/>
      <c r="I3" s="1069"/>
      <c r="J3" s="1069"/>
      <c r="K3" s="373"/>
    </row>
    <row r="4" spans="1:12" ht="18.75" customHeight="1">
      <c r="A4" s="378"/>
      <c r="B4" s="378"/>
      <c r="C4" s="378"/>
      <c r="D4" s="378"/>
      <c r="E4" s="379" t="s">
        <v>230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231</v>
      </c>
      <c r="F6" s="380"/>
      <c r="G6" s="380"/>
      <c r="H6" s="380"/>
      <c r="I6" s="380"/>
      <c r="J6" s="373"/>
      <c r="K6" s="373"/>
    </row>
    <row r="7" spans="1:12" ht="15">
      <c r="A7" s="364" t="s">
        <v>232</v>
      </c>
      <c r="B7" s="364"/>
      <c r="C7" s="382"/>
      <c r="D7" s="382"/>
      <c r="E7" s="383" t="s">
        <v>351</v>
      </c>
      <c r="F7" s="377"/>
      <c r="G7" s="384"/>
      <c r="H7" s="384"/>
      <c r="I7" s="384"/>
      <c r="J7" s="373"/>
      <c r="K7" s="373"/>
    </row>
    <row r="8" spans="1:12" ht="15">
      <c r="A8" s="364" t="s">
        <v>233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1071" t="s">
        <v>234</v>
      </c>
      <c r="B9" s="1072"/>
      <c r="C9" s="1072"/>
      <c r="D9" s="1072"/>
      <c r="E9" s="383"/>
      <c r="F9" s="377"/>
      <c r="G9" s="384"/>
      <c r="H9" s="384"/>
      <c r="I9" s="384"/>
      <c r="J9" s="385"/>
      <c r="K9" s="385"/>
    </row>
    <row r="10" spans="1:12" ht="19.5" customHeight="1">
      <c r="A10" s="1073" t="s">
        <v>235</v>
      </c>
      <c r="B10" s="1074" t="s">
        <v>236</v>
      </c>
      <c r="C10" s="1076" t="s">
        <v>15</v>
      </c>
      <c r="D10" s="1061"/>
      <c r="E10" s="1077" t="s">
        <v>0</v>
      </c>
      <c r="F10" s="1067" t="s">
        <v>237</v>
      </c>
      <c r="G10" s="1060" t="s">
        <v>206</v>
      </c>
      <c r="H10" s="1060"/>
      <c r="I10" s="1061"/>
      <c r="J10" s="1062" t="s">
        <v>238</v>
      </c>
      <c r="K10" s="386"/>
      <c r="L10" s="387" t="s">
        <v>223</v>
      </c>
    </row>
    <row r="11" spans="1:12" ht="19.5" customHeight="1">
      <c r="A11" s="1073"/>
      <c r="B11" s="1075"/>
      <c r="C11" s="388" t="s">
        <v>220</v>
      </c>
      <c r="D11" s="388" t="s">
        <v>221</v>
      </c>
      <c r="E11" s="1078"/>
      <c r="F11" s="1068"/>
      <c r="G11" s="389" t="s">
        <v>220</v>
      </c>
      <c r="H11" s="389" t="s">
        <v>221</v>
      </c>
      <c r="I11" s="389" t="s">
        <v>222</v>
      </c>
      <c r="J11" s="1063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197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0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0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0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0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0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0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0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0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0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0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0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0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0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0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0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0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0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1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239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240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106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5"/>
      <c r="C35" s="1065"/>
      <c r="D35" s="1065"/>
      <c r="E35" s="1065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241</v>
      </c>
      <c r="D37" s="419"/>
      <c r="E37" s="1066" t="s">
        <v>12</v>
      </c>
      <c r="F37" s="1066"/>
      <c r="G37" s="384"/>
      <c r="I37" s="557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1059" t="s">
        <v>13</v>
      </c>
      <c r="F38" s="1059"/>
      <c r="G38" s="384"/>
      <c r="I38" s="558" t="s">
        <v>136</v>
      </c>
      <c r="J38" s="556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59" t="s">
        <v>321</v>
      </c>
      <c r="H46" s="555"/>
      <c r="I46" s="554" t="s">
        <v>103</v>
      </c>
      <c r="J46" s="55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opLeftCell="A5" workbookViewId="0">
      <pane ySplit="1" topLeftCell="A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09" customWidth="1"/>
    <col min="2" max="2" width="23.140625" style="709" customWidth="1"/>
    <col min="3" max="3" width="8.85546875" style="830" customWidth="1"/>
    <col min="4" max="4" width="8.85546875" style="723" customWidth="1"/>
    <col min="5" max="5" width="12.140625" style="709" customWidth="1"/>
    <col min="6" max="6" width="11" style="709" customWidth="1"/>
    <col min="7" max="7" width="9.7109375" style="709" customWidth="1"/>
    <col min="8" max="8" width="11.140625" style="709" customWidth="1"/>
    <col min="9" max="9" width="10.85546875" style="709" customWidth="1"/>
    <col min="10" max="10" width="12" style="709" customWidth="1"/>
    <col min="11" max="11" width="8.42578125" style="709" customWidth="1"/>
    <col min="12" max="12" width="7.42578125" style="709" customWidth="1"/>
    <col min="13" max="13" width="7.140625" style="721" customWidth="1"/>
    <col min="14" max="14" width="2" style="721" customWidth="1"/>
    <col min="15" max="15" width="23" style="709" customWidth="1"/>
    <col min="16" max="16" width="10.140625" style="722" customWidth="1"/>
    <col min="17" max="17" width="7" style="767" customWidth="1"/>
    <col min="18" max="18" width="7.5703125" style="293" customWidth="1"/>
    <col min="19" max="19" width="12.42578125" style="709" customWidth="1"/>
    <col min="20" max="20" width="15.85546875" style="709" customWidth="1"/>
    <col min="21" max="21" width="8.28515625" style="722" customWidth="1"/>
    <col min="22" max="22" width="7.5703125" style="293" customWidth="1"/>
    <col min="23" max="23" width="9" style="293" customWidth="1"/>
    <col min="24" max="24" width="9.7109375" style="709" customWidth="1"/>
    <col min="25" max="25" width="10.28515625" style="709" customWidth="1"/>
    <col min="26" max="16384" width="10.28515625" style="709"/>
  </cols>
  <sheetData>
    <row r="1" spans="1:26">
      <c r="B1" s="709">
        <v>1</v>
      </c>
      <c r="E1" s="709">
        <v>5</v>
      </c>
      <c r="F1" s="709">
        <v>6</v>
      </c>
      <c r="G1" s="709">
        <v>7</v>
      </c>
      <c r="H1" s="709">
        <v>8</v>
      </c>
      <c r="I1" s="709">
        <v>10</v>
      </c>
      <c r="J1" s="709">
        <v>13</v>
      </c>
      <c r="K1" s="709">
        <v>14</v>
      </c>
      <c r="L1" s="709">
        <v>15</v>
      </c>
    </row>
    <row r="2" spans="1:26" ht="18" hidden="1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293"/>
      <c r="J2" s="293"/>
      <c r="K2" s="566"/>
      <c r="L2" s="293"/>
      <c r="M2" s="724"/>
      <c r="N2" s="724"/>
      <c r="O2" s="293"/>
      <c r="P2" s="704"/>
      <c r="T2" s="293"/>
      <c r="U2" s="704"/>
    </row>
    <row r="3" spans="1:26" ht="18.75" customHeight="1">
      <c r="A3" s="711" t="s">
        <v>373</v>
      </c>
      <c r="B3" s="711"/>
      <c r="E3" s="711"/>
      <c r="F3" s="711"/>
      <c r="G3" s="711"/>
      <c r="H3" s="711"/>
      <c r="I3" s="711"/>
      <c r="J3" s="711"/>
      <c r="K3" s="711"/>
      <c r="L3" s="711"/>
      <c r="M3" s="724"/>
      <c r="N3" s="724"/>
      <c r="O3" s="293"/>
      <c r="P3" s="704"/>
      <c r="T3" s="293"/>
      <c r="U3" s="704"/>
    </row>
    <row r="4" spans="1:26" ht="12.75" customHeight="1">
      <c r="A4" s="762"/>
      <c r="B4" s="755"/>
      <c r="C4" s="831"/>
      <c r="D4" s="762"/>
      <c r="E4" s="755"/>
      <c r="F4" s="755"/>
      <c r="G4" s="755"/>
      <c r="H4" s="755"/>
      <c r="I4" s="755"/>
      <c r="J4" s="755"/>
      <c r="K4" s="726"/>
      <c r="L4" s="755"/>
      <c r="M4" s="724"/>
      <c r="N4" s="724"/>
      <c r="O4" s="719"/>
      <c r="P4" s="762"/>
      <c r="Q4" s="768"/>
      <c r="R4" s="727"/>
      <c r="S4" s="762"/>
      <c r="T4" s="762"/>
      <c r="U4" s="762"/>
      <c r="V4" s="762"/>
      <c r="W4" s="762"/>
      <c r="X4" s="762"/>
      <c r="Y4" s="719"/>
      <c r="Z4" s="719"/>
    </row>
    <row r="5" spans="1:26" s="441" customFormat="1" ht="30.75" customHeight="1">
      <c r="A5" s="777" t="s">
        <v>35</v>
      </c>
      <c r="B5" s="436" t="s">
        <v>242</v>
      </c>
      <c r="C5" s="437" t="s">
        <v>1256</v>
      </c>
      <c r="D5" s="437" t="s">
        <v>1257</v>
      </c>
      <c r="E5" s="437" t="s">
        <v>245</v>
      </c>
      <c r="F5" s="437" t="s">
        <v>378</v>
      </c>
      <c r="G5" s="437" t="s">
        <v>246</v>
      </c>
      <c r="H5" s="437" t="s">
        <v>372</v>
      </c>
      <c r="I5" s="438" t="s">
        <v>247</v>
      </c>
      <c r="J5" s="437" t="s">
        <v>248</v>
      </c>
      <c r="K5" s="439" t="s">
        <v>243</v>
      </c>
      <c r="L5" s="437" t="s">
        <v>249</v>
      </c>
      <c r="M5" s="440"/>
      <c r="N5" s="440"/>
      <c r="O5" s="436" t="s">
        <v>242</v>
      </c>
      <c r="P5" s="437" t="s">
        <v>236</v>
      </c>
      <c r="Q5" s="769" t="s">
        <v>201</v>
      </c>
      <c r="R5" s="437" t="s">
        <v>244</v>
      </c>
      <c r="S5" s="437" t="s">
        <v>250</v>
      </c>
      <c r="T5" s="436" t="s">
        <v>242</v>
      </c>
      <c r="U5" s="437" t="s">
        <v>236</v>
      </c>
      <c r="V5" s="437" t="s">
        <v>201</v>
      </c>
      <c r="W5" s="437" t="s">
        <v>244</v>
      </c>
      <c r="X5" s="436" t="s">
        <v>250</v>
      </c>
    </row>
    <row r="6" spans="1:26">
      <c r="A6" s="713">
        <f>IF(B6&lt;&gt;"",ROW()-(ROW()-1),"")</f>
        <v>1</v>
      </c>
      <c r="B6" s="296" t="s">
        <v>423</v>
      </c>
      <c r="C6" s="729">
        <v>41645</v>
      </c>
      <c r="D6" s="730" t="s">
        <v>424</v>
      </c>
      <c r="E6" s="25">
        <f>S6</f>
        <v>0</v>
      </c>
      <c r="F6" s="714">
        <f t="shared" ref="F6:I25" si="0">IF($K$49&lt;&gt;0,F$49/$K$49*$K6,0)</f>
        <v>0</v>
      </c>
      <c r="G6" s="714">
        <f t="shared" si="0"/>
        <v>0</v>
      </c>
      <c r="H6" s="714">
        <f t="shared" si="0"/>
        <v>0</v>
      </c>
      <c r="I6" s="714">
        <f t="shared" si="0"/>
        <v>0</v>
      </c>
      <c r="J6" s="25">
        <f t="shared" ref="J6:J47" si="1">SUM(E6:I6)</f>
        <v>0</v>
      </c>
      <c r="K6" s="714">
        <v>2110</v>
      </c>
      <c r="L6" s="714">
        <f>IF(K6&lt;&gt;"",J6/K6,"")</f>
        <v>0</v>
      </c>
      <c r="M6" s="629">
        <v>5300</v>
      </c>
      <c r="N6" s="728"/>
      <c r="O6" s="442"/>
      <c r="P6" s="729">
        <f t="shared" ref="P6:P47" si="2">C6-2</f>
        <v>41643</v>
      </c>
      <c r="Q6" s="301"/>
      <c r="R6" s="758"/>
      <c r="S6" s="25">
        <f>ROUND(Q6*R6,0)</f>
        <v>0</v>
      </c>
      <c r="T6" s="442"/>
      <c r="U6" s="729"/>
      <c r="V6" s="758"/>
      <c r="W6" s="758"/>
      <c r="X6" s="25">
        <f>V6*W6</f>
        <v>0</v>
      </c>
    </row>
    <row r="7" spans="1:26">
      <c r="A7" s="713">
        <f>IF(B7&lt;&gt;"",A6+1,"")</f>
        <v>2</v>
      </c>
      <c r="B7" s="296" t="s">
        <v>427</v>
      </c>
      <c r="C7" s="731">
        <v>41645</v>
      </c>
      <c r="D7" s="732" t="s">
        <v>428</v>
      </c>
      <c r="E7" s="25">
        <f t="shared" ref="E7:E47" si="3">S7</f>
        <v>0</v>
      </c>
      <c r="F7" s="714">
        <f t="shared" si="0"/>
        <v>0</v>
      </c>
      <c r="G7" s="714">
        <f t="shared" si="0"/>
        <v>0</v>
      </c>
      <c r="H7" s="714">
        <f t="shared" si="0"/>
        <v>0</v>
      </c>
      <c r="I7" s="714">
        <f t="shared" si="0"/>
        <v>0</v>
      </c>
      <c r="J7" s="25">
        <f t="shared" si="1"/>
        <v>0</v>
      </c>
      <c r="K7" s="257">
        <v>500</v>
      </c>
      <c r="L7" s="714">
        <f>IF(K7&lt;&gt;"",J7/K7,"")</f>
        <v>0</v>
      </c>
      <c r="M7" s="629">
        <v>17300</v>
      </c>
      <c r="N7" s="728"/>
      <c r="O7" s="443"/>
      <c r="P7" s="729">
        <f t="shared" si="2"/>
        <v>41643</v>
      </c>
      <c r="Q7" s="770"/>
      <c r="R7" s="756"/>
      <c r="S7" s="8">
        <f t="shared" ref="S7:S47" si="4">ROUND(Q7*R7,0)</f>
        <v>0</v>
      </c>
      <c r="T7" s="443"/>
      <c r="U7" s="731"/>
      <c r="V7" s="756"/>
      <c r="W7" s="756"/>
      <c r="X7" s="8">
        <f t="shared" ref="X7" si="5">V7*W7</f>
        <v>0</v>
      </c>
    </row>
    <row r="8" spans="1:26">
      <c r="A8" s="713">
        <f t="shared" ref="A8:A47" si="6">IF(B8&lt;&gt;"",A7+1,"")</f>
        <v>3</v>
      </c>
      <c r="B8" s="296" t="s">
        <v>451</v>
      </c>
      <c r="C8" s="833">
        <v>41645</v>
      </c>
      <c r="D8" s="734" t="s">
        <v>428</v>
      </c>
      <c r="E8" s="25">
        <f t="shared" si="3"/>
        <v>0</v>
      </c>
      <c r="F8" s="714">
        <f t="shared" si="0"/>
        <v>0</v>
      </c>
      <c r="G8" s="714">
        <f t="shared" si="0"/>
        <v>0</v>
      </c>
      <c r="H8" s="714">
        <f t="shared" si="0"/>
        <v>0</v>
      </c>
      <c r="I8" s="714">
        <f t="shared" si="0"/>
        <v>0</v>
      </c>
      <c r="J8" s="25">
        <f t="shared" si="1"/>
        <v>0</v>
      </c>
      <c r="K8" s="257">
        <v>1000</v>
      </c>
      <c r="L8" s="714">
        <f t="shared" ref="L8:L47" si="7">IF(K8&lt;&gt;"",J8/K8,"")</f>
        <v>0</v>
      </c>
      <c r="M8" s="629">
        <v>1500</v>
      </c>
      <c r="N8" s="728"/>
      <c r="O8" s="490"/>
      <c r="P8" s="729">
        <f t="shared" si="2"/>
        <v>41643</v>
      </c>
      <c r="Q8" s="771"/>
      <c r="R8" s="757"/>
      <c r="S8" s="8">
        <f t="shared" si="4"/>
        <v>0</v>
      </c>
      <c r="T8" s="490"/>
      <c r="U8" s="731"/>
      <c r="V8" s="757"/>
      <c r="W8" s="757"/>
      <c r="X8" s="8"/>
    </row>
    <row r="9" spans="1:26">
      <c r="A9" s="713">
        <f t="shared" si="6"/>
        <v>4</v>
      </c>
      <c r="B9" s="296" t="s">
        <v>429</v>
      </c>
      <c r="C9" s="833">
        <v>41664</v>
      </c>
      <c r="D9" s="734" t="s">
        <v>430</v>
      </c>
      <c r="E9" s="25">
        <f t="shared" si="3"/>
        <v>0</v>
      </c>
      <c r="F9" s="714">
        <f t="shared" si="0"/>
        <v>0</v>
      </c>
      <c r="G9" s="714">
        <f t="shared" si="0"/>
        <v>0</v>
      </c>
      <c r="H9" s="714">
        <f t="shared" si="0"/>
        <v>0</v>
      </c>
      <c r="I9" s="714">
        <f t="shared" si="0"/>
        <v>0</v>
      </c>
      <c r="J9" s="25">
        <f t="shared" si="1"/>
        <v>0</v>
      </c>
      <c r="K9" s="257">
        <v>510</v>
      </c>
      <c r="L9" s="714">
        <f t="shared" si="7"/>
        <v>0</v>
      </c>
      <c r="M9" s="629">
        <v>10300</v>
      </c>
      <c r="N9" s="728"/>
      <c r="O9" s="490"/>
      <c r="P9" s="729">
        <f t="shared" si="2"/>
        <v>41662</v>
      </c>
      <c r="Q9" s="771"/>
      <c r="R9" s="757"/>
      <c r="S9" s="8">
        <f t="shared" si="4"/>
        <v>0</v>
      </c>
      <c r="T9" s="490"/>
      <c r="U9" s="731"/>
      <c r="V9" s="757"/>
      <c r="W9" s="757"/>
      <c r="X9" s="8"/>
    </row>
    <row r="10" spans="1:26">
      <c r="A10" s="713">
        <f t="shared" si="6"/>
        <v>5</v>
      </c>
      <c r="B10" s="296" t="s">
        <v>432</v>
      </c>
      <c r="C10" s="833">
        <v>41664</v>
      </c>
      <c r="D10" s="734" t="s">
        <v>433</v>
      </c>
      <c r="E10" s="25">
        <f t="shared" si="3"/>
        <v>0</v>
      </c>
      <c r="F10" s="714">
        <f t="shared" si="0"/>
        <v>0</v>
      </c>
      <c r="G10" s="714">
        <f t="shared" si="0"/>
        <v>0</v>
      </c>
      <c r="H10" s="714">
        <f t="shared" si="0"/>
        <v>0</v>
      </c>
      <c r="I10" s="714">
        <f t="shared" si="0"/>
        <v>0</v>
      </c>
      <c r="J10" s="25">
        <f t="shared" si="1"/>
        <v>0</v>
      </c>
      <c r="K10" s="257">
        <v>563</v>
      </c>
      <c r="L10" s="714">
        <f t="shared" si="7"/>
        <v>0</v>
      </c>
      <c r="M10" s="629">
        <v>12900</v>
      </c>
      <c r="N10" s="728"/>
      <c r="O10" s="490"/>
      <c r="P10" s="729">
        <f t="shared" si="2"/>
        <v>41662</v>
      </c>
      <c r="Q10" s="771"/>
      <c r="R10" s="757"/>
      <c r="S10" s="8">
        <f t="shared" si="4"/>
        <v>0</v>
      </c>
      <c r="T10" s="490"/>
      <c r="U10" s="731"/>
      <c r="V10" s="757"/>
      <c r="W10" s="757"/>
      <c r="X10" s="8"/>
    </row>
    <row r="11" spans="1:26">
      <c r="A11" s="713">
        <f t="shared" si="6"/>
        <v>6</v>
      </c>
      <c r="B11" s="296" t="s">
        <v>434</v>
      </c>
      <c r="C11" s="833">
        <v>41664</v>
      </c>
      <c r="D11" s="734" t="s">
        <v>433</v>
      </c>
      <c r="E11" s="25">
        <f t="shared" si="3"/>
        <v>0</v>
      </c>
      <c r="F11" s="714">
        <f t="shared" si="0"/>
        <v>0</v>
      </c>
      <c r="G11" s="714">
        <f t="shared" si="0"/>
        <v>0</v>
      </c>
      <c r="H11" s="714">
        <f t="shared" si="0"/>
        <v>0</v>
      </c>
      <c r="I11" s="714">
        <f t="shared" si="0"/>
        <v>0</v>
      </c>
      <c r="J11" s="25">
        <f t="shared" si="1"/>
        <v>0</v>
      </c>
      <c r="K11" s="257">
        <v>234</v>
      </c>
      <c r="L11" s="714">
        <f t="shared" si="7"/>
        <v>0</v>
      </c>
      <c r="M11" s="629">
        <v>9800</v>
      </c>
      <c r="N11" s="728"/>
      <c r="O11" s="490"/>
      <c r="P11" s="729">
        <f t="shared" si="2"/>
        <v>41662</v>
      </c>
      <c r="Q11" s="771"/>
      <c r="R11" s="757"/>
      <c r="S11" s="8">
        <f t="shared" si="4"/>
        <v>0</v>
      </c>
      <c r="T11" s="490"/>
      <c r="U11" s="731"/>
      <c r="V11" s="757"/>
      <c r="W11" s="757"/>
      <c r="X11" s="8"/>
    </row>
    <row r="12" spans="1:26">
      <c r="A12" s="713">
        <f t="shared" si="6"/>
        <v>7</v>
      </c>
      <c r="B12" s="296" t="s">
        <v>435</v>
      </c>
      <c r="C12" s="833">
        <v>41664</v>
      </c>
      <c r="D12" s="734" t="s">
        <v>433</v>
      </c>
      <c r="E12" s="25">
        <f t="shared" si="3"/>
        <v>0</v>
      </c>
      <c r="F12" s="714">
        <f t="shared" si="0"/>
        <v>0</v>
      </c>
      <c r="G12" s="714">
        <f t="shared" si="0"/>
        <v>0</v>
      </c>
      <c r="H12" s="714">
        <f t="shared" si="0"/>
        <v>0</v>
      </c>
      <c r="I12" s="714">
        <f t="shared" si="0"/>
        <v>0</v>
      </c>
      <c r="J12" s="25">
        <f t="shared" si="1"/>
        <v>0</v>
      </c>
      <c r="K12" s="257">
        <v>233</v>
      </c>
      <c r="L12" s="714">
        <f t="shared" si="7"/>
        <v>0</v>
      </c>
      <c r="M12" s="629">
        <v>6400</v>
      </c>
      <c r="N12" s="728"/>
      <c r="O12" s="490"/>
      <c r="P12" s="729">
        <f t="shared" si="2"/>
        <v>41662</v>
      </c>
      <c r="Q12" s="771"/>
      <c r="R12" s="757"/>
      <c r="S12" s="8">
        <f t="shared" si="4"/>
        <v>0</v>
      </c>
      <c r="T12" s="490"/>
      <c r="U12" s="731"/>
      <c r="V12" s="757"/>
      <c r="W12" s="757"/>
      <c r="X12" s="8"/>
    </row>
    <row r="13" spans="1:26">
      <c r="A13" s="713">
        <f t="shared" si="6"/>
        <v>8</v>
      </c>
      <c r="B13" s="296" t="s">
        <v>436</v>
      </c>
      <c r="C13" s="833">
        <v>41664</v>
      </c>
      <c r="D13" s="734" t="s">
        <v>433</v>
      </c>
      <c r="E13" s="25">
        <f t="shared" si="3"/>
        <v>0</v>
      </c>
      <c r="F13" s="714">
        <f t="shared" si="0"/>
        <v>0</v>
      </c>
      <c r="G13" s="714">
        <f t="shared" si="0"/>
        <v>0</v>
      </c>
      <c r="H13" s="714">
        <f t="shared" si="0"/>
        <v>0</v>
      </c>
      <c r="I13" s="714">
        <f t="shared" si="0"/>
        <v>0</v>
      </c>
      <c r="J13" s="25">
        <f t="shared" si="1"/>
        <v>0</v>
      </c>
      <c r="K13" s="257">
        <v>308</v>
      </c>
      <c r="L13" s="714">
        <f t="shared" si="7"/>
        <v>0</v>
      </c>
      <c r="M13" s="629">
        <v>8600</v>
      </c>
      <c r="N13" s="728"/>
      <c r="O13" s="490"/>
      <c r="P13" s="729">
        <f t="shared" si="2"/>
        <v>41662</v>
      </c>
      <c r="Q13" s="771"/>
      <c r="R13" s="757"/>
      <c r="S13" s="8">
        <f t="shared" si="4"/>
        <v>0</v>
      </c>
      <c r="T13" s="490"/>
      <c r="U13" s="731"/>
      <c r="V13" s="757"/>
      <c r="W13" s="757"/>
      <c r="X13" s="8"/>
    </row>
    <row r="14" spans="1:26">
      <c r="A14" s="713">
        <f t="shared" si="6"/>
        <v>9</v>
      </c>
      <c r="B14" s="296" t="s">
        <v>437</v>
      </c>
      <c r="C14" s="833">
        <v>41664</v>
      </c>
      <c r="D14" s="734" t="s">
        <v>438</v>
      </c>
      <c r="E14" s="25">
        <f t="shared" si="3"/>
        <v>0</v>
      </c>
      <c r="F14" s="714">
        <f t="shared" si="0"/>
        <v>0</v>
      </c>
      <c r="G14" s="714">
        <f t="shared" si="0"/>
        <v>0</v>
      </c>
      <c r="H14" s="714">
        <f t="shared" si="0"/>
        <v>0</v>
      </c>
      <c r="I14" s="714">
        <f t="shared" si="0"/>
        <v>0</v>
      </c>
      <c r="J14" s="25">
        <f t="shared" si="1"/>
        <v>0</v>
      </c>
      <c r="K14" s="257">
        <v>1038</v>
      </c>
      <c r="L14" s="714">
        <f t="shared" si="7"/>
        <v>0</v>
      </c>
      <c r="M14" s="629">
        <v>12000</v>
      </c>
      <c r="N14" s="728"/>
      <c r="O14" s="490"/>
      <c r="P14" s="729">
        <f t="shared" si="2"/>
        <v>41662</v>
      </c>
      <c r="Q14" s="771"/>
      <c r="R14" s="757"/>
      <c r="S14" s="8">
        <f t="shared" si="4"/>
        <v>0</v>
      </c>
      <c r="T14" s="490"/>
      <c r="U14" s="731"/>
      <c r="V14" s="757"/>
      <c r="W14" s="757"/>
      <c r="X14" s="8"/>
    </row>
    <row r="15" spans="1:26">
      <c r="A15" s="713">
        <f t="shared" si="6"/>
        <v>10</v>
      </c>
      <c r="B15" s="296" t="s">
        <v>439</v>
      </c>
      <c r="C15" s="833">
        <v>41664</v>
      </c>
      <c r="D15" s="734" t="s">
        <v>440</v>
      </c>
      <c r="E15" s="25">
        <f t="shared" si="3"/>
        <v>0</v>
      </c>
      <c r="F15" s="714">
        <f t="shared" si="0"/>
        <v>0</v>
      </c>
      <c r="G15" s="714">
        <f t="shared" si="0"/>
        <v>0</v>
      </c>
      <c r="H15" s="714">
        <f t="shared" si="0"/>
        <v>0</v>
      </c>
      <c r="I15" s="714">
        <f t="shared" si="0"/>
        <v>0</v>
      </c>
      <c r="J15" s="25">
        <f t="shared" si="1"/>
        <v>0</v>
      </c>
      <c r="K15" s="257">
        <v>200</v>
      </c>
      <c r="L15" s="714">
        <f t="shared" si="7"/>
        <v>0</v>
      </c>
      <c r="M15" s="629">
        <v>21700</v>
      </c>
      <c r="N15" s="728"/>
      <c r="O15" s="490"/>
      <c r="P15" s="729">
        <f t="shared" si="2"/>
        <v>41662</v>
      </c>
      <c r="Q15" s="771"/>
      <c r="R15" s="757"/>
      <c r="S15" s="8">
        <f t="shared" si="4"/>
        <v>0</v>
      </c>
      <c r="T15" s="490"/>
      <c r="U15" s="731"/>
      <c r="V15" s="757"/>
      <c r="W15" s="757"/>
      <c r="X15" s="8"/>
    </row>
    <row r="16" spans="1:26">
      <c r="A16" s="713">
        <f t="shared" si="6"/>
        <v>11</v>
      </c>
      <c r="B16" s="296" t="s">
        <v>442</v>
      </c>
      <c r="C16" s="833">
        <v>41684</v>
      </c>
      <c r="D16" s="734" t="s">
        <v>443</v>
      </c>
      <c r="E16" s="25">
        <f t="shared" si="3"/>
        <v>0</v>
      </c>
      <c r="F16" s="714">
        <f t="shared" si="0"/>
        <v>0</v>
      </c>
      <c r="G16" s="714">
        <f t="shared" si="0"/>
        <v>0</v>
      </c>
      <c r="H16" s="714">
        <f t="shared" si="0"/>
        <v>0</v>
      </c>
      <c r="I16" s="714">
        <f t="shared" si="0"/>
        <v>0</v>
      </c>
      <c r="J16" s="25">
        <f t="shared" si="1"/>
        <v>0</v>
      </c>
      <c r="K16" s="257">
        <v>588</v>
      </c>
      <c r="L16" s="714">
        <f t="shared" si="7"/>
        <v>0</v>
      </c>
      <c r="M16" s="629">
        <v>10500</v>
      </c>
      <c r="N16" s="728"/>
      <c r="O16" s="490"/>
      <c r="P16" s="729">
        <f t="shared" si="2"/>
        <v>41682</v>
      </c>
      <c r="Q16" s="771"/>
      <c r="R16" s="757"/>
      <c r="S16" s="8">
        <f t="shared" si="4"/>
        <v>0</v>
      </c>
      <c r="T16" s="490"/>
      <c r="U16" s="731"/>
      <c r="V16" s="757"/>
      <c r="W16" s="757"/>
      <c r="X16" s="8"/>
    </row>
    <row r="17" spans="1:24">
      <c r="A17" s="713">
        <f t="shared" si="6"/>
        <v>12</v>
      </c>
      <c r="B17" s="296" t="s">
        <v>442</v>
      </c>
      <c r="C17" s="833">
        <v>41684</v>
      </c>
      <c r="D17" s="734" t="s">
        <v>443</v>
      </c>
      <c r="E17" s="25">
        <f t="shared" si="3"/>
        <v>0</v>
      </c>
      <c r="F17" s="714">
        <f t="shared" si="0"/>
        <v>0</v>
      </c>
      <c r="G17" s="714">
        <f t="shared" si="0"/>
        <v>0</v>
      </c>
      <c r="H17" s="714">
        <f t="shared" si="0"/>
        <v>0</v>
      </c>
      <c r="I17" s="714">
        <f t="shared" si="0"/>
        <v>0</v>
      </c>
      <c r="J17" s="25">
        <f t="shared" si="1"/>
        <v>0</v>
      </c>
      <c r="K17" s="257">
        <v>598</v>
      </c>
      <c r="L17" s="714">
        <f t="shared" si="7"/>
        <v>0</v>
      </c>
      <c r="M17" s="629">
        <v>10500</v>
      </c>
      <c r="N17" s="728"/>
      <c r="O17" s="490"/>
      <c r="P17" s="729">
        <f t="shared" si="2"/>
        <v>41682</v>
      </c>
      <c r="Q17" s="771"/>
      <c r="R17" s="757"/>
      <c r="S17" s="8">
        <f t="shared" si="4"/>
        <v>0</v>
      </c>
      <c r="T17" s="490"/>
      <c r="U17" s="731"/>
      <c r="V17" s="757"/>
      <c r="W17" s="757"/>
      <c r="X17" s="8"/>
    </row>
    <row r="18" spans="1:24">
      <c r="A18" s="713">
        <f t="shared" si="6"/>
        <v>13</v>
      </c>
      <c r="B18" s="296" t="s">
        <v>445</v>
      </c>
      <c r="C18" s="833">
        <v>41689</v>
      </c>
      <c r="D18" s="734" t="s">
        <v>446</v>
      </c>
      <c r="E18" s="25">
        <f t="shared" si="3"/>
        <v>0</v>
      </c>
      <c r="F18" s="714">
        <f t="shared" si="0"/>
        <v>0</v>
      </c>
      <c r="G18" s="714">
        <f t="shared" si="0"/>
        <v>0</v>
      </c>
      <c r="H18" s="714">
        <f t="shared" si="0"/>
        <v>0</v>
      </c>
      <c r="I18" s="714">
        <f t="shared" si="0"/>
        <v>0</v>
      </c>
      <c r="J18" s="25">
        <f t="shared" si="1"/>
        <v>0</v>
      </c>
      <c r="K18" s="257">
        <v>160</v>
      </c>
      <c r="L18" s="714">
        <f t="shared" si="7"/>
        <v>0</v>
      </c>
      <c r="M18" s="629">
        <v>20400</v>
      </c>
      <c r="N18" s="728"/>
      <c r="O18" s="490"/>
      <c r="P18" s="729">
        <f t="shared" si="2"/>
        <v>41687</v>
      </c>
      <c r="Q18" s="771"/>
      <c r="R18" s="757"/>
      <c r="S18" s="8">
        <f t="shared" si="4"/>
        <v>0</v>
      </c>
      <c r="T18" s="490"/>
      <c r="U18" s="731"/>
      <c r="V18" s="757"/>
      <c r="W18" s="757"/>
      <c r="X18" s="8"/>
    </row>
    <row r="19" spans="1:24">
      <c r="A19" s="713">
        <f t="shared" si="6"/>
        <v>14</v>
      </c>
      <c r="B19" s="296" t="s">
        <v>429</v>
      </c>
      <c r="C19" s="833">
        <v>41690</v>
      </c>
      <c r="D19" s="734" t="s">
        <v>448</v>
      </c>
      <c r="E19" s="25">
        <f t="shared" si="3"/>
        <v>0</v>
      </c>
      <c r="F19" s="714">
        <f t="shared" si="0"/>
        <v>0</v>
      </c>
      <c r="G19" s="714">
        <f t="shared" si="0"/>
        <v>0</v>
      </c>
      <c r="H19" s="714">
        <f t="shared" si="0"/>
        <v>0</v>
      </c>
      <c r="I19" s="714">
        <f t="shared" si="0"/>
        <v>0</v>
      </c>
      <c r="J19" s="25">
        <f t="shared" si="1"/>
        <v>0</v>
      </c>
      <c r="K19" s="257">
        <v>500</v>
      </c>
      <c r="L19" s="714">
        <f t="shared" si="7"/>
        <v>0</v>
      </c>
      <c r="M19" s="629">
        <v>10300</v>
      </c>
      <c r="N19" s="728"/>
      <c r="O19" s="490"/>
      <c r="P19" s="729">
        <f t="shared" si="2"/>
        <v>41688</v>
      </c>
      <c r="Q19" s="771"/>
      <c r="R19" s="757"/>
      <c r="S19" s="8">
        <f t="shared" si="4"/>
        <v>0</v>
      </c>
      <c r="T19" s="490"/>
      <c r="U19" s="731"/>
      <c r="V19" s="757"/>
      <c r="W19" s="757"/>
      <c r="X19" s="8"/>
    </row>
    <row r="20" spans="1:24">
      <c r="A20" s="713">
        <f t="shared" si="6"/>
        <v>15</v>
      </c>
      <c r="B20" s="296" t="s">
        <v>442</v>
      </c>
      <c r="C20" s="833">
        <v>41691</v>
      </c>
      <c r="D20" s="734" t="s">
        <v>449</v>
      </c>
      <c r="E20" s="25">
        <f t="shared" si="3"/>
        <v>0</v>
      </c>
      <c r="F20" s="714">
        <f t="shared" si="0"/>
        <v>0</v>
      </c>
      <c r="G20" s="714">
        <f t="shared" si="0"/>
        <v>0</v>
      </c>
      <c r="H20" s="714">
        <f t="shared" si="0"/>
        <v>0</v>
      </c>
      <c r="I20" s="714">
        <f t="shared" si="0"/>
        <v>0</v>
      </c>
      <c r="J20" s="25">
        <f t="shared" si="1"/>
        <v>0</v>
      </c>
      <c r="K20" s="257">
        <v>608</v>
      </c>
      <c r="L20" s="714">
        <f t="shared" si="7"/>
        <v>0</v>
      </c>
      <c r="M20" s="629">
        <v>10500</v>
      </c>
      <c r="N20" s="728"/>
      <c r="O20" s="490"/>
      <c r="P20" s="729">
        <f t="shared" si="2"/>
        <v>41689</v>
      </c>
      <c r="Q20" s="771"/>
      <c r="R20" s="757"/>
      <c r="S20" s="8">
        <f t="shared" si="4"/>
        <v>0</v>
      </c>
      <c r="T20" s="490"/>
      <c r="U20" s="731"/>
      <c r="V20" s="757"/>
      <c r="W20" s="757"/>
      <c r="X20" s="8"/>
    </row>
    <row r="21" spans="1:24">
      <c r="A21" s="713">
        <f t="shared" si="6"/>
        <v>16</v>
      </c>
      <c r="B21" s="296" t="s">
        <v>442</v>
      </c>
      <c r="C21" s="833">
        <v>41691</v>
      </c>
      <c r="D21" s="734" t="s">
        <v>449</v>
      </c>
      <c r="E21" s="25">
        <f t="shared" si="3"/>
        <v>0</v>
      </c>
      <c r="F21" s="714">
        <f t="shared" si="0"/>
        <v>0</v>
      </c>
      <c r="G21" s="714">
        <f t="shared" si="0"/>
        <v>0</v>
      </c>
      <c r="H21" s="714">
        <f t="shared" si="0"/>
        <v>0</v>
      </c>
      <c r="I21" s="714">
        <f t="shared" si="0"/>
        <v>0</v>
      </c>
      <c r="J21" s="25">
        <f t="shared" si="1"/>
        <v>0</v>
      </c>
      <c r="K21" s="257">
        <v>633</v>
      </c>
      <c r="L21" s="714">
        <f t="shared" si="7"/>
        <v>0</v>
      </c>
      <c r="M21" s="629">
        <v>10500</v>
      </c>
      <c r="N21" s="728"/>
      <c r="O21" s="490"/>
      <c r="P21" s="729">
        <f t="shared" si="2"/>
        <v>41689</v>
      </c>
      <c r="Q21" s="771"/>
      <c r="R21" s="757"/>
      <c r="S21" s="8">
        <f t="shared" si="4"/>
        <v>0</v>
      </c>
      <c r="T21" s="490"/>
      <c r="U21" s="731"/>
      <c r="V21" s="757"/>
      <c r="W21" s="757"/>
      <c r="X21" s="8"/>
    </row>
    <row r="22" spans="1:24">
      <c r="A22" s="713">
        <f t="shared" si="6"/>
        <v>17</v>
      </c>
      <c r="B22" s="296" t="s">
        <v>427</v>
      </c>
      <c r="C22" s="833">
        <v>41694</v>
      </c>
      <c r="D22" s="734" t="s">
        <v>450</v>
      </c>
      <c r="E22" s="25">
        <f t="shared" si="3"/>
        <v>0</v>
      </c>
      <c r="F22" s="714">
        <f t="shared" si="0"/>
        <v>0</v>
      </c>
      <c r="G22" s="714">
        <f t="shared" si="0"/>
        <v>0</v>
      </c>
      <c r="H22" s="714">
        <f t="shared" si="0"/>
        <v>0</v>
      </c>
      <c r="I22" s="714">
        <f t="shared" si="0"/>
        <v>0</v>
      </c>
      <c r="J22" s="25">
        <f t="shared" si="1"/>
        <v>0</v>
      </c>
      <c r="K22" s="257">
        <v>490</v>
      </c>
      <c r="L22" s="714">
        <f t="shared" si="7"/>
        <v>0</v>
      </c>
      <c r="M22" s="629">
        <v>17300</v>
      </c>
      <c r="N22" s="728"/>
      <c r="O22" s="490"/>
      <c r="P22" s="729">
        <f t="shared" si="2"/>
        <v>41692</v>
      </c>
      <c r="Q22" s="771"/>
      <c r="R22" s="757"/>
      <c r="S22" s="8">
        <f t="shared" si="4"/>
        <v>0</v>
      </c>
      <c r="T22" s="490"/>
      <c r="U22" s="731"/>
      <c r="V22" s="757"/>
      <c r="W22" s="757"/>
      <c r="X22" s="8"/>
    </row>
    <row r="23" spans="1:24">
      <c r="A23" s="713">
        <f t="shared" si="6"/>
        <v>18</v>
      </c>
      <c r="B23" s="296" t="s">
        <v>451</v>
      </c>
      <c r="C23" s="833">
        <v>41694</v>
      </c>
      <c r="D23" s="734" t="s">
        <v>450</v>
      </c>
      <c r="E23" s="25">
        <f t="shared" si="3"/>
        <v>0</v>
      </c>
      <c r="F23" s="714">
        <f t="shared" si="0"/>
        <v>0</v>
      </c>
      <c r="G23" s="714">
        <f t="shared" si="0"/>
        <v>0</v>
      </c>
      <c r="H23" s="714">
        <f t="shared" si="0"/>
        <v>0</v>
      </c>
      <c r="I23" s="714">
        <f t="shared" si="0"/>
        <v>0</v>
      </c>
      <c r="J23" s="25">
        <f t="shared" si="1"/>
        <v>0</v>
      </c>
      <c r="K23" s="257">
        <v>980</v>
      </c>
      <c r="L23" s="714">
        <f t="shared" si="7"/>
        <v>0</v>
      </c>
      <c r="M23" s="629">
        <v>1500</v>
      </c>
      <c r="N23" s="728"/>
      <c r="O23" s="490"/>
      <c r="P23" s="729">
        <f t="shared" si="2"/>
        <v>41692</v>
      </c>
      <c r="Q23" s="771"/>
      <c r="R23" s="757"/>
      <c r="S23" s="8">
        <f t="shared" si="4"/>
        <v>0</v>
      </c>
      <c r="T23" s="490"/>
      <c r="U23" s="731"/>
      <c r="V23" s="757"/>
      <c r="W23" s="757"/>
      <c r="X23" s="8"/>
    </row>
    <row r="24" spans="1:24">
      <c r="A24" s="713">
        <f t="shared" si="6"/>
        <v>19</v>
      </c>
      <c r="B24" s="296" t="s">
        <v>452</v>
      </c>
      <c r="C24" s="833">
        <v>41697</v>
      </c>
      <c r="D24" s="734" t="s">
        <v>453</v>
      </c>
      <c r="E24" s="25">
        <f t="shared" si="3"/>
        <v>0</v>
      </c>
      <c r="F24" s="714">
        <f t="shared" si="0"/>
        <v>0</v>
      </c>
      <c r="G24" s="714">
        <f t="shared" si="0"/>
        <v>0</v>
      </c>
      <c r="H24" s="714">
        <f t="shared" si="0"/>
        <v>0</v>
      </c>
      <c r="I24" s="714">
        <f t="shared" si="0"/>
        <v>0</v>
      </c>
      <c r="J24" s="25">
        <f t="shared" si="1"/>
        <v>0</v>
      </c>
      <c r="K24" s="257">
        <v>2500</v>
      </c>
      <c r="L24" s="714">
        <f t="shared" si="7"/>
        <v>0</v>
      </c>
      <c r="M24" s="629">
        <v>4800</v>
      </c>
      <c r="N24" s="728"/>
      <c r="O24" s="490"/>
      <c r="P24" s="729">
        <f t="shared" si="2"/>
        <v>41695</v>
      </c>
      <c r="Q24" s="771"/>
      <c r="R24" s="757"/>
      <c r="S24" s="8">
        <f t="shared" si="4"/>
        <v>0</v>
      </c>
      <c r="T24" s="490"/>
      <c r="U24" s="731"/>
      <c r="V24" s="757"/>
      <c r="W24" s="757"/>
      <c r="X24" s="8"/>
    </row>
    <row r="25" spans="1:24">
      <c r="A25" s="713">
        <f t="shared" si="6"/>
        <v>20</v>
      </c>
      <c r="B25" s="296" t="s">
        <v>454</v>
      </c>
      <c r="C25" s="833">
        <v>41698</v>
      </c>
      <c r="D25" s="734" t="s">
        <v>455</v>
      </c>
      <c r="E25" s="25">
        <f t="shared" si="3"/>
        <v>0</v>
      </c>
      <c r="F25" s="714">
        <f t="shared" si="0"/>
        <v>0</v>
      </c>
      <c r="G25" s="714">
        <f t="shared" si="0"/>
        <v>0</v>
      </c>
      <c r="H25" s="714">
        <f t="shared" si="0"/>
        <v>0</v>
      </c>
      <c r="I25" s="714">
        <f t="shared" si="0"/>
        <v>0</v>
      </c>
      <c r="J25" s="25">
        <f t="shared" si="1"/>
        <v>0</v>
      </c>
      <c r="K25" s="257">
        <v>313</v>
      </c>
      <c r="L25" s="714">
        <f t="shared" si="7"/>
        <v>0</v>
      </c>
      <c r="M25" s="629">
        <v>7000</v>
      </c>
      <c r="N25" s="728"/>
      <c r="O25" s="490"/>
      <c r="P25" s="729">
        <f t="shared" si="2"/>
        <v>41696</v>
      </c>
      <c r="Q25" s="771"/>
      <c r="R25" s="757"/>
      <c r="S25" s="8">
        <f t="shared" si="4"/>
        <v>0</v>
      </c>
      <c r="T25" s="490"/>
      <c r="U25" s="731"/>
      <c r="V25" s="757"/>
      <c r="W25" s="757"/>
      <c r="X25" s="8"/>
    </row>
    <row r="26" spans="1:24">
      <c r="A26" s="713">
        <f t="shared" si="6"/>
        <v>21</v>
      </c>
      <c r="B26" s="296" t="s">
        <v>436</v>
      </c>
      <c r="C26" s="833">
        <v>41698</v>
      </c>
      <c r="D26" s="734" t="s">
        <v>455</v>
      </c>
      <c r="E26" s="25">
        <f t="shared" si="3"/>
        <v>0</v>
      </c>
      <c r="F26" s="714">
        <f t="shared" ref="F26:I47" si="8">IF($K$49&lt;&gt;0,F$49/$K$49*$K26,0)</f>
        <v>0</v>
      </c>
      <c r="G26" s="714">
        <f t="shared" si="8"/>
        <v>0</v>
      </c>
      <c r="H26" s="714">
        <f t="shared" si="8"/>
        <v>0</v>
      </c>
      <c r="I26" s="714">
        <f t="shared" si="8"/>
        <v>0</v>
      </c>
      <c r="J26" s="25">
        <f t="shared" si="1"/>
        <v>0</v>
      </c>
      <c r="K26" s="257">
        <v>586</v>
      </c>
      <c r="L26" s="714">
        <f t="shared" si="7"/>
        <v>0</v>
      </c>
      <c r="M26" s="629">
        <v>8600</v>
      </c>
      <c r="N26" s="728"/>
      <c r="O26" s="490"/>
      <c r="P26" s="729">
        <f t="shared" si="2"/>
        <v>41696</v>
      </c>
      <c r="Q26" s="771"/>
      <c r="R26" s="757"/>
      <c r="S26" s="8">
        <f t="shared" si="4"/>
        <v>0</v>
      </c>
      <c r="T26" s="490"/>
      <c r="U26" s="731"/>
      <c r="V26" s="757"/>
      <c r="W26" s="757"/>
      <c r="X26" s="8"/>
    </row>
    <row r="27" spans="1:24">
      <c r="A27" s="713">
        <f t="shared" si="6"/>
        <v>22</v>
      </c>
      <c r="B27" s="296" t="s">
        <v>456</v>
      </c>
      <c r="C27" s="833">
        <v>41698</v>
      </c>
      <c r="D27" s="734" t="s">
        <v>455</v>
      </c>
      <c r="E27" s="25">
        <f t="shared" si="3"/>
        <v>0</v>
      </c>
      <c r="F27" s="714">
        <f t="shared" si="8"/>
        <v>0</v>
      </c>
      <c r="G27" s="714">
        <f t="shared" si="8"/>
        <v>0</v>
      </c>
      <c r="H27" s="714">
        <f t="shared" si="8"/>
        <v>0</v>
      </c>
      <c r="I27" s="714">
        <f t="shared" si="8"/>
        <v>0</v>
      </c>
      <c r="J27" s="25">
        <f t="shared" si="1"/>
        <v>0</v>
      </c>
      <c r="K27" s="257">
        <v>310</v>
      </c>
      <c r="L27" s="714">
        <f t="shared" si="7"/>
        <v>0</v>
      </c>
      <c r="M27" s="629">
        <v>13500</v>
      </c>
      <c r="N27" s="728"/>
      <c r="O27" s="490"/>
      <c r="P27" s="729">
        <f t="shared" si="2"/>
        <v>41696</v>
      </c>
      <c r="Q27" s="771"/>
      <c r="R27" s="757"/>
      <c r="S27" s="8">
        <f t="shared" si="4"/>
        <v>0</v>
      </c>
      <c r="T27" s="490"/>
      <c r="U27" s="731"/>
      <c r="V27" s="757"/>
      <c r="W27" s="757"/>
      <c r="X27" s="8"/>
    </row>
    <row r="28" spans="1:24">
      <c r="A28" s="713">
        <f t="shared" si="6"/>
        <v>23</v>
      </c>
      <c r="B28" s="296" t="s">
        <v>457</v>
      </c>
      <c r="C28" s="833">
        <v>41698</v>
      </c>
      <c r="D28" s="734" t="s">
        <v>455</v>
      </c>
      <c r="E28" s="25">
        <f t="shared" si="3"/>
        <v>0</v>
      </c>
      <c r="F28" s="714">
        <f t="shared" si="8"/>
        <v>0</v>
      </c>
      <c r="G28" s="714">
        <f t="shared" si="8"/>
        <v>0</v>
      </c>
      <c r="H28" s="714">
        <f t="shared" si="8"/>
        <v>0</v>
      </c>
      <c r="I28" s="714">
        <f t="shared" si="8"/>
        <v>0</v>
      </c>
      <c r="J28" s="25">
        <f t="shared" si="1"/>
        <v>0</v>
      </c>
      <c r="K28" s="257">
        <v>200</v>
      </c>
      <c r="L28" s="714">
        <f t="shared" si="7"/>
        <v>0</v>
      </c>
      <c r="M28" s="629">
        <v>8000</v>
      </c>
      <c r="N28" s="728"/>
      <c r="O28" s="490"/>
      <c r="P28" s="729">
        <f t="shared" si="2"/>
        <v>41696</v>
      </c>
      <c r="Q28" s="771"/>
      <c r="R28" s="757"/>
      <c r="S28" s="8">
        <f t="shared" si="4"/>
        <v>0</v>
      </c>
      <c r="T28" s="490"/>
      <c r="U28" s="731"/>
      <c r="V28" s="757"/>
      <c r="W28" s="757"/>
      <c r="X28" s="8"/>
    </row>
    <row r="29" spans="1:24">
      <c r="A29" s="713">
        <f t="shared" si="6"/>
        <v>24</v>
      </c>
      <c r="B29" s="296" t="s">
        <v>458</v>
      </c>
      <c r="C29" s="833">
        <v>41698</v>
      </c>
      <c r="D29" s="734" t="s">
        <v>459</v>
      </c>
      <c r="E29" s="25">
        <f t="shared" si="3"/>
        <v>0</v>
      </c>
      <c r="F29" s="714">
        <f t="shared" si="8"/>
        <v>0</v>
      </c>
      <c r="G29" s="714">
        <f t="shared" si="8"/>
        <v>0</v>
      </c>
      <c r="H29" s="714">
        <f t="shared" si="8"/>
        <v>0</v>
      </c>
      <c r="I29" s="714">
        <f t="shared" si="8"/>
        <v>0</v>
      </c>
      <c r="J29" s="25">
        <f t="shared" si="1"/>
        <v>0</v>
      </c>
      <c r="K29" s="257">
        <v>210</v>
      </c>
      <c r="L29" s="714">
        <f t="shared" si="7"/>
        <v>0</v>
      </c>
      <c r="M29" s="629">
        <v>13000</v>
      </c>
      <c r="N29" s="728"/>
      <c r="O29" s="490"/>
      <c r="P29" s="729">
        <f t="shared" si="2"/>
        <v>41696</v>
      </c>
      <c r="Q29" s="771"/>
      <c r="R29" s="757"/>
      <c r="S29" s="8">
        <f t="shared" si="4"/>
        <v>0</v>
      </c>
      <c r="T29" s="490"/>
      <c r="U29" s="731"/>
      <c r="V29" s="757"/>
      <c r="W29" s="757"/>
      <c r="X29" s="8"/>
    </row>
    <row r="30" spans="1:24">
      <c r="A30" s="713">
        <f t="shared" si="6"/>
        <v>25</v>
      </c>
      <c r="B30" s="296" t="s">
        <v>461</v>
      </c>
      <c r="C30" s="833">
        <v>41698</v>
      </c>
      <c r="D30" s="734" t="s">
        <v>459</v>
      </c>
      <c r="E30" s="25">
        <f t="shared" si="3"/>
        <v>0</v>
      </c>
      <c r="F30" s="714">
        <f t="shared" si="8"/>
        <v>0</v>
      </c>
      <c r="G30" s="714">
        <f t="shared" si="8"/>
        <v>0</v>
      </c>
      <c r="H30" s="714">
        <f t="shared" si="8"/>
        <v>0</v>
      </c>
      <c r="I30" s="714">
        <f t="shared" si="8"/>
        <v>0</v>
      </c>
      <c r="J30" s="25">
        <f t="shared" si="1"/>
        <v>0</v>
      </c>
      <c r="K30" s="257">
        <v>250</v>
      </c>
      <c r="L30" s="714">
        <f t="shared" si="7"/>
        <v>0</v>
      </c>
      <c r="M30" s="629">
        <v>14200</v>
      </c>
      <c r="N30" s="728"/>
      <c r="O30" s="490"/>
      <c r="P30" s="729">
        <f t="shared" si="2"/>
        <v>41696</v>
      </c>
      <c r="Q30" s="771"/>
      <c r="R30" s="757"/>
      <c r="S30" s="8">
        <f t="shared" si="4"/>
        <v>0</v>
      </c>
      <c r="T30" s="490"/>
      <c r="U30" s="731"/>
      <c r="V30" s="757"/>
      <c r="W30" s="757"/>
      <c r="X30" s="8"/>
    </row>
    <row r="31" spans="1:24">
      <c r="A31" s="713">
        <f t="shared" si="6"/>
        <v>26</v>
      </c>
      <c r="B31" s="296" t="s">
        <v>462</v>
      </c>
      <c r="C31" s="833">
        <v>41698</v>
      </c>
      <c r="D31" s="734" t="s">
        <v>459</v>
      </c>
      <c r="E31" s="25">
        <f t="shared" si="3"/>
        <v>0</v>
      </c>
      <c r="F31" s="714">
        <f t="shared" si="8"/>
        <v>0</v>
      </c>
      <c r="G31" s="714">
        <f t="shared" si="8"/>
        <v>0</v>
      </c>
      <c r="H31" s="714">
        <f t="shared" si="8"/>
        <v>0</v>
      </c>
      <c r="I31" s="714">
        <f t="shared" si="8"/>
        <v>0</v>
      </c>
      <c r="J31" s="25">
        <f t="shared" si="1"/>
        <v>0</v>
      </c>
      <c r="K31" s="257">
        <v>100</v>
      </c>
      <c r="L31" s="714">
        <f t="shared" si="7"/>
        <v>0</v>
      </c>
      <c r="M31" s="629">
        <v>8000</v>
      </c>
      <c r="N31" s="728"/>
      <c r="O31" s="490"/>
      <c r="P31" s="729">
        <f t="shared" si="2"/>
        <v>41696</v>
      </c>
      <c r="Q31" s="771"/>
      <c r="R31" s="757"/>
      <c r="S31" s="8">
        <f t="shared" si="4"/>
        <v>0</v>
      </c>
      <c r="T31" s="490"/>
      <c r="U31" s="731"/>
      <c r="V31" s="757"/>
      <c r="W31" s="757"/>
      <c r="X31" s="8"/>
    </row>
    <row r="32" spans="1:24">
      <c r="A32" s="713">
        <f t="shared" si="6"/>
        <v>27</v>
      </c>
      <c r="B32" s="296" t="s">
        <v>452</v>
      </c>
      <c r="C32" s="833">
        <v>41698</v>
      </c>
      <c r="D32" s="734" t="s">
        <v>463</v>
      </c>
      <c r="E32" s="25">
        <f t="shared" si="3"/>
        <v>0</v>
      </c>
      <c r="F32" s="714">
        <f t="shared" si="8"/>
        <v>0</v>
      </c>
      <c r="G32" s="714">
        <f t="shared" si="8"/>
        <v>0</v>
      </c>
      <c r="H32" s="714">
        <f t="shared" si="8"/>
        <v>0</v>
      </c>
      <c r="I32" s="714">
        <f t="shared" si="8"/>
        <v>0</v>
      </c>
      <c r="J32" s="25">
        <f t="shared" si="1"/>
        <v>0</v>
      </c>
      <c r="K32" s="257">
        <v>500</v>
      </c>
      <c r="L32" s="714">
        <f t="shared" si="7"/>
        <v>0</v>
      </c>
      <c r="M32" s="629">
        <v>5700</v>
      </c>
      <c r="N32" s="728"/>
      <c r="O32" s="490"/>
      <c r="P32" s="729">
        <f t="shared" si="2"/>
        <v>41696</v>
      </c>
      <c r="Q32" s="771"/>
      <c r="R32" s="757"/>
      <c r="S32" s="8">
        <f t="shared" si="4"/>
        <v>0</v>
      </c>
      <c r="T32" s="490"/>
      <c r="U32" s="731"/>
      <c r="V32" s="757"/>
      <c r="W32" s="757"/>
      <c r="X32" s="8"/>
    </row>
    <row r="33" spans="1:24">
      <c r="A33" s="713">
        <f t="shared" si="6"/>
        <v>28</v>
      </c>
      <c r="B33" s="296" t="s">
        <v>465</v>
      </c>
      <c r="C33" s="833">
        <v>41702</v>
      </c>
      <c r="D33" s="734" t="s">
        <v>466</v>
      </c>
      <c r="E33" s="25">
        <f t="shared" si="3"/>
        <v>0</v>
      </c>
      <c r="F33" s="714">
        <f t="shared" si="8"/>
        <v>0</v>
      </c>
      <c r="G33" s="714">
        <f t="shared" si="8"/>
        <v>0</v>
      </c>
      <c r="H33" s="714">
        <f t="shared" si="8"/>
        <v>0</v>
      </c>
      <c r="I33" s="714">
        <f t="shared" si="8"/>
        <v>0</v>
      </c>
      <c r="J33" s="25">
        <f t="shared" si="1"/>
        <v>0</v>
      </c>
      <c r="K33" s="257">
        <v>1115</v>
      </c>
      <c r="L33" s="714">
        <f t="shared" si="7"/>
        <v>0</v>
      </c>
      <c r="M33" s="629">
        <v>8740</v>
      </c>
      <c r="N33" s="728"/>
      <c r="O33" s="490"/>
      <c r="P33" s="729">
        <f t="shared" si="2"/>
        <v>41700</v>
      </c>
      <c r="Q33" s="771"/>
      <c r="R33" s="757"/>
      <c r="S33" s="8">
        <f t="shared" si="4"/>
        <v>0</v>
      </c>
      <c r="T33" s="490"/>
      <c r="U33" s="731"/>
      <c r="V33" s="757"/>
      <c r="W33" s="757"/>
      <c r="X33" s="8"/>
    </row>
    <row r="34" spans="1:24">
      <c r="A34" s="713">
        <f t="shared" si="6"/>
        <v>29</v>
      </c>
      <c r="B34" s="296" t="s">
        <v>429</v>
      </c>
      <c r="C34" s="833">
        <v>41704</v>
      </c>
      <c r="D34" s="734" t="s">
        <v>468</v>
      </c>
      <c r="E34" s="25">
        <f t="shared" si="3"/>
        <v>0</v>
      </c>
      <c r="F34" s="714">
        <f t="shared" si="8"/>
        <v>0</v>
      </c>
      <c r="G34" s="714">
        <f t="shared" si="8"/>
        <v>0</v>
      </c>
      <c r="H34" s="714">
        <f t="shared" si="8"/>
        <v>0</v>
      </c>
      <c r="I34" s="714">
        <f t="shared" si="8"/>
        <v>0</v>
      </c>
      <c r="J34" s="25">
        <f t="shared" si="1"/>
        <v>0</v>
      </c>
      <c r="K34" s="257">
        <v>505</v>
      </c>
      <c r="L34" s="714">
        <f t="shared" si="7"/>
        <v>0</v>
      </c>
      <c r="M34" s="629">
        <v>10500</v>
      </c>
      <c r="N34" s="728"/>
      <c r="O34" s="490"/>
      <c r="P34" s="729">
        <f t="shared" si="2"/>
        <v>41702</v>
      </c>
      <c r="Q34" s="771"/>
      <c r="R34" s="757"/>
      <c r="S34" s="8">
        <f t="shared" si="4"/>
        <v>0</v>
      </c>
      <c r="T34" s="490"/>
      <c r="U34" s="731"/>
      <c r="V34" s="757"/>
      <c r="W34" s="757"/>
      <c r="X34" s="8"/>
    </row>
    <row r="35" spans="1:24">
      <c r="A35" s="713">
        <f t="shared" si="6"/>
        <v>30</v>
      </c>
      <c r="B35" s="296" t="s">
        <v>469</v>
      </c>
      <c r="C35" s="833">
        <v>41704</v>
      </c>
      <c r="D35" s="734" t="s">
        <v>468</v>
      </c>
      <c r="E35" s="25">
        <f t="shared" si="3"/>
        <v>0</v>
      </c>
      <c r="F35" s="714">
        <f t="shared" si="8"/>
        <v>0</v>
      </c>
      <c r="G35" s="714">
        <f t="shared" si="8"/>
        <v>0</v>
      </c>
      <c r="H35" s="714">
        <f t="shared" si="8"/>
        <v>0</v>
      </c>
      <c r="I35" s="714">
        <f t="shared" si="8"/>
        <v>0</v>
      </c>
      <c r="J35" s="25">
        <f t="shared" si="1"/>
        <v>0</v>
      </c>
      <c r="K35" s="257">
        <v>520</v>
      </c>
      <c r="L35" s="714">
        <f t="shared" si="7"/>
        <v>0</v>
      </c>
      <c r="M35" s="629">
        <v>12500</v>
      </c>
      <c r="N35" s="728"/>
      <c r="O35" s="490"/>
      <c r="P35" s="729">
        <f t="shared" si="2"/>
        <v>41702</v>
      </c>
      <c r="Q35" s="771"/>
      <c r="R35" s="757"/>
      <c r="S35" s="8">
        <f t="shared" si="4"/>
        <v>0</v>
      </c>
      <c r="T35" s="490"/>
      <c r="U35" s="731"/>
      <c r="V35" s="757"/>
      <c r="W35" s="757"/>
      <c r="X35" s="8"/>
    </row>
    <row r="36" spans="1:24">
      <c r="A36" s="713">
        <f t="shared" si="6"/>
        <v>31</v>
      </c>
      <c r="B36" s="296" t="s">
        <v>452</v>
      </c>
      <c r="C36" s="833">
        <v>41704</v>
      </c>
      <c r="D36" s="734" t="s">
        <v>470</v>
      </c>
      <c r="E36" s="25">
        <f t="shared" si="3"/>
        <v>0</v>
      </c>
      <c r="F36" s="714">
        <f t="shared" si="8"/>
        <v>0</v>
      </c>
      <c r="G36" s="714">
        <f t="shared" si="8"/>
        <v>0</v>
      </c>
      <c r="H36" s="714">
        <f t="shared" si="8"/>
        <v>0</v>
      </c>
      <c r="I36" s="714">
        <f t="shared" si="8"/>
        <v>0</v>
      </c>
      <c r="J36" s="25">
        <f t="shared" si="1"/>
        <v>0</v>
      </c>
      <c r="K36" s="257">
        <v>1139</v>
      </c>
      <c r="L36" s="714">
        <f t="shared" si="7"/>
        <v>0</v>
      </c>
      <c r="M36" s="629">
        <v>4829</v>
      </c>
      <c r="N36" s="728"/>
      <c r="O36" s="490"/>
      <c r="P36" s="729">
        <f t="shared" si="2"/>
        <v>41702</v>
      </c>
      <c r="Q36" s="771"/>
      <c r="R36" s="757"/>
      <c r="S36" s="8">
        <f t="shared" si="4"/>
        <v>0</v>
      </c>
      <c r="T36" s="490"/>
      <c r="U36" s="731"/>
      <c r="V36" s="757"/>
      <c r="W36" s="757"/>
      <c r="X36" s="8"/>
    </row>
    <row r="37" spans="1:24">
      <c r="A37" s="713">
        <f t="shared" si="6"/>
        <v>32</v>
      </c>
      <c r="B37" s="296" t="s">
        <v>472</v>
      </c>
      <c r="C37" s="833">
        <v>41710</v>
      </c>
      <c r="D37" s="734" t="s">
        <v>473</v>
      </c>
      <c r="E37" s="25">
        <f t="shared" si="3"/>
        <v>0</v>
      </c>
      <c r="F37" s="714">
        <f t="shared" si="8"/>
        <v>0</v>
      </c>
      <c r="G37" s="714">
        <f t="shared" si="8"/>
        <v>0</v>
      </c>
      <c r="H37" s="714">
        <f t="shared" si="8"/>
        <v>0</v>
      </c>
      <c r="I37" s="714">
        <f t="shared" si="8"/>
        <v>0</v>
      </c>
      <c r="J37" s="25">
        <f t="shared" si="1"/>
        <v>0</v>
      </c>
      <c r="K37" s="257">
        <v>1638</v>
      </c>
      <c r="L37" s="714">
        <f t="shared" si="7"/>
        <v>0</v>
      </c>
      <c r="M37" s="629">
        <v>4650</v>
      </c>
      <c r="N37" s="728"/>
      <c r="O37" s="490"/>
      <c r="P37" s="729">
        <f t="shared" si="2"/>
        <v>41708</v>
      </c>
      <c r="Q37" s="771"/>
      <c r="R37" s="757"/>
      <c r="S37" s="8">
        <f t="shared" si="4"/>
        <v>0</v>
      </c>
      <c r="T37" s="490"/>
      <c r="U37" s="731"/>
      <c r="V37" s="757"/>
      <c r="W37" s="757"/>
      <c r="X37" s="8"/>
    </row>
    <row r="38" spans="1:24">
      <c r="A38" s="713">
        <f t="shared" si="6"/>
        <v>33</v>
      </c>
      <c r="B38" s="296" t="s">
        <v>452</v>
      </c>
      <c r="C38" s="833">
        <v>41718</v>
      </c>
      <c r="D38" s="734" t="s">
        <v>474</v>
      </c>
      <c r="E38" s="25">
        <f t="shared" si="3"/>
        <v>0</v>
      </c>
      <c r="F38" s="714">
        <f t="shared" si="8"/>
        <v>0</v>
      </c>
      <c r="G38" s="714">
        <f t="shared" si="8"/>
        <v>0</v>
      </c>
      <c r="H38" s="714">
        <f t="shared" si="8"/>
        <v>0</v>
      </c>
      <c r="I38" s="714">
        <f t="shared" si="8"/>
        <v>0</v>
      </c>
      <c r="J38" s="25">
        <f t="shared" si="1"/>
        <v>0</v>
      </c>
      <c r="K38" s="257">
        <v>110</v>
      </c>
      <c r="L38" s="714">
        <f t="shared" si="7"/>
        <v>0</v>
      </c>
      <c r="M38" s="629">
        <v>4420</v>
      </c>
      <c r="N38" s="728"/>
      <c r="O38" s="490"/>
      <c r="P38" s="729">
        <f t="shared" si="2"/>
        <v>41716</v>
      </c>
      <c r="Q38" s="771"/>
      <c r="R38" s="757"/>
      <c r="S38" s="8">
        <f t="shared" si="4"/>
        <v>0</v>
      </c>
      <c r="T38" s="490"/>
      <c r="U38" s="731"/>
      <c r="V38" s="757"/>
      <c r="W38" s="757"/>
      <c r="X38" s="8"/>
    </row>
    <row r="39" spans="1:24">
      <c r="A39" s="713">
        <f t="shared" si="6"/>
        <v>34</v>
      </c>
      <c r="B39" s="296" t="s">
        <v>476</v>
      </c>
      <c r="C39" s="833">
        <v>41718</v>
      </c>
      <c r="D39" s="734" t="s">
        <v>474</v>
      </c>
      <c r="E39" s="25">
        <f t="shared" si="3"/>
        <v>0</v>
      </c>
      <c r="F39" s="714">
        <f t="shared" si="8"/>
        <v>0</v>
      </c>
      <c r="G39" s="714">
        <f t="shared" si="8"/>
        <v>0</v>
      </c>
      <c r="H39" s="714">
        <f t="shared" si="8"/>
        <v>0</v>
      </c>
      <c r="I39" s="714">
        <f t="shared" si="8"/>
        <v>0</v>
      </c>
      <c r="J39" s="25">
        <f t="shared" si="1"/>
        <v>0</v>
      </c>
      <c r="K39" s="257">
        <v>880</v>
      </c>
      <c r="L39" s="714">
        <f t="shared" si="7"/>
        <v>0</v>
      </c>
      <c r="M39" s="629">
        <v>5720</v>
      </c>
      <c r="N39" s="728"/>
      <c r="O39" s="490"/>
      <c r="P39" s="729">
        <f t="shared" si="2"/>
        <v>41716</v>
      </c>
      <c r="Q39" s="771"/>
      <c r="R39" s="757"/>
      <c r="S39" s="8">
        <f t="shared" si="4"/>
        <v>0</v>
      </c>
      <c r="T39" s="490"/>
      <c r="U39" s="731"/>
      <c r="V39" s="757"/>
      <c r="W39" s="757"/>
      <c r="X39" s="8"/>
    </row>
    <row r="40" spans="1:24">
      <c r="A40" s="713">
        <f t="shared" si="6"/>
        <v>35</v>
      </c>
      <c r="B40" s="296" t="s">
        <v>452</v>
      </c>
      <c r="C40" s="833">
        <v>41720</v>
      </c>
      <c r="D40" s="734" t="s">
        <v>477</v>
      </c>
      <c r="E40" s="25">
        <f t="shared" si="3"/>
        <v>0</v>
      </c>
      <c r="F40" s="714">
        <f t="shared" si="8"/>
        <v>0</v>
      </c>
      <c r="G40" s="714">
        <f t="shared" si="8"/>
        <v>0</v>
      </c>
      <c r="H40" s="714">
        <f t="shared" si="8"/>
        <v>0</v>
      </c>
      <c r="I40" s="714">
        <f t="shared" si="8"/>
        <v>0</v>
      </c>
      <c r="J40" s="25">
        <f t="shared" si="1"/>
        <v>0</v>
      </c>
      <c r="K40" s="257">
        <v>214</v>
      </c>
      <c r="L40" s="714">
        <f t="shared" si="7"/>
        <v>0</v>
      </c>
      <c r="M40" s="629">
        <v>19000</v>
      </c>
      <c r="N40" s="728"/>
      <c r="O40" s="490"/>
      <c r="P40" s="729">
        <f t="shared" si="2"/>
        <v>41718</v>
      </c>
      <c r="Q40" s="771"/>
      <c r="R40" s="757"/>
      <c r="S40" s="8">
        <f t="shared" si="4"/>
        <v>0</v>
      </c>
      <c r="T40" s="490"/>
      <c r="U40" s="731"/>
      <c r="V40" s="757"/>
      <c r="W40" s="757"/>
      <c r="X40" s="8"/>
    </row>
    <row r="41" spans="1:24">
      <c r="A41" s="713">
        <f t="shared" si="6"/>
        <v>36</v>
      </c>
      <c r="B41" s="296" t="s">
        <v>479</v>
      </c>
      <c r="C41" s="833">
        <v>41724</v>
      </c>
      <c r="D41" s="734" t="s">
        <v>480</v>
      </c>
      <c r="E41" s="25">
        <f t="shared" si="3"/>
        <v>0</v>
      </c>
      <c r="F41" s="714">
        <f t="shared" si="8"/>
        <v>0</v>
      </c>
      <c r="G41" s="714">
        <f t="shared" si="8"/>
        <v>0</v>
      </c>
      <c r="H41" s="714">
        <f t="shared" si="8"/>
        <v>0</v>
      </c>
      <c r="I41" s="714">
        <f t="shared" si="8"/>
        <v>0</v>
      </c>
      <c r="J41" s="25">
        <f t="shared" si="1"/>
        <v>0</v>
      </c>
      <c r="K41" s="257">
        <v>1029</v>
      </c>
      <c r="L41" s="714">
        <f t="shared" si="7"/>
        <v>0</v>
      </c>
      <c r="M41" s="629">
        <v>12000</v>
      </c>
      <c r="N41" s="728"/>
      <c r="O41" s="490"/>
      <c r="P41" s="729">
        <f t="shared" si="2"/>
        <v>41722</v>
      </c>
      <c r="Q41" s="771"/>
      <c r="R41" s="757"/>
      <c r="S41" s="8">
        <f t="shared" si="4"/>
        <v>0</v>
      </c>
      <c r="T41" s="490"/>
      <c r="U41" s="731"/>
      <c r="V41" s="757"/>
      <c r="W41" s="757"/>
      <c r="X41" s="8"/>
    </row>
    <row r="42" spans="1:24">
      <c r="A42" s="713">
        <f t="shared" si="6"/>
        <v>37</v>
      </c>
      <c r="B42" s="296" t="s">
        <v>481</v>
      </c>
      <c r="C42" s="833">
        <v>41728</v>
      </c>
      <c r="D42" s="734" t="s">
        <v>482</v>
      </c>
      <c r="E42" s="25">
        <f t="shared" si="3"/>
        <v>0</v>
      </c>
      <c r="F42" s="714">
        <f t="shared" si="8"/>
        <v>0</v>
      </c>
      <c r="G42" s="714">
        <f t="shared" si="8"/>
        <v>0</v>
      </c>
      <c r="H42" s="714">
        <f t="shared" si="8"/>
        <v>0</v>
      </c>
      <c r="I42" s="714">
        <f t="shared" si="8"/>
        <v>0</v>
      </c>
      <c r="J42" s="25">
        <f t="shared" si="1"/>
        <v>0</v>
      </c>
      <c r="K42" s="257">
        <v>400</v>
      </c>
      <c r="L42" s="714">
        <f t="shared" si="7"/>
        <v>0</v>
      </c>
      <c r="M42" s="629">
        <v>1260</v>
      </c>
      <c r="N42" s="728"/>
      <c r="O42" s="490"/>
      <c r="P42" s="729">
        <f t="shared" si="2"/>
        <v>41726</v>
      </c>
      <c r="Q42" s="771"/>
      <c r="R42" s="757"/>
      <c r="S42" s="8">
        <f t="shared" si="4"/>
        <v>0</v>
      </c>
      <c r="T42" s="490"/>
      <c r="U42" s="731"/>
      <c r="V42" s="757"/>
      <c r="W42" s="757"/>
      <c r="X42" s="8"/>
    </row>
    <row r="43" spans="1:24">
      <c r="A43" s="713">
        <f t="shared" si="6"/>
        <v>38</v>
      </c>
      <c r="B43" s="296" t="s">
        <v>484</v>
      </c>
      <c r="C43" s="833">
        <v>41728</v>
      </c>
      <c r="D43" s="734" t="s">
        <v>482</v>
      </c>
      <c r="E43" s="25">
        <f t="shared" si="3"/>
        <v>0</v>
      </c>
      <c r="F43" s="714">
        <f t="shared" si="8"/>
        <v>0</v>
      </c>
      <c r="G43" s="714">
        <f t="shared" si="8"/>
        <v>0</v>
      </c>
      <c r="H43" s="714">
        <f t="shared" si="8"/>
        <v>0</v>
      </c>
      <c r="I43" s="714">
        <f t="shared" si="8"/>
        <v>0</v>
      </c>
      <c r="J43" s="25">
        <f t="shared" si="1"/>
        <v>0</v>
      </c>
      <c r="K43" s="257">
        <v>600</v>
      </c>
      <c r="L43" s="714">
        <f t="shared" si="7"/>
        <v>0</v>
      </c>
      <c r="M43" s="629">
        <v>1300</v>
      </c>
      <c r="N43" s="728"/>
      <c r="O43" s="490"/>
      <c r="P43" s="729">
        <f t="shared" si="2"/>
        <v>41726</v>
      </c>
      <c r="Q43" s="771"/>
      <c r="R43" s="757"/>
      <c r="S43" s="8">
        <f t="shared" si="4"/>
        <v>0</v>
      </c>
      <c r="T43" s="490"/>
      <c r="U43" s="731"/>
      <c r="V43" s="757"/>
      <c r="W43" s="757"/>
      <c r="X43" s="8"/>
    </row>
    <row r="44" spans="1:24">
      <c r="A44" s="713">
        <f t="shared" si="6"/>
        <v>39</v>
      </c>
      <c r="B44" s="296" t="s">
        <v>485</v>
      </c>
      <c r="C44" s="833">
        <v>41728</v>
      </c>
      <c r="D44" s="734" t="s">
        <v>482</v>
      </c>
      <c r="E44" s="25">
        <f t="shared" si="3"/>
        <v>0</v>
      </c>
      <c r="F44" s="714">
        <f t="shared" si="8"/>
        <v>0</v>
      </c>
      <c r="G44" s="714">
        <f t="shared" si="8"/>
        <v>0</v>
      </c>
      <c r="H44" s="714">
        <f t="shared" si="8"/>
        <v>0</v>
      </c>
      <c r="I44" s="714">
        <f t="shared" si="8"/>
        <v>0</v>
      </c>
      <c r="J44" s="25">
        <f t="shared" si="1"/>
        <v>0</v>
      </c>
      <c r="K44" s="257">
        <v>400</v>
      </c>
      <c r="L44" s="714">
        <f t="shared" si="7"/>
        <v>0</v>
      </c>
      <c r="M44" s="629">
        <v>760</v>
      </c>
      <c r="N44" s="728"/>
      <c r="O44" s="490"/>
      <c r="P44" s="729">
        <f t="shared" si="2"/>
        <v>41726</v>
      </c>
      <c r="Q44" s="771"/>
      <c r="R44" s="757"/>
      <c r="S44" s="8">
        <f t="shared" si="4"/>
        <v>0</v>
      </c>
      <c r="T44" s="490"/>
      <c r="U44" s="731"/>
      <c r="V44" s="757"/>
      <c r="W44" s="757"/>
      <c r="X44" s="8"/>
    </row>
    <row r="45" spans="1:24">
      <c r="A45" s="713">
        <f t="shared" si="6"/>
        <v>40</v>
      </c>
      <c r="B45" s="296" t="s">
        <v>486</v>
      </c>
      <c r="C45" s="833">
        <v>41728</v>
      </c>
      <c r="D45" s="734" t="s">
        <v>482</v>
      </c>
      <c r="E45" s="25">
        <f t="shared" si="3"/>
        <v>0</v>
      </c>
      <c r="F45" s="714">
        <f t="shared" si="8"/>
        <v>0</v>
      </c>
      <c r="G45" s="714">
        <f t="shared" si="8"/>
        <v>0</v>
      </c>
      <c r="H45" s="714">
        <f t="shared" si="8"/>
        <v>0</v>
      </c>
      <c r="I45" s="714">
        <f t="shared" si="8"/>
        <v>0</v>
      </c>
      <c r="J45" s="25">
        <f t="shared" si="1"/>
        <v>0</v>
      </c>
      <c r="K45" s="257">
        <v>50</v>
      </c>
      <c r="L45" s="714">
        <f t="shared" si="7"/>
        <v>0</v>
      </c>
      <c r="M45" s="629">
        <v>11000</v>
      </c>
      <c r="N45" s="728"/>
      <c r="O45" s="490"/>
      <c r="P45" s="729">
        <f t="shared" si="2"/>
        <v>41726</v>
      </c>
      <c r="Q45" s="771"/>
      <c r="R45" s="757"/>
      <c r="S45" s="8">
        <f t="shared" si="4"/>
        <v>0</v>
      </c>
      <c r="T45" s="490"/>
      <c r="U45" s="731"/>
      <c r="V45" s="757"/>
      <c r="W45" s="757"/>
      <c r="X45" s="8"/>
    </row>
    <row r="46" spans="1:24">
      <c r="A46" s="713">
        <f t="shared" si="6"/>
        <v>41</v>
      </c>
      <c r="B46" s="296" t="s">
        <v>487</v>
      </c>
      <c r="C46" s="833">
        <v>41728</v>
      </c>
      <c r="D46" s="734" t="s">
        <v>488</v>
      </c>
      <c r="E46" s="25">
        <f t="shared" si="3"/>
        <v>0</v>
      </c>
      <c r="F46" s="714">
        <f t="shared" si="8"/>
        <v>0</v>
      </c>
      <c r="G46" s="714">
        <f t="shared" si="8"/>
        <v>0</v>
      </c>
      <c r="H46" s="714">
        <f t="shared" si="8"/>
        <v>0</v>
      </c>
      <c r="I46" s="714">
        <f t="shared" si="8"/>
        <v>0</v>
      </c>
      <c r="J46" s="25">
        <f t="shared" si="1"/>
        <v>0</v>
      </c>
      <c r="K46" s="257">
        <v>500</v>
      </c>
      <c r="L46" s="714">
        <f t="shared" si="7"/>
        <v>0</v>
      </c>
      <c r="M46" s="629">
        <v>17800</v>
      </c>
      <c r="N46" s="728"/>
      <c r="O46" s="490"/>
      <c r="P46" s="729">
        <f t="shared" si="2"/>
        <v>41726</v>
      </c>
      <c r="Q46" s="771"/>
      <c r="R46" s="757"/>
      <c r="S46" s="8">
        <f t="shared" si="4"/>
        <v>0</v>
      </c>
      <c r="T46" s="490"/>
      <c r="U46" s="731"/>
      <c r="V46" s="757"/>
      <c r="W46" s="757"/>
      <c r="X46" s="8"/>
    </row>
    <row r="47" spans="1:24">
      <c r="A47" s="713">
        <f t="shared" si="6"/>
        <v>42</v>
      </c>
      <c r="B47" s="296" t="s">
        <v>451</v>
      </c>
      <c r="C47" s="833">
        <v>41728</v>
      </c>
      <c r="D47" s="734" t="s">
        <v>488</v>
      </c>
      <c r="E47" s="25">
        <f t="shared" si="3"/>
        <v>0</v>
      </c>
      <c r="F47" s="714">
        <f t="shared" si="8"/>
        <v>0</v>
      </c>
      <c r="G47" s="714">
        <f t="shared" si="8"/>
        <v>0</v>
      </c>
      <c r="H47" s="714">
        <f t="shared" si="8"/>
        <v>0</v>
      </c>
      <c r="I47" s="714">
        <f t="shared" si="8"/>
        <v>0</v>
      </c>
      <c r="J47" s="25">
        <f t="shared" si="1"/>
        <v>0</v>
      </c>
      <c r="K47" s="257">
        <v>1000</v>
      </c>
      <c r="L47" s="714">
        <f t="shared" si="7"/>
        <v>0</v>
      </c>
      <c r="M47" s="629">
        <v>1500</v>
      </c>
      <c r="N47" s="728"/>
      <c r="O47" s="490"/>
      <c r="P47" s="729">
        <f t="shared" si="2"/>
        <v>41726</v>
      </c>
      <c r="Q47" s="771"/>
      <c r="R47" s="757"/>
      <c r="S47" s="8">
        <f t="shared" si="4"/>
        <v>0</v>
      </c>
      <c r="T47" s="490"/>
      <c r="U47" s="731"/>
      <c r="V47" s="757"/>
      <c r="W47" s="757"/>
      <c r="X47" s="8"/>
    </row>
    <row r="48" spans="1:24" s="735" customFormat="1">
      <c r="A48" s="713"/>
      <c r="B48" s="296"/>
      <c r="C48" s="833"/>
      <c r="D48" s="734"/>
      <c r="E48" s="25"/>
      <c r="F48" s="714"/>
      <c r="G48" s="714"/>
      <c r="H48" s="714"/>
      <c r="I48" s="714"/>
      <c r="J48" s="25"/>
      <c r="K48" s="257"/>
      <c r="L48" s="714"/>
      <c r="M48" s="629"/>
      <c r="N48" s="629"/>
      <c r="O48" s="733"/>
      <c r="P48" s="731"/>
      <c r="Q48" s="771"/>
      <c r="R48" s="757"/>
      <c r="S48" s="757"/>
      <c r="T48" s="733"/>
      <c r="U48" s="731"/>
      <c r="V48" s="757"/>
      <c r="W48" s="757"/>
      <c r="X48" s="8"/>
    </row>
    <row r="49" spans="1:25" s="710" customFormat="1">
      <c r="A49" s="715"/>
      <c r="B49" s="716" t="s">
        <v>251</v>
      </c>
      <c r="C49" s="834"/>
      <c r="D49" s="738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4"/>
      <c r="N49" s="724"/>
      <c r="O49" s="736"/>
      <c r="P49" s="737"/>
      <c r="Q49" s="772">
        <f>SUM(Q6:Q48)</f>
        <v>0</v>
      </c>
      <c r="R49" s="47"/>
      <c r="S49" s="47">
        <f>SUM(S6:S48)</f>
        <v>0</v>
      </c>
      <c r="T49" s="736"/>
      <c r="U49" s="737"/>
      <c r="V49" s="749"/>
      <c r="W49" s="27"/>
      <c r="X49" s="47">
        <f>SUM(X6:X48)</f>
        <v>0</v>
      </c>
    </row>
    <row r="50" spans="1:25" s="710" customFormat="1">
      <c r="A50" s="717"/>
      <c r="B50" s="718"/>
      <c r="C50" s="835"/>
      <c r="D50" s="740"/>
      <c r="E50" s="711"/>
      <c r="F50" s="711"/>
      <c r="G50" s="711"/>
      <c r="H50" s="711"/>
      <c r="I50" s="711"/>
      <c r="J50" s="711"/>
      <c r="K50" s="711"/>
      <c r="L50" s="711"/>
      <c r="M50" s="724"/>
      <c r="N50" s="724"/>
      <c r="O50" s="444"/>
      <c r="P50" s="739"/>
      <c r="Q50" s="773"/>
      <c r="R50" s="727"/>
      <c r="S50" s="741"/>
      <c r="T50" s="444"/>
      <c r="U50" s="739"/>
      <c r="V50" s="727"/>
      <c r="W50" s="727"/>
      <c r="X50" s="709"/>
    </row>
    <row r="51" spans="1:25">
      <c r="C51" s="835"/>
      <c r="D51" s="740"/>
      <c r="E51" s="719"/>
      <c r="F51" s="719"/>
      <c r="G51" s="720"/>
      <c r="H51" s="720"/>
      <c r="J51" s="742"/>
      <c r="K51" s="711"/>
      <c r="O51" s="444"/>
      <c r="P51" s="739"/>
      <c r="Q51" s="773"/>
      <c r="R51" s="727"/>
      <c r="S51" s="741"/>
      <c r="T51" s="444"/>
      <c r="U51" s="739"/>
      <c r="V51" s="727"/>
      <c r="W51" s="727"/>
    </row>
    <row r="52" spans="1:25" ht="18" hidden="1" customHeight="1">
      <c r="A52" s="552" t="str">
        <f>TH!$A$1</f>
        <v>Đơn vị: CÔNG TY TNHH SX TM KIM DUNG PHÁT</v>
      </c>
      <c r="B52" s="710"/>
      <c r="C52" s="835"/>
      <c r="D52" s="740"/>
      <c r="E52" s="293"/>
      <c r="F52" s="293"/>
      <c r="G52" s="293"/>
      <c r="H52" s="293"/>
      <c r="I52" s="293"/>
      <c r="J52" s="293"/>
      <c r="K52" s="566"/>
      <c r="L52" s="293"/>
      <c r="M52" s="724"/>
      <c r="N52" s="724"/>
      <c r="O52" s="444"/>
      <c r="P52" s="739"/>
      <c r="Q52" s="773"/>
      <c r="R52" s="727"/>
      <c r="S52" s="741"/>
      <c r="T52" s="444"/>
      <c r="U52" s="739"/>
      <c r="V52" s="727"/>
      <c r="W52" s="727"/>
      <c r="Y52" s="719"/>
    </row>
    <row r="53" spans="1:25" ht="18.75" customHeight="1">
      <c r="A53" s="711" t="s">
        <v>374</v>
      </c>
      <c r="B53" s="711"/>
      <c r="C53" s="835"/>
      <c r="D53" s="740"/>
      <c r="E53" s="711"/>
      <c r="F53" s="711"/>
      <c r="G53" s="711"/>
      <c r="H53" s="711"/>
      <c r="I53" s="711"/>
      <c r="J53" s="711"/>
      <c r="K53" s="711"/>
      <c r="L53" s="711"/>
      <c r="M53" s="724"/>
      <c r="N53" s="724"/>
      <c r="O53" s="444"/>
      <c r="P53" s="739"/>
      <c r="Q53" s="773"/>
      <c r="R53" s="727"/>
      <c r="S53" s="741"/>
      <c r="T53" s="444"/>
      <c r="U53" s="739"/>
      <c r="V53" s="727"/>
      <c r="W53" s="727"/>
    </row>
    <row r="54" spans="1:25" ht="12.75" customHeight="1">
      <c r="A54" s="762"/>
      <c r="B54" s="755"/>
      <c r="C54" s="835"/>
      <c r="D54" s="740"/>
      <c r="E54" s="755"/>
      <c r="F54" s="755"/>
      <c r="G54" s="755"/>
      <c r="H54" s="755"/>
      <c r="I54" s="755"/>
      <c r="J54" s="755"/>
      <c r="K54" s="726"/>
      <c r="L54" s="755"/>
      <c r="M54" s="724"/>
      <c r="N54" s="724"/>
      <c r="O54" s="444"/>
      <c r="P54" s="739"/>
      <c r="Q54" s="773"/>
      <c r="R54" s="727"/>
      <c r="S54" s="741"/>
      <c r="T54" s="444"/>
      <c r="U54" s="739"/>
      <c r="V54" s="727"/>
      <c r="W54" s="727"/>
    </row>
    <row r="55" spans="1:25" s="441" customFormat="1" ht="30.75" customHeight="1">
      <c r="A55" s="777" t="s">
        <v>35</v>
      </c>
      <c r="B55" s="436" t="s">
        <v>242</v>
      </c>
      <c r="C55" s="832"/>
      <c r="D55" s="705"/>
      <c r="E55" s="437" t="s">
        <v>245</v>
      </c>
      <c r="F55" s="437" t="s">
        <v>378</v>
      </c>
      <c r="G55" s="437" t="s">
        <v>246</v>
      </c>
      <c r="H55" s="437" t="s">
        <v>372</v>
      </c>
      <c r="I55" s="438" t="s">
        <v>247</v>
      </c>
      <c r="J55" s="437" t="s">
        <v>248</v>
      </c>
      <c r="K55" s="439" t="s">
        <v>243</v>
      </c>
      <c r="L55" s="437" t="s">
        <v>249</v>
      </c>
      <c r="M55" s="440"/>
      <c r="N55" s="440"/>
      <c r="O55" s="436" t="s">
        <v>242</v>
      </c>
      <c r="P55" s="437" t="s">
        <v>236</v>
      </c>
      <c r="Q55" s="769" t="s">
        <v>201</v>
      </c>
      <c r="R55" s="437" t="s">
        <v>244</v>
      </c>
      <c r="S55" s="437" t="s">
        <v>250</v>
      </c>
      <c r="T55" s="436" t="s">
        <v>242</v>
      </c>
      <c r="U55" s="437" t="s">
        <v>236</v>
      </c>
      <c r="V55" s="437" t="s">
        <v>201</v>
      </c>
      <c r="W55" s="437" t="s">
        <v>244</v>
      </c>
      <c r="X55" s="436" t="s">
        <v>250</v>
      </c>
    </row>
    <row r="56" spans="1:25">
      <c r="A56" s="778">
        <f>IF(B56&lt;&gt;"",ROW()-57,"")</f>
        <v>-1</v>
      </c>
      <c r="B56" s="836" t="s">
        <v>489</v>
      </c>
      <c r="C56" s="729">
        <v>41730</v>
      </c>
      <c r="D56" s="730" t="s">
        <v>490</v>
      </c>
      <c r="E56" s="752">
        <f>S56</f>
        <v>0</v>
      </c>
      <c r="F56" s="752">
        <f t="shared" ref="F56:I75" si="9">IF($K$130&lt;&gt;0,F$130/$K$130*$K56,0)</f>
        <v>0</v>
      </c>
      <c r="G56" s="752">
        <f t="shared" si="9"/>
        <v>0</v>
      </c>
      <c r="H56" s="752">
        <f t="shared" si="9"/>
        <v>0</v>
      </c>
      <c r="I56" s="752">
        <f t="shared" si="9"/>
        <v>0</v>
      </c>
      <c r="J56" s="25">
        <f t="shared" ref="J56:J87" si="10">SUM(E56:I56)</f>
        <v>0</v>
      </c>
      <c r="K56" s="752">
        <v>302</v>
      </c>
      <c r="L56" s="752">
        <f>IF(K56&lt;&gt;"",J56/K56,"")</f>
        <v>0</v>
      </c>
      <c r="M56" s="629">
        <v>12900</v>
      </c>
      <c r="N56" s="629"/>
      <c r="O56" s="189"/>
      <c r="P56" s="729">
        <f t="shared" ref="P56:P87" si="11">C56-2</f>
        <v>41728</v>
      </c>
      <c r="Q56" s="301"/>
      <c r="R56" s="758"/>
      <c r="S56" s="25">
        <f>Q56*R56</f>
        <v>0</v>
      </c>
      <c r="T56" s="442" t="s">
        <v>351</v>
      </c>
      <c r="U56" s="729"/>
      <c r="V56" s="758"/>
      <c r="W56" s="758"/>
      <c r="X56" s="25">
        <f>V56*W56</f>
        <v>0</v>
      </c>
    </row>
    <row r="57" spans="1:25">
      <c r="A57" s="753">
        <f>IF(B57&lt;&gt;"",A56+1,"")</f>
        <v>0</v>
      </c>
      <c r="B57" s="296" t="s">
        <v>491</v>
      </c>
      <c r="C57" s="729">
        <v>41730</v>
      </c>
      <c r="D57" s="730" t="s">
        <v>490</v>
      </c>
      <c r="E57" s="776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29">
        <v>7000</v>
      </c>
      <c r="N57" s="629"/>
      <c r="O57" s="189"/>
      <c r="P57" s="729">
        <f t="shared" si="11"/>
        <v>41728</v>
      </c>
      <c r="Q57" s="301"/>
      <c r="R57" s="758"/>
      <c r="S57" s="25">
        <f t="shared" ref="S57:S120" si="14">Q57*R57</f>
        <v>0</v>
      </c>
      <c r="T57" s="443" t="s">
        <v>330</v>
      </c>
      <c r="U57" s="731"/>
      <c r="V57" s="756"/>
      <c r="W57" s="756"/>
      <c r="X57" s="8">
        <f t="shared" ref="X57:X120" si="15">V57*W57</f>
        <v>0</v>
      </c>
    </row>
    <row r="58" spans="1:25">
      <c r="A58" s="753">
        <f>IF(B58&lt;&gt;"",A57+1,"")</f>
        <v>1</v>
      </c>
      <c r="B58" s="296" t="s">
        <v>492</v>
      </c>
      <c r="C58" s="729">
        <v>41730</v>
      </c>
      <c r="D58" s="730" t="s">
        <v>490</v>
      </c>
      <c r="E58" s="776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29">
        <v>9900</v>
      </c>
      <c r="N58" s="629"/>
      <c r="O58" s="296"/>
      <c r="P58" s="729">
        <f t="shared" si="11"/>
        <v>41728</v>
      </c>
      <c r="Q58" s="774"/>
      <c r="R58" s="256"/>
      <c r="S58" s="8">
        <f t="shared" si="14"/>
        <v>0</v>
      </c>
      <c r="T58" s="443" t="s">
        <v>357</v>
      </c>
      <c r="U58" s="731"/>
      <c r="V58" s="756"/>
      <c r="W58" s="756"/>
      <c r="X58" s="8">
        <f t="shared" si="15"/>
        <v>0</v>
      </c>
    </row>
    <row r="59" spans="1:25">
      <c r="A59" s="753">
        <f t="shared" ref="A59:A90" si="16">IF(B59&lt;&gt;"",A58+1,"")</f>
        <v>2</v>
      </c>
      <c r="B59" s="296" t="s">
        <v>493</v>
      </c>
      <c r="C59" s="729">
        <v>41730</v>
      </c>
      <c r="D59" s="730" t="s">
        <v>490</v>
      </c>
      <c r="E59" s="776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29">
        <v>6400</v>
      </c>
      <c r="N59" s="629"/>
      <c r="O59" s="189"/>
      <c r="P59" s="729">
        <f t="shared" si="11"/>
        <v>41728</v>
      </c>
      <c r="Q59" s="301"/>
      <c r="R59" s="258"/>
      <c r="S59" s="8">
        <f t="shared" si="14"/>
        <v>0</v>
      </c>
      <c r="T59" s="443"/>
      <c r="U59" s="731"/>
      <c r="V59" s="756"/>
      <c r="W59" s="756"/>
      <c r="X59" s="8">
        <f t="shared" si="15"/>
        <v>0</v>
      </c>
    </row>
    <row r="60" spans="1:25">
      <c r="A60" s="753">
        <f t="shared" si="16"/>
        <v>3</v>
      </c>
      <c r="B60" s="296" t="s">
        <v>494</v>
      </c>
      <c r="C60" s="729">
        <v>41730</v>
      </c>
      <c r="D60" s="730" t="s">
        <v>495</v>
      </c>
      <c r="E60" s="776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29">
        <v>14300</v>
      </c>
      <c r="N60" s="629"/>
      <c r="O60" s="189"/>
      <c r="P60" s="729">
        <f t="shared" si="11"/>
        <v>41728</v>
      </c>
      <c r="Q60" s="774"/>
      <c r="R60" s="258"/>
      <c r="S60" s="8">
        <f t="shared" si="14"/>
        <v>0</v>
      </c>
      <c r="T60" s="443"/>
      <c r="U60" s="731"/>
      <c r="V60" s="756"/>
      <c r="W60" s="756"/>
      <c r="X60" s="8">
        <f t="shared" si="15"/>
        <v>0</v>
      </c>
    </row>
    <row r="61" spans="1:25">
      <c r="A61" s="753">
        <f t="shared" si="16"/>
        <v>4</v>
      </c>
      <c r="B61" s="296" t="s">
        <v>497</v>
      </c>
      <c r="C61" s="729">
        <v>41730</v>
      </c>
      <c r="D61" s="730" t="s">
        <v>495</v>
      </c>
      <c r="E61" s="776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29">
        <v>2300</v>
      </c>
      <c r="N61" s="629"/>
      <c r="O61" s="189"/>
      <c r="P61" s="729">
        <f t="shared" si="11"/>
        <v>41728</v>
      </c>
      <c r="Q61" s="774"/>
      <c r="R61" s="258"/>
      <c r="S61" s="8">
        <f t="shared" si="14"/>
        <v>0</v>
      </c>
      <c r="T61" s="443"/>
      <c r="U61" s="731"/>
      <c r="V61" s="756"/>
      <c r="W61" s="756"/>
      <c r="X61" s="8">
        <f t="shared" si="15"/>
        <v>0</v>
      </c>
    </row>
    <row r="62" spans="1:25">
      <c r="A62" s="753">
        <f t="shared" si="16"/>
        <v>5</v>
      </c>
      <c r="B62" s="296" t="s">
        <v>498</v>
      </c>
      <c r="C62" s="729">
        <v>41733</v>
      </c>
      <c r="D62" s="730" t="s">
        <v>499</v>
      </c>
      <c r="E62" s="776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29">
        <v>8300</v>
      </c>
      <c r="N62" s="629"/>
      <c r="O62" s="189"/>
      <c r="P62" s="729">
        <f t="shared" si="11"/>
        <v>41731</v>
      </c>
      <c r="Q62" s="301"/>
      <c r="R62" s="258"/>
      <c r="S62" s="8">
        <f t="shared" si="14"/>
        <v>0</v>
      </c>
      <c r="T62" s="443"/>
      <c r="U62" s="731"/>
      <c r="V62" s="756"/>
      <c r="W62" s="756"/>
      <c r="X62" s="8">
        <f t="shared" si="15"/>
        <v>0</v>
      </c>
    </row>
    <row r="63" spans="1:25">
      <c r="A63" s="753">
        <f t="shared" si="16"/>
        <v>6</v>
      </c>
      <c r="B63" s="296" t="s">
        <v>500</v>
      </c>
      <c r="C63" s="729">
        <v>41733</v>
      </c>
      <c r="D63" s="730" t="s">
        <v>499</v>
      </c>
      <c r="E63" s="776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29">
        <v>8600</v>
      </c>
      <c r="N63" s="629"/>
      <c r="O63" s="189"/>
      <c r="P63" s="729">
        <f t="shared" si="11"/>
        <v>41731</v>
      </c>
      <c r="Q63" s="774"/>
      <c r="R63" s="258"/>
      <c r="S63" s="8">
        <f t="shared" si="14"/>
        <v>0</v>
      </c>
      <c r="T63" s="443"/>
      <c r="U63" s="731"/>
      <c r="V63" s="756"/>
      <c r="W63" s="756"/>
      <c r="X63" s="8">
        <f t="shared" si="15"/>
        <v>0</v>
      </c>
    </row>
    <row r="64" spans="1:25">
      <c r="A64" s="753">
        <f t="shared" si="16"/>
        <v>7</v>
      </c>
      <c r="B64" s="296" t="s">
        <v>442</v>
      </c>
      <c r="C64" s="729">
        <v>41740</v>
      </c>
      <c r="D64" s="730" t="s">
        <v>501</v>
      </c>
      <c r="E64" s="776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29">
        <v>10500</v>
      </c>
      <c r="N64" s="629"/>
      <c r="O64" s="189"/>
      <c r="P64" s="729">
        <f t="shared" si="11"/>
        <v>41738</v>
      </c>
      <c r="Q64" s="301"/>
      <c r="R64" s="258"/>
      <c r="S64" s="8">
        <f t="shared" si="14"/>
        <v>0</v>
      </c>
      <c r="T64" s="443"/>
      <c r="U64" s="731"/>
      <c r="V64" s="756"/>
      <c r="W64" s="756"/>
      <c r="X64" s="8">
        <f t="shared" si="15"/>
        <v>0</v>
      </c>
    </row>
    <row r="65" spans="1:24">
      <c r="A65" s="753">
        <f t="shared" si="16"/>
        <v>8</v>
      </c>
      <c r="B65" s="296" t="s">
        <v>502</v>
      </c>
      <c r="C65" s="729">
        <v>41740</v>
      </c>
      <c r="D65" s="730" t="s">
        <v>501</v>
      </c>
      <c r="E65" s="776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29">
        <v>8500</v>
      </c>
      <c r="N65" s="629"/>
      <c r="O65" s="189"/>
      <c r="P65" s="729">
        <f t="shared" si="11"/>
        <v>41738</v>
      </c>
      <c r="Q65" s="301"/>
      <c r="R65" s="256"/>
      <c r="S65" s="8">
        <f t="shared" si="14"/>
        <v>0</v>
      </c>
      <c r="T65" s="443"/>
      <c r="U65" s="731"/>
      <c r="V65" s="756"/>
      <c r="W65" s="756"/>
      <c r="X65" s="8">
        <f t="shared" si="15"/>
        <v>0</v>
      </c>
    </row>
    <row r="66" spans="1:24">
      <c r="A66" s="753">
        <f t="shared" si="16"/>
        <v>9</v>
      </c>
      <c r="B66" s="296" t="s">
        <v>503</v>
      </c>
      <c r="C66" s="729">
        <v>41744</v>
      </c>
      <c r="D66" s="730" t="s">
        <v>504</v>
      </c>
      <c r="E66" s="776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29">
        <v>6100</v>
      </c>
      <c r="N66" s="629"/>
      <c r="O66" s="189"/>
      <c r="P66" s="729">
        <f t="shared" si="11"/>
        <v>41742</v>
      </c>
      <c r="Q66" s="301"/>
      <c r="R66" s="258"/>
      <c r="S66" s="8">
        <f t="shared" si="14"/>
        <v>0</v>
      </c>
      <c r="T66" s="443"/>
      <c r="U66" s="731"/>
      <c r="V66" s="756"/>
      <c r="W66" s="756"/>
      <c r="X66" s="8">
        <f t="shared" si="15"/>
        <v>0</v>
      </c>
    </row>
    <row r="67" spans="1:24">
      <c r="A67" s="753">
        <f t="shared" si="16"/>
        <v>10</v>
      </c>
      <c r="B67" s="296" t="s">
        <v>465</v>
      </c>
      <c r="C67" s="729">
        <v>41746</v>
      </c>
      <c r="D67" s="730" t="s">
        <v>505</v>
      </c>
      <c r="E67" s="776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29">
        <v>8740</v>
      </c>
      <c r="N67" s="629"/>
      <c r="O67" s="296"/>
      <c r="P67" s="729">
        <f t="shared" si="11"/>
        <v>41744</v>
      </c>
      <c r="Q67" s="774"/>
      <c r="R67" s="256"/>
      <c r="S67" s="8">
        <f t="shared" si="14"/>
        <v>0</v>
      </c>
      <c r="T67" s="443"/>
      <c r="U67" s="731"/>
      <c r="V67" s="756"/>
      <c r="W67" s="756"/>
      <c r="X67" s="8">
        <f t="shared" si="15"/>
        <v>0</v>
      </c>
    </row>
    <row r="68" spans="1:24">
      <c r="A68" s="753">
        <f t="shared" si="16"/>
        <v>11</v>
      </c>
      <c r="B68" s="296" t="s">
        <v>506</v>
      </c>
      <c r="C68" s="729">
        <v>41746</v>
      </c>
      <c r="D68" s="730" t="s">
        <v>507</v>
      </c>
      <c r="E68" s="776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29">
        <v>5900</v>
      </c>
      <c r="N68" s="629"/>
      <c r="O68" s="296"/>
      <c r="P68" s="729">
        <f t="shared" si="11"/>
        <v>41744</v>
      </c>
      <c r="Q68" s="774"/>
      <c r="R68" s="256"/>
      <c r="S68" s="8">
        <f t="shared" si="14"/>
        <v>0</v>
      </c>
      <c r="T68" s="443"/>
      <c r="U68" s="731"/>
      <c r="V68" s="756"/>
      <c r="W68" s="756"/>
      <c r="X68" s="8">
        <f t="shared" si="15"/>
        <v>0</v>
      </c>
    </row>
    <row r="69" spans="1:24">
      <c r="A69" s="753">
        <f t="shared" si="16"/>
        <v>12</v>
      </c>
      <c r="B69" s="296" t="s">
        <v>509</v>
      </c>
      <c r="C69" s="729">
        <v>41746</v>
      </c>
      <c r="D69" s="730" t="s">
        <v>507</v>
      </c>
      <c r="E69" s="776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29">
        <v>6250</v>
      </c>
      <c r="N69" s="629"/>
      <c r="O69" s="189"/>
      <c r="P69" s="729">
        <f t="shared" si="11"/>
        <v>41744</v>
      </c>
      <c r="Q69" s="301"/>
      <c r="R69" s="256"/>
      <c r="S69" s="8">
        <f t="shared" si="14"/>
        <v>0</v>
      </c>
      <c r="T69" s="443"/>
      <c r="U69" s="731"/>
      <c r="V69" s="756"/>
      <c r="W69" s="756"/>
      <c r="X69" s="8">
        <f t="shared" si="15"/>
        <v>0</v>
      </c>
    </row>
    <row r="70" spans="1:24">
      <c r="A70" s="753">
        <f t="shared" si="16"/>
        <v>13</v>
      </c>
      <c r="B70" s="296" t="s">
        <v>510</v>
      </c>
      <c r="C70" s="729">
        <v>41746</v>
      </c>
      <c r="D70" s="730" t="s">
        <v>507</v>
      </c>
      <c r="E70" s="776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29">
        <v>6550</v>
      </c>
      <c r="N70" s="629"/>
      <c r="O70" s="296"/>
      <c r="P70" s="729">
        <f t="shared" si="11"/>
        <v>41744</v>
      </c>
      <c r="Q70" s="301"/>
      <c r="R70" s="758"/>
      <c r="S70" s="8">
        <f t="shared" si="14"/>
        <v>0</v>
      </c>
      <c r="T70" s="443"/>
      <c r="U70" s="731"/>
      <c r="V70" s="756"/>
      <c r="W70" s="756"/>
      <c r="X70" s="8">
        <f t="shared" si="15"/>
        <v>0</v>
      </c>
    </row>
    <row r="71" spans="1:24">
      <c r="A71" s="753">
        <f t="shared" si="16"/>
        <v>14</v>
      </c>
      <c r="B71" s="296" t="s">
        <v>411</v>
      </c>
      <c r="C71" s="729">
        <v>41746</v>
      </c>
      <c r="D71" s="730" t="s">
        <v>507</v>
      </c>
      <c r="E71" s="776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29">
        <v>6800</v>
      </c>
      <c r="N71" s="629"/>
      <c r="O71" s="189"/>
      <c r="P71" s="729">
        <f t="shared" si="11"/>
        <v>41744</v>
      </c>
      <c r="Q71" s="301"/>
      <c r="R71" s="258"/>
      <c r="S71" s="8">
        <f t="shared" si="14"/>
        <v>0</v>
      </c>
      <c r="T71" s="443"/>
      <c r="U71" s="731"/>
      <c r="V71" s="756"/>
      <c r="W71" s="756"/>
      <c r="X71" s="8">
        <f t="shared" si="15"/>
        <v>0</v>
      </c>
    </row>
    <row r="72" spans="1:24">
      <c r="A72" s="753">
        <f>IF(B72&lt;&gt;"",A71+1,"")</f>
        <v>15</v>
      </c>
      <c r="B72" s="296" t="s">
        <v>423</v>
      </c>
      <c r="C72" s="729">
        <v>41748</v>
      </c>
      <c r="D72" s="730" t="s">
        <v>511</v>
      </c>
      <c r="E72" s="776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29">
        <v>5500</v>
      </c>
      <c r="N72" s="629"/>
      <c r="O72" s="189"/>
      <c r="P72" s="729">
        <f t="shared" si="11"/>
        <v>41746</v>
      </c>
      <c r="Q72" s="301"/>
      <c r="R72" s="258"/>
      <c r="S72" s="8">
        <f t="shared" si="14"/>
        <v>0</v>
      </c>
      <c r="T72" s="443"/>
      <c r="U72" s="731"/>
      <c r="V72" s="756"/>
      <c r="W72" s="756"/>
      <c r="X72" s="8">
        <f t="shared" si="15"/>
        <v>0</v>
      </c>
    </row>
    <row r="73" spans="1:24">
      <c r="A73" s="753">
        <f t="shared" si="16"/>
        <v>16</v>
      </c>
      <c r="B73" s="296" t="s">
        <v>427</v>
      </c>
      <c r="C73" s="729">
        <v>41750</v>
      </c>
      <c r="D73" s="730" t="s">
        <v>512</v>
      </c>
      <c r="E73" s="776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29">
        <v>17300</v>
      </c>
      <c r="N73" s="629"/>
      <c r="O73" s="189"/>
      <c r="P73" s="729">
        <f t="shared" si="11"/>
        <v>41748</v>
      </c>
      <c r="Q73" s="301"/>
      <c r="R73" s="258"/>
      <c r="S73" s="8">
        <f t="shared" si="14"/>
        <v>0</v>
      </c>
      <c r="T73" s="443"/>
      <c r="U73" s="731"/>
      <c r="V73" s="756"/>
      <c r="W73" s="756"/>
      <c r="X73" s="8">
        <f t="shared" si="15"/>
        <v>0</v>
      </c>
    </row>
    <row r="74" spans="1:24">
      <c r="A74" s="753">
        <f t="shared" si="16"/>
        <v>17</v>
      </c>
      <c r="B74" s="296" t="s">
        <v>451</v>
      </c>
      <c r="C74" s="729">
        <v>41750</v>
      </c>
      <c r="D74" s="730" t="s">
        <v>512</v>
      </c>
      <c r="E74" s="776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29">
        <v>1500</v>
      </c>
      <c r="N74" s="629"/>
      <c r="O74" s="189"/>
      <c r="P74" s="729">
        <f t="shared" si="11"/>
        <v>41748</v>
      </c>
      <c r="Q74" s="301"/>
      <c r="R74" s="258"/>
      <c r="S74" s="8">
        <f t="shared" si="14"/>
        <v>0</v>
      </c>
      <c r="T74" s="443"/>
      <c r="U74" s="731"/>
      <c r="V74" s="756"/>
      <c r="W74" s="756"/>
      <c r="X74" s="8">
        <f t="shared" si="15"/>
        <v>0</v>
      </c>
    </row>
    <row r="75" spans="1:24">
      <c r="A75" s="753">
        <f t="shared" si="16"/>
        <v>18</v>
      </c>
      <c r="B75" s="296" t="s">
        <v>429</v>
      </c>
      <c r="C75" s="729">
        <v>41752</v>
      </c>
      <c r="D75" s="730" t="s">
        <v>513</v>
      </c>
      <c r="E75" s="776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29">
        <v>8200</v>
      </c>
      <c r="N75" s="629"/>
      <c r="O75" s="189"/>
      <c r="P75" s="729">
        <f t="shared" si="11"/>
        <v>41750</v>
      </c>
      <c r="Q75" s="301"/>
      <c r="R75" s="256"/>
      <c r="S75" s="8">
        <f t="shared" si="14"/>
        <v>0</v>
      </c>
      <c r="T75" s="443"/>
      <c r="U75" s="731"/>
      <c r="V75" s="756"/>
      <c r="W75" s="756"/>
      <c r="X75" s="8">
        <f t="shared" si="15"/>
        <v>0</v>
      </c>
    </row>
    <row r="76" spans="1:24">
      <c r="A76" s="753">
        <f t="shared" si="16"/>
        <v>19</v>
      </c>
      <c r="B76" s="296" t="s">
        <v>429</v>
      </c>
      <c r="C76" s="729">
        <v>41752</v>
      </c>
      <c r="D76" s="730" t="s">
        <v>513</v>
      </c>
      <c r="E76" s="776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29">
        <v>10200</v>
      </c>
      <c r="N76" s="629"/>
      <c r="O76" s="189"/>
      <c r="P76" s="729">
        <f t="shared" si="11"/>
        <v>41750</v>
      </c>
      <c r="Q76" s="774"/>
      <c r="R76" s="258"/>
      <c r="S76" s="8">
        <f t="shared" si="14"/>
        <v>0</v>
      </c>
      <c r="T76" s="443"/>
      <c r="U76" s="731"/>
      <c r="V76" s="756"/>
      <c r="W76" s="756"/>
      <c r="X76" s="8">
        <f t="shared" si="15"/>
        <v>0</v>
      </c>
    </row>
    <row r="77" spans="1:24">
      <c r="A77" s="753">
        <f t="shared" si="16"/>
        <v>20</v>
      </c>
      <c r="B77" s="296" t="s">
        <v>514</v>
      </c>
      <c r="C77" s="729">
        <v>41755</v>
      </c>
      <c r="D77" s="730" t="s">
        <v>515</v>
      </c>
      <c r="E77" s="776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29">
        <v>9400</v>
      </c>
      <c r="N77" s="629"/>
      <c r="O77" s="296"/>
      <c r="P77" s="729">
        <f t="shared" si="11"/>
        <v>41753</v>
      </c>
      <c r="Q77" s="301"/>
      <c r="R77" s="258"/>
      <c r="S77" s="8">
        <f t="shared" si="14"/>
        <v>0</v>
      </c>
      <c r="T77" s="443"/>
      <c r="U77" s="731"/>
      <c r="V77" s="756"/>
      <c r="W77" s="756"/>
      <c r="X77" s="8">
        <f t="shared" si="15"/>
        <v>0</v>
      </c>
    </row>
    <row r="78" spans="1:24">
      <c r="A78" s="753">
        <f t="shared" si="16"/>
        <v>21</v>
      </c>
      <c r="B78" s="296" t="s">
        <v>500</v>
      </c>
      <c r="C78" s="729">
        <v>41755</v>
      </c>
      <c r="D78" s="730" t="s">
        <v>515</v>
      </c>
      <c r="E78" s="776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29">
        <v>8600</v>
      </c>
      <c r="N78" s="629"/>
      <c r="O78" s="189"/>
      <c r="P78" s="729">
        <f t="shared" si="11"/>
        <v>41753</v>
      </c>
      <c r="Q78" s="301"/>
      <c r="R78" s="258"/>
      <c r="S78" s="8">
        <f t="shared" si="14"/>
        <v>0</v>
      </c>
      <c r="T78" s="443"/>
      <c r="U78" s="731"/>
      <c r="V78" s="756"/>
      <c r="W78" s="756"/>
      <c r="X78" s="8">
        <f t="shared" si="15"/>
        <v>0</v>
      </c>
    </row>
    <row r="79" spans="1:24">
      <c r="A79" s="753">
        <f t="shared" si="16"/>
        <v>22</v>
      </c>
      <c r="B79" s="296" t="s">
        <v>427</v>
      </c>
      <c r="C79" s="729">
        <v>41762</v>
      </c>
      <c r="D79" s="730" t="s">
        <v>516</v>
      </c>
      <c r="E79" s="776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29">
        <v>17300</v>
      </c>
      <c r="N79" s="629"/>
      <c r="O79" s="189"/>
      <c r="P79" s="729">
        <f t="shared" si="11"/>
        <v>41760</v>
      </c>
      <c r="Q79" s="301"/>
      <c r="R79" s="258"/>
      <c r="S79" s="8">
        <f t="shared" si="14"/>
        <v>0</v>
      </c>
      <c r="T79" s="443"/>
      <c r="U79" s="731"/>
      <c r="V79" s="756"/>
      <c r="W79" s="756"/>
      <c r="X79" s="8">
        <f t="shared" si="15"/>
        <v>0</v>
      </c>
    </row>
    <row r="80" spans="1:24">
      <c r="A80" s="753">
        <f t="shared" si="16"/>
        <v>23</v>
      </c>
      <c r="B80" s="296" t="s">
        <v>451</v>
      </c>
      <c r="C80" s="729">
        <v>41762</v>
      </c>
      <c r="D80" s="730" t="s">
        <v>516</v>
      </c>
      <c r="E80" s="776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29">
        <v>1500</v>
      </c>
      <c r="N80" s="629"/>
      <c r="O80" s="189"/>
      <c r="P80" s="729">
        <f t="shared" si="11"/>
        <v>41760</v>
      </c>
      <c r="Q80" s="774"/>
      <c r="R80" s="258"/>
      <c r="S80" s="8">
        <f t="shared" si="14"/>
        <v>0</v>
      </c>
      <c r="T80" s="443"/>
      <c r="U80" s="731"/>
      <c r="V80" s="756"/>
      <c r="W80" s="756"/>
      <c r="X80" s="8">
        <f t="shared" si="15"/>
        <v>0</v>
      </c>
    </row>
    <row r="81" spans="1:24">
      <c r="A81" s="753">
        <f t="shared" si="16"/>
        <v>24</v>
      </c>
      <c r="B81" s="296" t="s">
        <v>500</v>
      </c>
      <c r="C81" s="729">
        <v>41765</v>
      </c>
      <c r="D81" s="730" t="s">
        <v>517</v>
      </c>
      <c r="E81" s="776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29">
        <v>8600</v>
      </c>
      <c r="N81" s="629"/>
      <c r="O81" s="189"/>
      <c r="P81" s="729">
        <f t="shared" si="11"/>
        <v>41763</v>
      </c>
      <c r="Q81" s="774"/>
      <c r="R81" s="258"/>
      <c r="S81" s="8">
        <f t="shared" si="14"/>
        <v>0</v>
      </c>
      <c r="T81" s="443"/>
      <c r="U81" s="731"/>
      <c r="V81" s="756"/>
      <c r="W81" s="756"/>
      <c r="X81" s="8">
        <f t="shared" si="15"/>
        <v>0</v>
      </c>
    </row>
    <row r="82" spans="1:24">
      <c r="A82" s="753">
        <f t="shared" si="16"/>
        <v>25</v>
      </c>
      <c r="B82" s="296" t="s">
        <v>518</v>
      </c>
      <c r="C82" s="729">
        <v>41765</v>
      </c>
      <c r="D82" s="730" t="s">
        <v>517</v>
      </c>
      <c r="E82" s="776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29">
        <v>7000</v>
      </c>
      <c r="N82" s="629"/>
      <c r="O82" s="189"/>
      <c r="P82" s="729">
        <f t="shared" si="11"/>
        <v>41763</v>
      </c>
      <c r="Q82" s="774"/>
      <c r="R82" s="758"/>
      <c r="S82" s="8">
        <f t="shared" si="14"/>
        <v>0</v>
      </c>
      <c r="T82" s="443"/>
      <c r="U82" s="731"/>
      <c r="V82" s="756"/>
      <c r="W82" s="756"/>
      <c r="X82" s="8">
        <f t="shared" si="15"/>
        <v>0</v>
      </c>
    </row>
    <row r="83" spans="1:24">
      <c r="A83" s="753">
        <f t="shared" si="16"/>
        <v>26</v>
      </c>
      <c r="B83" s="296" t="s">
        <v>452</v>
      </c>
      <c r="C83" s="729">
        <v>41772</v>
      </c>
      <c r="D83" s="730" t="s">
        <v>519</v>
      </c>
      <c r="E83" s="776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29">
        <v>19000</v>
      </c>
      <c r="N83" s="629"/>
      <c r="O83" s="189"/>
      <c r="P83" s="729">
        <f t="shared" si="11"/>
        <v>41770</v>
      </c>
      <c r="Q83" s="301"/>
      <c r="R83" s="258"/>
      <c r="S83" s="8">
        <f t="shared" si="14"/>
        <v>0</v>
      </c>
      <c r="T83" s="443"/>
      <c r="U83" s="731"/>
      <c r="V83" s="756"/>
      <c r="W83" s="756"/>
      <c r="X83" s="8">
        <f t="shared" si="15"/>
        <v>0</v>
      </c>
    </row>
    <row r="84" spans="1:24">
      <c r="A84" s="753">
        <f t="shared" si="16"/>
        <v>27</v>
      </c>
      <c r="B84" s="296" t="s">
        <v>442</v>
      </c>
      <c r="C84" s="729">
        <v>41774</v>
      </c>
      <c r="D84" s="730" t="s">
        <v>520</v>
      </c>
      <c r="E84" s="776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29">
        <v>10500</v>
      </c>
      <c r="N84" s="629"/>
      <c r="O84" s="189"/>
      <c r="P84" s="729">
        <f t="shared" si="11"/>
        <v>41772</v>
      </c>
      <c r="Q84" s="301"/>
      <c r="R84" s="258"/>
      <c r="S84" s="8">
        <f t="shared" si="14"/>
        <v>0</v>
      </c>
      <c r="T84" s="443"/>
      <c r="U84" s="731"/>
      <c r="V84" s="756"/>
      <c r="W84" s="756"/>
      <c r="X84" s="8">
        <f t="shared" si="15"/>
        <v>0</v>
      </c>
    </row>
    <row r="85" spans="1:24">
      <c r="A85" s="753">
        <f t="shared" si="16"/>
        <v>28</v>
      </c>
      <c r="B85" s="296" t="s">
        <v>521</v>
      </c>
      <c r="C85" s="729">
        <v>41774</v>
      </c>
      <c r="D85" s="730" t="s">
        <v>522</v>
      </c>
      <c r="E85" s="776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29">
        <v>12000</v>
      </c>
      <c r="N85" s="629"/>
      <c r="O85" s="296"/>
      <c r="P85" s="729">
        <f t="shared" si="11"/>
        <v>41772</v>
      </c>
      <c r="Q85" s="301"/>
      <c r="R85" s="256"/>
      <c r="S85" s="8">
        <f t="shared" si="14"/>
        <v>0</v>
      </c>
      <c r="T85" s="443"/>
      <c r="U85" s="731"/>
      <c r="V85" s="756"/>
      <c r="W85" s="756"/>
      <c r="X85" s="8">
        <f t="shared" si="15"/>
        <v>0</v>
      </c>
    </row>
    <row r="86" spans="1:24">
      <c r="A86" s="753">
        <f t="shared" si="16"/>
        <v>29</v>
      </c>
      <c r="B86" s="296" t="s">
        <v>523</v>
      </c>
      <c r="C86" s="729">
        <v>41774</v>
      </c>
      <c r="D86" s="730" t="s">
        <v>524</v>
      </c>
      <c r="E86" s="776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29">
        <v>11300</v>
      </c>
      <c r="N86" s="629"/>
      <c r="O86" s="189"/>
      <c r="P86" s="729">
        <f t="shared" si="11"/>
        <v>41772</v>
      </c>
      <c r="Q86" s="301"/>
      <c r="R86" s="256"/>
      <c r="S86" s="8">
        <f t="shared" si="14"/>
        <v>0</v>
      </c>
      <c r="T86" s="443"/>
      <c r="U86" s="731"/>
      <c r="V86" s="756"/>
      <c r="W86" s="756"/>
      <c r="X86" s="8">
        <f t="shared" si="15"/>
        <v>0</v>
      </c>
    </row>
    <row r="87" spans="1:24">
      <c r="A87" s="753">
        <f t="shared" si="16"/>
        <v>30</v>
      </c>
      <c r="B87" s="296" t="s">
        <v>525</v>
      </c>
      <c r="C87" s="729">
        <v>41774</v>
      </c>
      <c r="D87" s="730" t="s">
        <v>524</v>
      </c>
      <c r="E87" s="776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3">
        <v>10500</v>
      </c>
      <c r="N87" s="629"/>
      <c r="O87" s="189"/>
      <c r="P87" s="729">
        <f t="shared" si="11"/>
        <v>41772</v>
      </c>
      <c r="Q87" s="774"/>
      <c r="R87" s="258"/>
      <c r="S87" s="8">
        <f t="shared" si="14"/>
        <v>0</v>
      </c>
      <c r="T87" s="443"/>
      <c r="U87" s="731"/>
      <c r="V87" s="756"/>
      <c r="W87" s="756"/>
      <c r="X87" s="8">
        <f t="shared" si="15"/>
        <v>0</v>
      </c>
    </row>
    <row r="88" spans="1:24">
      <c r="A88" s="753">
        <f>IF(B88&lt;&gt;"",A87+1,"")</f>
        <v>31</v>
      </c>
      <c r="B88" s="296" t="s">
        <v>489</v>
      </c>
      <c r="C88" s="729">
        <v>41778</v>
      </c>
      <c r="D88" s="730" t="s">
        <v>526</v>
      </c>
      <c r="E88" s="776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29">
        <v>12900</v>
      </c>
      <c r="N88" s="629"/>
      <c r="O88" s="296"/>
      <c r="P88" s="729">
        <f t="shared" ref="P88:P119" si="19">C88-2</f>
        <v>41776</v>
      </c>
      <c r="Q88" s="301"/>
      <c r="R88" s="256"/>
      <c r="S88" s="8">
        <f t="shared" si="14"/>
        <v>0</v>
      </c>
      <c r="T88" s="443"/>
      <c r="U88" s="731"/>
      <c r="V88" s="756"/>
      <c r="W88" s="756"/>
      <c r="X88" s="8">
        <f t="shared" si="15"/>
        <v>0</v>
      </c>
    </row>
    <row r="89" spans="1:24">
      <c r="A89" s="753">
        <f t="shared" si="16"/>
        <v>32</v>
      </c>
      <c r="B89" s="296" t="s">
        <v>493</v>
      </c>
      <c r="C89" s="729">
        <v>41778</v>
      </c>
      <c r="D89" s="730" t="s">
        <v>526</v>
      </c>
      <c r="E89" s="776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29">
        <v>6400</v>
      </c>
      <c r="N89" s="629"/>
      <c r="O89" s="296"/>
      <c r="P89" s="729">
        <f t="shared" si="19"/>
        <v>41776</v>
      </c>
      <c r="Q89" s="774"/>
      <c r="R89" s="258"/>
      <c r="S89" s="8">
        <f t="shared" si="14"/>
        <v>0</v>
      </c>
      <c r="T89" s="443"/>
      <c r="U89" s="731"/>
      <c r="V89" s="756"/>
      <c r="W89" s="756"/>
      <c r="X89" s="8">
        <f t="shared" si="15"/>
        <v>0</v>
      </c>
    </row>
    <row r="90" spans="1:24">
      <c r="A90" s="753">
        <f t="shared" si="16"/>
        <v>33</v>
      </c>
      <c r="B90" s="296" t="s">
        <v>492</v>
      </c>
      <c r="C90" s="729">
        <v>41778</v>
      </c>
      <c r="D90" s="730" t="s">
        <v>526</v>
      </c>
      <c r="E90" s="776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3">
        <v>9300</v>
      </c>
      <c r="N90" s="629"/>
      <c r="O90" s="296"/>
      <c r="P90" s="729">
        <f t="shared" si="19"/>
        <v>41776</v>
      </c>
      <c r="Q90" s="774"/>
      <c r="R90" s="258"/>
      <c r="S90" s="8">
        <f t="shared" si="14"/>
        <v>0</v>
      </c>
      <c r="T90" s="443"/>
      <c r="U90" s="731"/>
      <c r="V90" s="756"/>
      <c r="W90" s="756"/>
      <c r="X90" s="8">
        <f t="shared" si="15"/>
        <v>0</v>
      </c>
    </row>
    <row r="91" spans="1:24">
      <c r="A91" s="753">
        <f>IF(B91&lt;&gt;"",A90+1,"")</f>
        <v>34</v>
      </c>
      <c r="B91" s="296" t="s">
        <v>500</v>
      </c>
      <c r="C91" s="729">
        <v>41778</v>
      </c>
      <c r="D91" s="730" t="s">
        <v>526</v>
      </c>
      <c r="E91" s="776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3">
        <v>8500</v>
      </c>
      <c r="N91" s="629"/>
      <c r="O91" s="189"/>
      <c r="P91" s="729">
        <f t="shared" si="19"/>
        <v>41776</v>
      </c>
      <c r="Q91" s="774"/>
      <c r="R91" s="758"/>
      <c r="S91" s="8">
        <f t="shared" si="14"/>
        <v>0</v>
      </c>
      <c r="T91" s="443"/>
      <c r="U91" s="731"/>
      <c r="V91" s="756"/>
      <c r="W91" s="756"/>
      <c r="X91" s="8">
        <f t="shared" si="15"/>
        <v>0</v>
      </c>
    </row>
    <row r="92" spans="1:24">
      <c r="A92" s="753">
        <f>IF(B92&lt;&gt;"",A91+1,"")</f>
        <v>35</v>
      </c>
      <c r="B92" s="296" t="s">
        <v>527</v>
      </c>
      <c r="C92" s="729">
        <v>41779</v>
      </c>
      <c r="D92" s="730" t="s">
        <v>528</v>
      </c>
      <c r="E92" s="776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3">
        <v>4000</v>
      </c>
      <c r="N92" s="629"/>
      <c r="O92" s="189"/>
      <c r="P92" s="729">
        <f t="shared" si="19"/>
        <v>41777</v>
      </c>
      <c r="Q92" s="301"/>
      <c r="R92" s="258"/>
      <c r="S92" s="8">
        <f t="shared" si="14"/>
        <v>0</v>
      </c>
      <c r="T92" s="443"/>
      <c r="U92" s="731"/>
      <c r="V92" s="756"/>
      <c r="W92" s="756"/>
      <c r="X92" s="8">
        <f t="shared" si="15"/>
        <v>0</v>
      </c>
    </row>
    <row r="93" spans="1:24">
      <c r="A93" s="753">
        <f>IF(B93&lt;&gt;"",A92+1,"")</f>
        <v>36</v>
      </c>
      <c r="B93" s="296" t="s">
        <v>529</v>
      </c>
      <c r="C93" s="729">
        <v>41779</v>
      </c>
      <c r="D93" s="730" t="s">
        <v>528</v>
      </c>
      <c r="E93" s="776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29">
        <v>4600</v>
      </c>
      <c r="N93" s="629"/>
      <c r="O93" s="296"/>
      <c r="P93" s="729">
        <f t="shared" si="19"/>
        <v>41777</v>
      </c>
      <c r="Q93" s="301"/>
      <c r="R93" s="256"/>
      <c r="S93" s="8">
        <f t="shared" si="14"/>
        <v>0</v>
      </c>
      <c r="T93" s="443"/>
      <c r="U93" s="731"/>
      <c r="V93" s="756"/>
      <c r="W93" s="756"/>
      <c r="X93" s="8">
        <f t="shared" si="15"/>
        <v>0</v>
      </c>
    </row>
    <row r="94" spans="1:24">
      <c r="A94" s="753">
        <f t="shared" ref="A94:A128" si="20">IF(B94&lt;&gt;"",A93+1,"")</f>
        <v>37</v>
      </c>
      <c r="B94" s="296" t="s">
        <v>530</v>
      </c>
      <c r="C94" s="729">
        <v>41780</v>
      </c>
      <c r="D94" s="730" t="s">
        <v>531</v>
      </c>
      <c r="E94" s="776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29">
        <v>1500</v>
      </c>
      <c r="N94" s="629"/>
      <c r="O94" s="189"/>
      <c r="P94" s="729">
        <f t="shared" si="19"/>
        <v>41778</v>
      </c>
      <c r="Q94" s="301"/>
      <c r="R94" s="256"/>
      <c r="S94" s="8">
        <f t="shared" si="14"/>
        <v>0</v>
      </c>
      <c r="T94" s="443"/>
      <c r="U94" s="731"/>
      <c r="V94" s="756"/>
      <c r="W94" s="756"/>
      <c r="X94" s="8">
        <f t="shared" si="15"/>
        <v>0</v>
      </c>
    </row>
    <row r="95" spans="1:24">
      <c r="A95" s="753">
        <f t="shared" si="20"/>
        <v>38</v>
      </c>
      <c r="B95" s="296" t="s">
        <v>472</v>
      </c>
      <c r="C95" s="729">
        <v>41780</v>
      </c>
      <c r="D95" s="730" t="s">
        <v>532</v>
      </c>
      <c r="E95" s="776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29">
        <v>4650</v>
      </c>
      <c r="N95" s="629"/>
      <c r="O95" s="189"/>
      <c r="P95" s="729">
        <f t="shared" si="19"/>
        <v>41778</v>
      </c>
      <c r="Q95" s="301"/>
      <c r="R95" s="256"/>
      <c r="S95" s="8">
        <f t="shared" si="14"/>
        <v>0</v>
      </c>
      <c r="T95" s="443"/>
      <c r="U95" s="731"/>
      <c r="V95" s="756"/>
      <c r="W95" s="756"/>
      <c r="X95" s="8">
        <f t="shared" si="15"/>
        <v>0</v>
      </c>
    </row>
    <row r="96" spans="1:24">
      <c r="A96" s="753">
        <f t="shared" si="20"/>
        <v>39</v>
      </c>
      <c r="B96" s="296" t="s">
        <v>533</v>
      </c>
      <c r="C96" s="729">
        <v>41781</v>
      </c>
      <c r="D96" s="730" t="s">
        <v>534</v>
      </c>
      <c r="E96" s="776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29">
        <v>17800</v>
      </c>
      <c r="N96" s="629"/>
      <c r="O96" s="189"/>
      <c r="P96" s="729">
        <f t="shared" si="19"/>
        <v>41779</v>
      </c>
      <c r="Q96" s="301"/>
      <c r="R96" s="256"/>
      <c r="S96" s="8">
        <f t="shared" si="14"/>
        <v>0</v>
      </c>
      <c r="T96" s="443"/>
      <c r="U96" s="731"/>
      <c r="V96" s="756"/>
      <c r="W96" s="756"/>
      <c r="X96" s="8">
        <f t="shared" si="15"/>
        <v>0</v>
      </c>
    </row>
    <row r="97" spans="1:24">
      <c r="A97" s="753">
        <f t="shared" si="20"/>
        <v>40</v>
      </c>
      <c r="B97" s="296" t="s">
        <v>469</v>
      </c>
      <c r="C97" s="729">
        <v>41786</v>
      </c>
      <c r="D97" s="730" t="s">
        <v>535</v>
      </c>
      <c r="E97" s="776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29">
        <v>12300</v>
      </c>
      <c r="N97" s="629"/>
      <c r="O97" s="189"/>
      <c r="P97" s="729">
        <f t="shared" si="19"/>
        <v>41784</v>
      </c>
      <c r="Q97" s="301"/>
      <c r="R97" s="256"/>
      <c r="S97" s="8">
        <f t="shared" si="14"/>
        <v>0</v>
      </c>
      <c r="T97" s="443"/>
      <c r="U97" s="731"/>
      <c r="V97" s="756"/>
      <c r="W97" s="756"/>
      <c r="X97" s="8">
        <f t="shared" si="15"/>
        <v>0</v>
      </c>
    </row>
    <row r="98" spans="1:24">
      <c r="A98" s="753">
        <f t="shared" si="20"/>
        <v>41</v>
      </c>
      <c r="B98" s="296" t="s">
        <v>442</v>
      </c>
      <c r="C98" s="729">
        <v>41788</v>
      </c>
      <c r="D98" s="730" t="s">
        <v>536</v>
      </c>
      <c r="E98" s="776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29">
        <v>10500</v>
      </c>
      <c r="N98" s="629"/>
      <c r="O98" s="189"/>
      <c r="P98" s="729">
        <f t="shared" si="19"/>
        <v>41786</v>
      </c>
      <c r="Q98" s="301"/>
      <c r="R98" s="256"/>
      <c r="S98" s="8">
        <f t="shared" si="14"/>
        <v>0</v>
      </c>
      <c r="T98" s="443"/>
      <c r="U98" s="731"/>
      <c r="V98" s="756"/>
      <c r="W98" s="756"/>
      <c r="X98" s="8">
        <f t="shared" si="15"/>
        <v>0</v>
      </c>
    </row>
    <row r="99" spans="1:24">
      <c r="A99" s="753">
        <f t="shared" si="20"/>
        <v>42</v>
      </c>
      <c r="B99" s="296" t="s">
        <v>514</v>
      </c>
      <c r="C99" s="729">
        <v>41788</v>
      </c>
      <c r="D99" s="730" t="s">
        <v>537</v>
      </c>
      <c r="E99" s="776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29">
        <v>9400</v>
      </c>
      <c r="N99" s="629"/>
      <c r="O99" s="189"/>
      <c r="P99" s="729">
        <f t="shared" si="19"/>
        <v>41786</v>
      </c>
      <c r="Q99" s="301"/>
      <c r="R99" s="256"/>
      <c r="S99" s="8">
        <f t="shared" si="14"/>
        <v>0</v>
      </c>
      <c r="T99" s="443"/>
      <c r="U99" s="731"/>
      <c r="V99" s="756"/>
      <c r="W99" s="756"/>
      <c r="X99" s="8">
        <f t="shared" si="15"/>
        <v>0</v>
      </c>
    </row>
    <row r="100" spans="1:24">
      <c r="A100" s="753">
        <f t="shared" si="20"/>
        <v>43</v>
      </c>
      <c r="B100" s="296" t="s">
        <v>538</v>
      </c>
      <c r="C100" s="729">
        <v>41788</v>
      </c>
      <c r="D100" s="730" t="s">
        <v>537</v>
      </c>
      <c r="E100" s="776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29">
        <v>11600</v>
      </c>
      <c r="N100" s="629"/>
      <c r="O100" s="296"/>
      <c r="P100" s="729">
        <f t="shared" si="19"/>
        <v>41786</v>
      </c>
      <c r="Q100" s="301"/>
      <c r="R100" s="258"/>
      <c r="S100" s="8">
        <f t="shared" si="14"/>
        <v>0</v>
      </c>
      <c r="T100" s="443"/>
      <c r="U100" s="731"/>
      <c r="V100" s="756"/>
      <c r="W100" s="756"/>
      <c r="X100" s="8">
        <f t="shared" si="15"/>
        <v>0</v>
      </c>
    </row>
    <row r="101" spans="1:24">
      <c r="A101" s="753">
        <f t="shared" si="20"/>
        <v>44</v>
      </c>
      <c r="B101" s="296" t="s">
        <v>500</v>
      </c>
      <c r="C101" s="729">
        <v>41788</v>
      </c>
      <c r="D101" s="730" t="s">
        <v>537</v>
      </c>
      <c r="E101" s="776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29">
        <v>8600</v>
      </c>
      <c r="N101" s="629"/>
      <c r="O101" s="189"/>
      <c r="P101" s="729">
        <f t="shared" si="19"/>
        <v>41786</v>
      </c>
      <c r="Q101" s="301"/>
      <c r="R101" s="256"/>
      <c r="S101" s="8">
        <f t="shared" si="14"/>
        <v>0</v>
      </c>
      <c r="T101" s="443"/>
      <c r="U101" s="731"/>
      <c r="V101" s="756"/>
      <c r="W101" s="756"/>
      <c r="X101" s="8">
        <f t="shared" si="15"/>
        <v>0</v>
      </c>
    </row>
    <row r="102" spans="1:24">
      <c r="A102" s="753">
        <f t="shared" si="20"/>
        <v>45</v>
      </c>
      <c r="B102" s="296" t="s">
        <v>539</v>
      </c>
      <c r="C102" s="729">
        <v>41788</v>
      </c>
      <c r="D102" s="730" t="s">
        <v>540</v>
      </c>
      <c r="E102" s="776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29">
        <v>8800</v>
      </c>
      <c r="N102" s="629"/>
      <c r="O102" s="296"/>
      <c r="P102" s="729">
        <f t="shared" si="19"/>
        <v>41786</v>
      </c>
      <c r="Q102" s="774"/>
      <c r="R102" s="256"/>
      <c r="S102" s="8">
        <f t="shared" si="14"/>
        <v>0</v>
      </c>
      <c r="T102" s="443"/>
      <c r="U102" s="731"/>
      <c r="V102" s="756"/>
      <c r="W102" s="756"/>
      <c r="X102" s="8">
        <f t="shared" si="15"/>
        <v>0</v>
      </c>
    </row>
    <row r="103" spans="1:24">
      <c r="A103" s="753">
        <f t="shared" si="20"/>
        <v>46</v>
      </c>
      <c r="B103" s="296" t="s">
        <v>423</v>
      </c>
      <c r="C103" s="729">
        <v>41789</v>
      </c>
      <c r="D103" s="730" t="s">
        <v>542</v>
      </c>
      <c r="E103" s="776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29">
        <v>5500</v>
      </c>
      <c r="N103" s="629"/>
      <c r="O103" s="189"/>
      <c r="P103" s="729">
        <f t="shared" si="19"/>
        <v>41787</v>
      </c>
      <c r="Q103" s="301"/>
      <c r="R103" s="258"/>
      <c r="S103" s="8">
        <f t="shared" si="14"/>
        <v>0</v>
      </c>
      <c r="T103" s="443"/>
      <c r="U103" s="731"/>
      <c r="V103" s="756"/>
      <c r="W103" s="756"/>
      <c r="X103" s="8">
        <f t="shared" si="15"/>
        <v>0</v>
      </c>
    </row>
    <row r="104" spans="1:24">
      <c r="A104" s="753">
        <f t="shared" si="20"/>
        <v>47</v>
      </c>
      <c r="B104" s="296" t="s">
        <v>543</v>
      </c>
      <c r="C104" s="729">
        <v>41789</v>
      </c>
      <c r="D104" s="730" t="s">
        <v>544</v>
      </c>
      <c r="E104" s="776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29">
        <v>12150</v>
      </c>
      <c r="N104" s="629"/>
      <c r="O104" s="189"/>
      <c r="P104" s="729">
        <f t="shared" si="19"/>
        <v>41787</v>
      </c>
      <c r="Q104" s="301"/>
      <c r="R104" s="256"/>
      <c r="S104" s="8">
        <f t="shared" si="14"/>
        <v>0</v>
      </c>
      <c r="T104" s="443"/>
      <c r="U104" s="731"/>
      <c r="V104" s="756"/>
      <c r="W104" s="756"/>
      <c r="X104" s="8">
        <f t="shared" si="15"/>
        <v>0</v>
      </c>
    </row>
    <row r="105" spans="1:24">
      <c r="A105" s="753">
        <f t="shared" si="20"/>
        <v>48</v>
      </c>
      <c r="B105" s="296" t="s">
        <v>427</v>
      </c>
      <c r="C105" s="729">
        <v>41792</v>
      </c>
      <c r="D105" s="730" t="s">
        <v>545</v>
      </c>
      <c r="E105" s="776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29">
        <v>17300</v>
      </c>
      <c r="N105" s="629"/>
      <c r="O105" s="189"/>
      <c r="P105" s="729">
        <f t="shared" si="19"/>
        <v>41790</v>
      </c>
      <c r="Q105" s="301"/>
      <c r="R105" s="256"/>
      <c r="S105" s="8">
        <f t="shared" si="14"/>
        <v>0</v>
      </c>
      <c r="T105" s="443"/>
      <c r="U105" s="731"/>
      <c r="V105" s="756"/>
      <c r="W105" s="756"/>
      <c r="X105" s="8">
        <f t="shared" si="15"/>
        <v>0</v>
      </c>
    </row>
    <row r="106" spans="1:24">
      <c r="A106" s="753">
        <f t="shared" si="20"/>
        <v>49</v>
      </c>
      <c r="B106" s="296" t="s">
        <v>546</v>
      </c>
      <c r="C106" s="729">
        <v>41792</v>
      </c>
      <c r="D106" s="730" t="s">
        <v>547</v>
      </c>
      <c r="E106" s="776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29">
        <v>5700</v>
      </c>
      <c r="N106" s="629"/>
      <c r="O106" s="189"/>
      <c r="P106" s="729">
        <f t="shared" si="19"/>
        <v>41790</v>
      </c>
      <c r="Q106" s="301"/>
      <c r="R106" s="758"/>
      <c r="S106" s="8">
        <f t="shared" si="14"/>
        <v>0</v>
      </c>
      <c r="T106" s="443"/>
      <c r="U106" s="731"/>
      <c r="V106" s="756"/>
      <c r="W106" s="756"/>
      <c r="X106" s="8">
        <f t="shared" si="15"/>
        <v>0</v>
      </c>
    </row>
    <row r="107" spans="1:24">
      <c r="A107" s="753">
        <f t="shared" si="20"/>
        <v>50</v>
      </c>
      <c r="B107" s="296" t="s">
        <v>451</v>
      </c>
      <c r="C107" s="729">
        <v>41792</v>
      </c>
      <c r="D107" s="730" t="s">
        <v>548</v>
      </c>
      <c r="E107" s="776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29">
        <v>1500</v>
      </c>
      <c r="N107" s="629"/>
      <c r="O107" s="189"/>
      <c r="P107" s="729">
        <f t="shared" si="19"/>
        <v>41790</v>
      </c>
      <c r="Q107" s="301"/>
      <c r="R107" s="758"/>
      <c r="S107" s="8">
        <f t="shared" si="14"/>
        <v>0</v>
      </c>
      <c r="T107" s="443"/>
      <c r="U107" s="731"/>
      <c r="V107" s="756"/>
      <c r="W107" s="756"/>
      <c r="X107" s="8">
        <f t="shared" si="15"/>
        <v>0</v>
      </c>
    </row>
    <row r="108" spans="1:24">
      <c r="A108" s="753">
        <f t="shared" si="20"/>
        <v>51</v>
      </c>
      <c r="B108" s="296" t="s">
        <v>506</v>
      </c>
      <c r="C108" s="729">
        <v>41794</v>
      </c>
      <c r="D108" s="730" t="s">
        <v>549</v>
      </c>
      <c r="E108" s="776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29">
        <v>5900</v>
      </c>
      <c r="N108" s="629"/>
      <c r="O108" s="189"/>
      <c r="P108" s="729">
        <f t="shared" si="19"/>
        <v>41792</v>
      </c>
      <c r="Q108" s="301"/>
      <c r="R108" s="758"/>
      <c r="S108" s="8">
        <f t="shared" si="14"/>
        <v>0</v>
      </c>
      <c r="T108" s="443"/>
      <c r="U108" s="731"/>
      <c r="V108" s="756"/>
      <c r="W108" s="756"/>
      <c r="X108" s="8">
        <f t="shared" si="15"/>
        <v>0</v>
      </c>
    </row>
    <row r="109" spans="1:24">
      <c r="A109" s="753">
        <f t="shared" si="20"/>
        <v>52</v>
      </c>
      <c r="B109" s="296" t="s">
        <v>509</v>
      </c>
      <c r="C109" s="729">
        <v>41794</v>
      </c>
      <c r="D109" s="730" t="s">
        <v>549</v>
      </c>
      <c r="E109" s="776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29">
        <v>6250</v>
      </c>
      <c r="N109" s="629"/>
      <c r="O109" s="189"/>
      <c r="P109" s="729">
        <f t="shared" si="19"/>
        <v>41792</v>
      </c>
      <c r="Q109" s="301"/>
      <c r="R109" s="256"/>
      <c r="S109" s="8">
        <f t="shared" si="14"/>
        <v>0</v>
      </c>
      <c r="T109" s="443"/>
      <c r="U109" s="731"/>
      <c r="V109" s="756"/>
      <c r="W109" s="756"/>
      <c r="X109" s="8">
        <f t="shared" si="15"/>
        <v>0</v>
      </c>
    </row>
    <row r="110" spans="1:24">
      <c r="A110" s="753">
        <f t="shared" si="20"/>
        <v>53</v>
      </c>
      <c r="B110" s="296" t="s">
        <v>510</v>
      </c>
      <c r="C110" s="729">
        <v>41794</v>
      </c>
      <c r="D110" s="730" t="s">
        <v>549</v>
      </c>
      <c r="E110" s="776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29">
        <v>6550</v>
      </c>
      <c r="N110" s="629"/>
      <c r="O110" s="189"/>
      <c r="P110" s="729">
        <f t="shared" si="19"/>
        <v>41792</v>
      </c>
      <c r="Q110" s="301"/>
      <c r="R110" s="258"/>
      <c r="S110" s="8">
        <f t="shared" si="14"/>
        <v>0</v>
      </c>
      <c r="T110" s="443"/>
      <c r="U110" s="731"/>
      <c r="V110" s="756"/>
      <c r="W110" s="756"/>
      <c r="X110" s="8">
        <f t="shared" si="15"/>
        <v>0</v>
      </c>
    </row>
    <row r="111" spans="1:24">
      <c r="A111" s="753">
        <f t="shared" si="20"/>
        <v>54</v>
      </c>
      <c r="B111" s="296" t="s">
        <v>411</v>
      </c>
      <c r="C111" s="729">
        <v>41794</v>
      </c>
      <c r="D111" s="730" t="s">
        <v>549</v>
      </c>
      <c r="E111" s="776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29">
        <v>6800</v>
      </c>
      <c r="N111" s="629"/>
      <c r="O111" s="189"/>
      <c r="P111" s="729">
        <f t="shared" si="19"/>
        <v>41792</v>
      </c>
      <c r="Q111" s="301"/>
      <c r="R111" s="256"/>
      <c r="S111" s="8">
        <f t="shared" si="14"/>
        <v>0</v>
      </c>
      <c r="T111" s="443"/>
      <c r="U111" s="731"/>
      <c r="V111" s="756"/>
      <c r="W111" s="756"/>
      <c r="X111" s="8">
        <f t="shared" si="15"/>
        <v>0</v>
      </c>
    </row>
    <row r="112" spans="1:24">
      <c r="A112" s="753">
        <f t="shared" si="20"/>
        <v>55</v>
      </c>
      <c r="B112" s="296" t="s">
        <v>550</v>
      </c>
      <c r="C112" s="729">
        <v>41795</v>
      </c>
      <c r="D112" s="730" t="s">
        <v>551</v>
      </c>
      <c r="E112" s="776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29">
        <v>24000</v>
      </c>
      <c r="N112" s="629"/>
      <c r="O112" s="189"/>
      <c r="P112" s="729">
        <f t="shared" si="19"/>
        <v>41793</v>
      </c>
      <c r="Q112" s="301"/>
      <c r="R112" s="256"/>
      <c r="S112" s="8">
        <f t="shared" si="14"/>
        <v>0</v>
      </c>
      <c r="T112" s="443"/>
      <c r="U112" s="731"/>
      <c r="V112" s="756"/>
      <c r="W112" s="756"/>
      <c r="X112" s="8">
        <f t="shared" si="15"/>
        <v>0</v>
      </c>
    </row>
    <row r="113" spans="1:24">
      <c r="A113" s="753">
        <f t="shared" si="20"/>
        <v>56</v>
      </c>
      <c r="B113" s="296" t="s">
        <v>553</v>
      </c>
      <c r="C113" s="729">
        <v>41795</v>
      </c>
      <c r="D113" s="730" t="s">
        <v>551</v>
      </c>
      <c r="E113" s="776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29">
        <v>26000</v>
      </c>
      <c r="N113" s="629"/>
      <c r="O113" s="189"/>
      <c r="P113" s="729">
        <f t="shared" si="19"/>
        <v>41793</v>
      </c>
      <c r="Q113" s="301"/>
      <c r="R113" s="258"/>
      <c r="S113" s="8">
        <f t="shared" si="14"/>
        <v>0</v>
      </c>
      <c r="T113" s="443"/>
      <c r="U113" s="731"/>
      <c r="V113" s="756"/>
      <c r="W113" s="756"/>
      <c r="X113" s="8">
        <f t="shared" si="15"/>
        <v>0</v>
      </c>
    </row>
    <row r="114" spans="1:24">
      <c r="A114" s="753">
        <f t="shared" si="20"/>
        <v>57</v>
      </c>
      <c r="B114" s="296" t="s">
        <v>554</v>
      </c>
      <c r="C114" s="729">
        <v>41795</v>
      </c>
      <c r="D114" s="730" t="s">
        <v>555</v>
      </c>
      <c r="E114" s="776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29">
        <v>9000</v>
      </c>
      <c r="N114" s="629"/>
      <c r="O114" s="189"/>
      <c r="P114" s="729">
        <f t="shared" si="19"/>
        <v>41793</v>
      </c>
      <c r="Q114" s="301"/>
      <c r="R114" s="258"/>
      <c r="S114" s="8">
        <f t="shared" si="14"/>
        <v>0</v>
      </c>
      <c r="T114" s="443"/>
      <c r="U114" s="731"/>
      <c r="V114" s="756"/>
      <c r="W114" s="756"/>
      <c r="X114" s="8">
        <f t="shared" si="15"/>
        <v>0</v>
      </c>
    </row>
    <row r="115" spans="1:24">
      <c r="A115" s="753">
        <f t="shared" si="20"/>
        <v>58</v>
      </c>
      <c r="B115" s="296" t="s">
        <v>557</v>
      </c>
      <c r="C115" s="729">
        <v>41795</v>
      </c>
      <c r="D115" s="730" t="s">
        <v>555</v>
      </c>
      <c r="E115" s="776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29">
        <v>6400</v>
      </c>
      <c r="N115" s="629"/>
      <c r="O115" s="189"/>
      <c r="P115" s="729">
        <f t="shared" si="19"/>
        <v>41793</v>
      </c>
      <c r="Q115" s="301"/>
      <c r="R115" s="258"/>
      <c r="S115" s="8">
        <f t="shared" si="14"/>
        <v>0</v>
      </c>
      <c r="T115" s="443"/>
      <c r="U115" s="731"/>
      <c r="V115" s="756"/>
      <c r="W115" s="756"/>
      <c r="X115" s="8">
        <f t="shared" si="15"/>
        <v>0</v>
      </c>
    </row>
    <row r="116" spans="1:24">
      <c r="A116" s="753">
        <f t="shared" si="20"/>
        <v>59</v>
      </c>
      <c r="B116" s="296" t="s">
        <v>558</v>
      </c>
      <c r="C116" s="729">
        <v>41799</v>
      </c>
      <c r="D116" s="730" t="s">
        <v>559</v>
      </c>
      <c r="E116" s="776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29">
        <v>11500</v>
      </c>
      <c r="N116" s="629"/>
      <c r="O116" s="189"/>
      <c r="P116" s="729">
        <f t="shared" si="19"/>
        <v>41797</v>
      </c>
      <c r="Q116" s="301"/>
      <c r="R116" s="256"/>
      <c r="S116" s="8">
        <f t="shared" si="14"/>
        <v>0</v>
      </c>
      <c r="T116" s="443"/>
      <c r="U116" s="731"/>
      <c r="V116" s="756"/>
      <c r="W116" s="756"/>
      <c r="X116" s="8">
        <f t="shared" si="15"/>
        <v>0</v>
      </c>
    </row>
    <row r="117" spans="1:24">
      <c r="A117" s="753">
        <f t="shared" si="20"/>
        <v>60</v>
      </c>
      <c r="B117" s="296" t="s">
        <v>560</v>
      </c>
      <c r="C117" s="729">
        <v>41806</v>
      </c>
      <c r="D117" s="730" t="s">
        <v>561</v>
      </c>
      <c r="E117" s="776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29">
        <v>25000</v>
      </c>
      <c r="N117" s="629"/>
      <c r="O117" s="189"/>
      <c r="P117" s="729">
        <f t="shared" si="19"/>
        <v>41804</v>
      </c>
      <c r="Q117" s="774"/>
      <c r="R117" s="256"/>
      <c r="S117" s="8">
        <f t="shared" si="14"/>
        <v>0</v>
      </c>
      <c r="T117" s="443"/>
      <c r="U117" s="731"/>
      <c r="V117" s="756"/>
      <c r="W117" s="756"/>
      <c r="X117" s="8">
        <f t="shared" si="15"/>
        <v>0</v>
      </c>
    </row>
    <row r="118" spans="1:24">
      <c r="A118" s="753">
        <f t="shared" si="20"/>
        <v>61</v>
      </c>
      <c r="B118" s="296" t="s">
        <v>558</v>
      </c>
      <c r="C118" s="729">
        <v>41807</v>
      </c>
      <c r="D118" s="730" t="s">
        <v>562</v>
      </c>
      <c r="E118" s="776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29">
        <v>10500</v>
      </c>
      <c r="N118" s="629"/>
      <c r="O118" s="296"/>
      <c r="P118" s="729">
        <f t="shared" si="19"/>
        <v>41805</v>
      </c>
      <c r="Q118" s="301"/>
      <c r="R118" s="258"/>
      <c r="S118" s="8">
        <f t="shared" si="14"/>
        <v>0</v>
      </c>
      <c r="T118" s="443"/>
      <c r="U118" s="731"/>
      <c r="V118" s="756"/>
      <c r="W118" s="756"/>
      <c r="X118" s="8">
        <f t="shared" si="15"/>
        <v>0</v>
      </c>
    </row>
    <row r="119" spans="1:24">
      <c r="A119" s="753">
        <f t="shared" si="20"/>
        <v>62</v>
      </c>
      <c r="B119" s="296" t="s">
        <v>500</v>
      </c>
      <c r="C119" s="729">
        <v>41810</v>
      </c>
      <c r="D119" s="730" t="s">
        <v>563</v>
      </c>
      <c r="E119" s="776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29">
        <v>8600</v>
      </c>
      <c r="N119" s="629"/>
      <c r="O119" s="189"/>
      <c r="P119" s="729">
        <f t="shared" si="19"/>
        <v>41808</v>
      </c>
      <c r="Q119" s="301"/>
      <c r="R119" s="258"/>
      <c r="S119" s="8">
        <f t="shared" si="14"/>
        <v>0</v>
      </c>
      <c r="T119" s="443"/>
      <c r="U119" s="731"/>
      <c r="V119" s="756"/>
      <c r="W119" s="756"/>
      <c r="X119" s="8">
        <f t="shared" si="15"/>
        <v>0</v>
      </c>
    </row>
    <row r="120" spans="1:24">
      <c r="A120" s="753">
        <f t="shared" si="20"/>
        <v>63</v>
      </c>
      <c r="B120" s="296" t="s">
        <v>465</v>
      </c>
      <c r="C120" s="729">
        <v>41813</v>
      </c>
      <c r="D120" s="730" t="s">
        <v>564</v>
      </c>
      <c r="E120" s="776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29">
        <v>8740</v>
      </c>
      <c r="N120" s="629"/>
      <c r="O120" s="296"/>
      <c r="P120" s="729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1"/>
      <c r="V120" s="756"/>
      <c r="W120" s="756"/>
      <c r="X120" s="8">
        <f t="shared" si="15"/>
        <v>0</v>
      </c>
    </row>
    <row r="121" spans="1:24">
      <c r="A121" s="753">
        <f t="shared" si="20"/>
        <v>64</v>
      </c>
      <c r="B121" s="296" t="s">
        <v>565</v>
      </c>
      <c r="C121" s="729">
        <v>41814</v>
      </c>
      <c r="D121" s="730" t="s">
        <v>566</v>
      </c>
      <c r="E121" s="776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29">
        <v>17600</v>
      </c>
      <c r="N121" s="629"/>
      <c r="O121" s="189"/>
      <c r="P121" s="729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1"/>
      <c r="V121" s="756"/>
      <c r="W121" s="756"/>
      <c r="X121" s="8">
        <f t="shared" ref="X121:X128" si="28">V121*W121</f>
        <v>0</v>
      </c>
    </row>
    <row r="122" spans="1:24">
      <c r="A122" s="753">
        <f t="shared" si="20"/>
        <v>65</v>
      </c>
      <c r="B122" s="296" t="s">
        <v>568</v>
      </c>
      <c r="C122" s="729">
        <v>41814</v>
      </c>
      <c r="D122" s="730" t="s">
        <v>566</v>
      </c>
      <c r="E122" s="776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29">
        <v>16500</v>
      </c>
      <c r="N122" s="629"/>
      <c r="O122" s="189"/>
      <c r="P122" s="729">
        <f t="shared" si="24"/>
        <v>41812</v>
      </c>
      <c r="Q122" s="301"/>
      <c r="R122" s="258"/>
      <c r="S122" s="8">
        <f t="shared" si="27"/>
        <v>0</v>
      </c>
      <c r="T122" s="443"/>
      <c r="U122" s="731"/>
      <c r="V122" s="756"/>
      <c r="W122" s="756"/>
      <c r="X122" s="8">
        <f t="shared" si="28"/>
        <v>0</v>
      </c>
    </row>
    <row r="123" spans="1:24">
      <c r="A123" s="753">
        <f t="shared" si="20"/>
        <v>66</v>
      </c>
      <c r="B123" s="296" t="s">
        <v>569</v>
      </c>
      <c r="C123" s="729">
        <v>41815</v>
      </c>
      <c r="D123" s="730" t="s">
        <v>570</v>
      </c>
      <c r="E123" s="776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29">
        <v>12150</v>
      </c>
      <c r="N123" s="629"/>
      <c r="O123" s="189"/>
      <c r="P123" s="729">
        <f t="shared" si="24"/>
        <v>41813</v>
      </c>
      <c r="Q123" s="301"/>
      <c r="R123" s="258"/>
      <c r="S123" s="8">
        <f t="shared" si="27"/>
        <v>0</v>
      </c>
      <c r="T123" s="443"/>
      <c r="U123" s="731"/>
      <c r="V123" s="756"/>
      <c r="W123" s="756"/>
      <c r="X123" s="8">
        <f t="shared" si="28"/>
        <v>0</v>
      </c>
    </row>
    <row r="124" spans="1:24">
      <c r="A124" s="753">
        <f t="shared" si="20"/>
        <v>67</v>
      </c>
      <c r="B124" s="296" t="s">
        <v>423</v>
      </c>
      <c r="C124" s="729">
        <v>41818</v>
      </c>
      <c r="D124" s="730" t="s">
        <v>571</v>
      </c>
      <c r="E124" s="776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29">
        <v>5500</v>
      </c>
      <c r="N124" s="629"/>
      <c r="O124" s="296"/>
      <c r="P124" s="729">
        <f t="shared" si="24"/>
        <v>41816</v>
      </c>
      <c r="Q124" s="301"/>
      <c r="R124" s="258"/>
      <c r="S124" s="8">
        <f t="shared" si="27"/>
        <v>0</v>
      </c>
      <c r="T124" s="443"/>
      <c r="U124" s="731"/>
      <c r="V124" s="756"/>
      <c r="W124" s="756"/>
      <c r="X124" s="8">
        <f t="shared" si="28"/>
        <v>0</v>
      </c>
    </row>
    <row r="125" spans="1:24">
      <c r="A125" s="753">
        <f t="shared" si="20"/>
        <v>68</v>
      </c>
      <c r="B125" s="296" t="s">
        <v>572</v>
      </c>
      <c r="C125" s="729">
        <v>41820</v>
      </c>
      <c r="D125" s="730" t="s">
        <v>573</v>
      </c>
      <c r="E125" s="776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29">
        <v>10500</v>
      </c>
      <c r="N125" s="629"/>
      <c r="O125" s="189"/>
      <c r="P125" s="729">
        <f t="shared" si="24"/>
        <v>41818</v>
      </c>
      <c r="Q125" s="301"/>
      <c r="R125" s="258"/>
      <c r="S125" s="8">
        <f t="shared" si="27"/>
        <v>0</v>
      </c>
      <c r="T125" s="443"/>
      <c r="U125" s="731"/>
      <c r="V125" s="756"/>
      <c r="W125" s="756"/>
      <c r="X125" s="8">
        <f t="shared" si="28"/>
        <v>0</v>
      </c>
    </row>
    <row r="126" spans="1:24">
      <c r="A126" s="753">
        <f t="shared" si="20"/>
        <v>69</v>
      </c>
      <c r="B126" s="296" t="s">
        <v>442</v>
      </c>
      <c r="C126" s="729">
        <v>41820</v>
      </c>
      <c r="D126" s="730" t="s">
        <v>573</v>
      </c>
      <c r="E126" s="776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29">
        <v>10500</v>
      </c>
      <c r="N126" s="629"/>
      <c r="O126" s="189"/>
      <c r="P126" s="729">
        <f t="shared" si="24"/>
        <v>41818</v>
      </c>
      <c r="Q126" s="301"/>
      <c r="R126" s="258"/>
      <c r="S126" s="8">
        <f t="shared" si="27"/>
        <v>0</v>
      </c>
      <c r="T126" s="443"/>
      <c r="U126" s="731"/>
      <c r="V126" s="756"/>
      <c r="W126" s="756"/>
      <c r="X126" s="8">
        <f t="shared" si="28"/>
        <v>0</v>
      </c>
    </row>
    <row r="127" spans="1:24">
      <c r="A127" s="753">
        <f t="shared" si="20"/>
        <v>70</v>
      </c>
      <c r="B127" s="296" t="s">
        <v>574</v>
      </c>
      <c r="C127" s="729">
        <v>41820</v>
      </c>
      <c r="D127" s="730" t="s">
        <v>575</v>
      </c>
      <c r="E127" s="776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29">
        <v>9800</v>
      </c>
      <c r="N127" s="629"/>
      <c r="O127" s="189"/>
      <c r="P127" s="729">
        <f t="shared" si="24"/>
        <v>41818</v>
      </c>
      <c r="Q127" s="301"/>
      <c r="R127" s="258"/>
      <c r="S127" s="8">
        <f t="shared" si="27"/>
        <v>0</v>
      </c>
      <c r="T127" s="443"/>
      <c r="U127" s="731"/>
      <c r="V127" s="756"/>
      <c r="W127" s="756"/>
      <c r="X127" s="8">
        <f t="shared" si="28"/>
        <v>0</v>
      </c>
    </row>
    <row r="128" spans="1:24">
      <c r="A128" s="753">
        <f t="shared" si="20"/>
        <v>71</v>
      </c>
      <c r="B128" s="296" t="s">
        <v>493</v>
      </c>
      <c r="C128" s="729">
        <v>41820</v>
      </c>
      <c r="D128" s="730" t="s">
        <v>575</v>
      </c>
      <c r="E128" s="776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29">
        <v>6400</v>
      </c>
      <c r="N128" s="629"/>
      <c r="O128" s="189"/>
      <c r="P128" s="729">
        <f t="shared" si="24"/>
        <v>41818</v>
      </c>
      <c r="Q128" s="301"/>
      <c r="R128" s="258"/>
      <c r="S128" s="8">
        <f t="shared" si="27"/>
        <v>0</v>
      </c>
      <c r="T128" s="443"/>
      <c r="U128" s="731"/>
      <c r="V128" s="756"/>
      <c r="W128" s="756"/>
      <c r="X128" s="8">
        <f t="shared" si="28"/>
        <v>0</v>
      </c>
    </row>
    <row r="129" spans="1:30" s="735" customFormat="1">
      <c r="A129" s="837"/>
      <c r="B129" s="743"/>
      <c r="C129" s="729"/>
      <c r="D129" s="730"/>
      <c r="E129" s="744"/>
      <c r="F129" s="745"/>
      <c r="G129" s="746"/>
      <c r="H129" s="746"/>
      <c r="I129" s="746"/>
      <c r="J129" s="745"/>
      <c r="K129" s="747"/>
      <c r="L129" s="746"/>
      <c r="M129" s="629"/>
      <c r="N129" s="629"/>
      <c r="O129" s="443"/>
      <c r="P129" s="731"/>
      <c r="Q129" s="779"/>
      <c r="R129" s="758"/>
      <c r="S129" s="25"/>
      <c r="T129" s="443"/>
      <c r="U129" s="731"/>
      <c r="V129" s="758"/>
      <c r="W129" s="758"/>
      <c r="X129" s="748"/>
    </row>
    <row r="130" spans="1:30" s="710" customFormat="1">
      <c r="A130" s="715"/>
      <c r="B130" s="716" t="s">
        <v>251</v>
      </c>
      <c r="C130" s="834"/>
      <c r="D130" s="738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4"/>
      <c r="N130" s="724"/>
      <c r="O130" s="736"/>
      <c r="P130" s="737"/>
      <c r="Q130" s="775"/>
      <c r="R130" s="27"/>
      <c r="S130" s="47">
        <f>SUM(S56:S129)</f>
        <v>0</v>
      </c>
      <c r="T130" s="736"/>
      <c r="U130" s="737"/>
      <c r="V130" s="749"/>
      <c r="W130" s="27"/>
      <c r="X130" s="47">
        <f>SUM(X56:X129)</f>
        <v>0</v>
      </c>
    </row>
    <row r="131" spans="1:30" s="710" customFormat="1">
      <c r="A131" s="717"/>
      <c r="B131" s="718"/>
      <c r="C131" s="835"/>
      <c r="D131" s="740"/>
      <c r="E131" s="711"/>
      <c r="F131" s="711"/>
      <c r="G131" s="711"/>
      <c r="H131" s="711"/>
      <c r="I131" s="711"/>
      <c r="J131" s="711"/>
      <c r="K131" s="711"/>
      <c r="L131" s="711"/>
      <c r="M131" s="724"/>
      <c r="N131" s="724"/>
      <c r="O131" s="444"/>
      <c r="P131" s="739"/>
      <c r="Q131" s="773"/>
      <c r="R131" s="727"/>
      <c r="S131" s="741"/>
      <c r="T131" s="444"/>
      <c r="U131" s="739"/>
      <c r="V131" s="727"/>
      <c r="W131" s="727"/>
      <c r="X131" s="750"/>
    </row>
    <row r="132" spans="1:30" s="710" customFormat="1">
      <c r="A132" s="717"/>
      <c r="B132" s="718"/>
      <c r="C132" s="835"/>
      <c r="D132" s="740"/>
      <c r="E132" s="711"/>
      <c r="F132" s="711"/>
      <c r="G132" s="711"/>
      <c r="H132" s="711"/>
      <c r="I132" s="711"/>
      <c r="J132" s="711"/>
      <c r="K132" s="711"/>
      <c r="L132" s="711"/>
      <c r="M132" s="724"/>
      <c r="N132" s="724"/>
      <c r="O132" s="444"/>
      <c r="P132" s="739"/>
      <c r="Q132" s="773"/>
      <c r="R132" s="727"/>
      <c r="S132" s="741"/>
      <c r="T132" s="444"/>
      <c r="U132" s="739"/>
      <c r="V132" s="727"/>
      <c r="W132" s="727"/>
      <c r="X132" s="750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1" t="s">
        <v>1275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77" t="s">
        <v>35</v>
      </c>
      <c r="B137" s="436" t="s">
        <v>242</v>
      </c>
      <c r="C137" s="832"/>
      <c r="D137" s="705"/>
      <c r="E137" s="437" t="s">
        <v>245</v>
      </c>
      <c r="F137" s="437" t="s">
        <v>378</v>
      </c>
      <c r="G137" s="437" t="s">
        <v>246</v>
      </c>
      <c r="H137" s="437" t="s">
        <v>372</v>
      </c>
      <c r="I137" s="438" t="s">
        <v>247</v>
      </c>
      <c r="J137" s="437" t="s">
        <v>248</v>
      </c>
      <c r="K137" s="439" t="s">
        <v>243</v>
      </c>
      <c r="L137" s="437" t="s">
        <v>249</v>
      </c>
      <c r="M137" s="440"/>
      <c r="N137" s="440"/>
      <c r="O137" s="436" t="s">
        <v>242</v>
      </c>
      <c r="P137" s="437" t="s">
        <v>236</v>
      </c>
      <c r="Q137" s="769" t="s">
        <v>201</v>
      </c>
      <c r="R137" s="437" t="s">
        <v>244</v>
      </c>
      <c r="S137" s="437" t="s">
        <v>250</v>
      </c>
      <c r="T137" s="436" t="s">
        <v>242</v>
      </c>
      <c r="U137" s="437" t="s">
        <v>236</v>
      </c>
      <c r="V137" s="437" t="s">
        <v>201</v>
      </c>
      <c r="W137" s="437" t="s">
        <v>244</v>
      </c>
      <c r="X137" s="436" t="s">
        <v>250</v>
      </c>
    </row>
    <row r="138" spans="1:30">
      <c r="A138" s="778">
        <f>IF(B138&lt;&gt;"",ROW()-137,"")</f>
        <v>1</v>
      </c>
      <c r="B138" s="296" t="s">
        <v>521</v>
      </c>
      <c r="C138" s="729">
        <v>41831</v>
      </c>
      <c r="D138" s="730" t="s">
        <v>576</v>
      </c>
      <c r="E138" s="752">
        <f>S138</f>
        <v>0</v>
      </c>
      <c r="F138" s="752">
        <f t="shared" ref="F138:I157" si="29">IF($K$130&lt;&gt;0,F$130/$K$130*$K138,0)</f>
        <v>0</v>
      </c>
      <c r="G138" s="752">
        <f t="shared" si="29"/>
        <v>0</v>
      </c>
      <c r="H138" s="752">
        <f t="shared" si="29"/>
        <v>0</v>
      </c>
      <c r="I138" s="752">
        <f t="shared" si="29"/>
        <v>0</v>
      </c>
      <c r="J138" s="25">
        <f t="shared" ref="J138:J169" si="30">SUM(E138:I138)</f>
        <v>0</v>
      </c>
      <c r="K138" s="714">
        <v>570</v>
      </c>
      <c r="L138" s="752">
        <f>IF(K138&lt;&gt;"",J138/K138,"")</f>
        <v>0</v>
      </c>
      <c r="M138" s="629">
        <v>8400</v>
      </c>
      <c r="N138" s="629"/>
      <c r="O138" s="189"/>
      <c r="P138" s="729">
        <f t="shared" ref="P138:P139" si="31">C138-2</f>
        <v>41829</v>
      </c>
      <c r="Q138" s="301"/>
      <c r="R138" s="758"/>
      <c r="S138" s="25">
        <f>Q138*R138</f>
        <v>0</v>
      </c>
      <c r="T138" s="442" t="s">
        <v>351</v>
      </c>
      <c r="U138" s="729"/>
      <c r="V138" s="758"/>
      <c r="W138" s="758"/>
      <c r="X138" s="25">
        <f>V138*W138</f>
        <v>0</v>
      </c>
    </row>
    <row r="139" spans="1:30">
      <c r="A139" s="753">
        <f>IF(B139&lt;&gt;"",A138+1,"")</f>
        <v>2</v>
      </c>
      <c r="B139" s="296" t="s">
        <v>521</v>
      </c>
      <c r="C139" s="729">
        <v>41831</v>
      </c>
      <c r="D139" s="730" t="s">
        <v>576</v>
      </c>
      <c r="E139" s="776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4">
        <v>564</v>
      </c>
      <c r="L139" s="257">
        <f t="shared" ref="L139:L218" si="33">IF(K139&lt;&gt;"",J139/K139,"")</f>
        <v>0</v>
      </c>
      <c r="M139" s="629">
        <v>12000</v>
      </c>
      <c r="N139" s="629"/>
      <c r="O139" s="189"/>
      <c r="P139" s="729">
        <f t="shared" si="31"/>
        <v>41829</v>
      </c>
      <c r="Q139" s="301"/>
      <c r="R139" s="758"/>
      <c r="S139" s="25">
        <f t="shared" ref="S139:S218" si="34">Q139*R139</f>
        <v>0</v>
      </c>
      <c r="T139" s="443" t="s">
        <v>330</v>
      </c>
      <c r="U139" s="731"/>
      <c r="V139" s="756"/>
      <c r="W139" s="756"/>
      <c r="X139" s="8">
        <f t="shared" ref="X139:X218" si="35">V139*W139</f>
        <v>0</v>
      </c>
    </row>
    <row r="140" spans="1:30">
      <c r="A140" s="753">
        <f>IF(B140&lt;&gt;"",A139+1,"")</f>
        <v>3</v>
      </c>
      <c r="B140" s="296" t="s">
        <v>577</v>
      </c>
      <c r="C140" s="729">
        <v>41832</v>
      </c>
      <c r="D140" s="730" t="s">
        <v>578</v>
      </c>
      <c r="E140" s="776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4">
        <v>393</v>
      </c>
      <c r="L140" s="257">
        <f t="shared" si="33"/>
        <v>0</v>
      </c>
      <c r="M140" s="629">
        <v>10500</v>
      </c>
      <c r="N140" s="629"/>
      <c r="O140" s="296"/>
      <c r="P140" s="729">
        <f t="shared" ref="P140:P171" si="36">C140-2</f>
        <v>41830</v>
      </c>
      <c r="Q140" s="774"/>
      <c r="R140" s="256"/>
      <c r="S140" s="8">
        <f t="shared" si="34"/>
        <v>0</v>
      </c>
      <c r="T140" s="443" t="s">
        <v>357</v>
      </c>
      <c r="U140" s="731"/>
      <c r="V140" s="756"/>
      <c r="W140" s="756"/>
      <c r="X140" s="8">
        <f t="shared" si="35"/>
        <v>0</v>
      </c>
    </row>
    <row r="141" spans="1:30">
      <c r="A141" s="753">
        <f t="shared" ref="A141:A153" si="37">IF(B141&lt;&gt;"",A140+1,"")</f>
        <v>4</v>
      </c>
      <c r="B141" s="296" t="s">
        <v>579</v>
      </c>
      <c r="C141" s="729">
        <v>41832</v>
      </c>
      <c r="D141" s="730" t="s">
        <v>578</v>
      </c>
      <c r="E141" s="776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4">
        <v>480</v>
      </c>
      <c r="L141" s="257">
        <f t="shared" si="33"/>
        <v>0</v>
      </c>
      <c r="M141" s="629">
        <v>12800</v>
      </c>
      <c r="N141" s="629"/>
      <c r="O141" s="189"/>
      <c r="P141" s="729">
        <f t="shared" si="36"/>
        <v>41830</v>
      </c>
      <c r="Q141" s="301"/>
      <c r="R141" s="258"/>
      <c r="S141" s="8">
        <f t="shared" si="34"/>
        <v>0</v>
      </c>
      <c r="T141" s="443"/>
      <c r="U141" s="731"/>
      <c r="V141" s="756"/>
      <c r="W141" s="756"/>
      <c r="X141" s="8">
        <f t="shared" si="35"/>
        <v>0</v>
      </c>
    </row>
    <row r="142" spans="1:30">
      <c r="A142" s="753">
        <f t="shared" si="37"/>
        <v>5</v>
      </c>
      <c r="B142" s="296" t="s">
        <v>580</v>
      </c>
      <c r="C142" s="729">
        <v>41832</v>
      </c>
      <c r="D142" s="730" t="s">
        <v>578</v>
      </c>
      <c r="E142" s="776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4">
        <v>219</v>
      </c>
      <c r="L142" s="257">
        <f t="shared" si="33"/>
        <v>0</v>
      </c>
      <c r="M142" s="629">
        <v>12700</v>
      </c>
      <c r="N142" s="629"/>
      <c r="O142" s="189"/>
      <c r="P142" s="729">
        <f t="shared" si="36"/>
        <v>41830</v>
      </c>
      <c r="Q142" s="774"/>
      <c r="R142" s="258"/>
      <c r="S142" s="8">
        <f t="shared" si="34"/>
        <v>0</v>
      </c>
      <c r="T142" s="443"/>
      <c r="U142" s="731"/>
      <c r="V142" s="756"/>
      <c r="W142" s="756"/>
      <c r="X142" s="8">
        <f t="shared" si="35"/>
        <v>0</v>
      </c>
    </row>
    <row r="143" spans="1:30">
      <c r="A143" s="753">
        <f t="shared" si="37"/>
        <v>6</v>
      </c>
      <c r="B143" s="296" t="s">
        <v>581</v>
      </c>
      <c r="C143" s="729">
        <v>41834</v>
      </c>
      <c r="D143" s="730" t="s">
        <v>582</v>
      </c>
      <c r="E143" s="776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4">
        <v>300</v>
      </c>
      <c r="L143" s="257">
        <f t="shared" si="33"/>
        <v>0</v>
      </c>
      <c r="M143" s="629">
        <v>11619</v>
      </c>
      <c r="N143" s="629"/>
      <c r="O143" s="189"/>
      <c r="P143" s="729">
        <f t="shared" si="36"/>
        <v>41832</v>
      </c>
      <c r="Q143" s="774"/>
      <c r="R143" s="258"/>
      <c r="S143" s="8">
        <f t="shared" si="34"/>
        <v>0</v>
      </c>
      <c r="T143" s="443"/>
      <c r="U143" s="731"/>
      <c r="V143" s="756"/>
      <c r="W143" s="756"/>
      <c r="X143" s="8">
        <f t="shared" si="35"/>
        <v>0</v>
      </c>
    </row>
    <row r="144" spans="1:30">
      <c r="A144" s="753">
        <f t="shared" si="37"/>
        <v>7</v>
      </c>
      <c r="B144" s="296" t="s">
        <v>583</v>
      </c>
      <c r="C144" s="729">
        <v>41834</v>
      </c>
      <c r="D144" s="730" t="s">
        <v>582</v>
      </c>
      <c r="E144" s="776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4">
        <v>720</v>
      </c>
      <c r="L144" s="257">
        <f t="shared" si="33"/>
        <v>0</v>
      </c>
      <c r="M144" s="629">
        <v>12050</v>
      </c>
      <c r="N144" s="629"/>
      <c r="O144" s="189"/>
      <c r="P144" s="729">
        <f t="shared" si="36"/>
        <v>41832</v>
      </c>
      <c r="Q144" s="301"/>
      <c r="R144" s="258"/>
      <c r="S144" s="8">
        <f t="shared" si="34"/>
        <v>0</v>
      </c>
      <c r="T144" s="443"/>
      <c r="U144" s="731"/>
      <c r="V144" s="756"/>
      <c r="W144" s="756"/>
      <c r="X144" s="8">
        <f t="shared" si="35"/>
        <v>0</v>
      </c>
    </row>
    <row r="145" spans="1:24">
      <c r="A145" s="753">
        <f t="shared" si="37"/>
        <v>8</v>
      </c>
      <c r="B145" s="296" t="s">
        <v>442</v>
      </c>
      <c r="C145" s="729">
        <v>41834</v>
      </c>
      <c r="D145" s="730" t="s">
        <v>584</v>
      </c>
      <c r="E145" s="776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4">
        <v>522</v>
      </c>
      <c r="L145" s="257">
        <f t="shared" si="33"/>
        <v>0</v>
      </c>
      <c r="M145" s="629">
        <v>10500</v>
      </c>
      <c r="N145" s="629"/>
      <c r="O145" s="189"/>
      <c r="P145" s="729">
        <f t="shared" si="36"/>
        <v>41832</v>
      </c>
      <c r="Q145" s="774"/>
      <c r="R145" s="258"/>
      <c r="S145" s="8">
        <f t="shared" si="34"/>
        <v>0</v>
      </c>
      <c r="T145" s="443"/>
      <c r="U145" s="731"/>
      <c r="V145" s="756"/>
      <c r="W145" s="756"/>
      <c r="X145" s="8">
        <f t="shared" si="35"/>
        <v>0</v>
      </c>
    </row>
    <row r="146" spans="1:24">
      <c r="A146" s="753">
        <f t="shared" si="37"/>
        <v>9</v>
      </c>
      <c r="B146" s="296" t="s">
        <v>580</v>
      </c>
      <c r="C146" s="729">
        <v>41834</v>
      </c>
      <c r="D146" s="730" t="s">
        <v>584</v>
      </c>
      <c r="E146" s="776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4">
        <v>525</v>
      </c>
      <c r="L146" s="257">
        <f t="shared" si="33"/>
        <v>0</v>
      </c>
      <c r="M146" s="629">
        <v>9500</v>
      </c>
      <c r="N146" s="629"/>
      <c r="O146" s="189"/>
      <c r="P146" s="729">
        <f t="shared" si="36"/>
        <v>41832</v>
      </c>
      <c r="Q146" s="301"/>
      <c r="R146" s="258"/>
      <c r="S146" s="8">
        <f t="shared" si="34"/>
        <v>0</v>
      </c>
      <c r="T146" s="443"/>
      <c r="U146" s="731"/>
      <c r="V146" s="756"/>
      <c r="W146" s="756"/>
      <c r="X146" s="8">
        <f t="shared" si="35"/>
        <v>0</v>
      </c>
    </row>
    <row r="147" spans="1:24">
      <c r="A147" s="753">
        <f t="shared" si="37"/>
        <v>10</v>
      </c>
      <c r="B147" s="296" t="s">
        <v>500</v>
      </c>
      <c r="C147" s="729">
        <v>41834</v>
      </c>
      <c r="D147" s="730" t="s">
        <v>585</v>
      </c>
      <c r="E147" s="776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4">
        <v>744</v>
      </c>
      <c r="L147" s="257">
        <f t="shared" si="33"/>
        <v>0</v>
      </c>
      <c r="M147" s="629">
        <v>8600</v>
      </c>
      <c r="N147" s="629"/>
      <c r="O147" s="189"/>
      <c r="P147" s="729">
        <f t="shared" si="36"/>
        <v>41832</v>
      </c>
      <c r="Q147" s="301"/>
      <c r="R147" s="256"/>
      <c r="S147" s="8">
        <f t="shared" si="34"/>
        <v>0</v>
      </c>
      <c r="T147" s="443"/>
      <c r="U147" s="731"/>
      <c r="V147" s="756"/>
      <c r="W147" s="756"/>
      <c r="X147" s="8">
        <f t="shared" si="35"/>
        <v>0</v>
      </c>
    </row>
    <row r="148" spans="1:24">
      <c r="A148" s="753">
        <f t="shared" si="37"/>
        <v>11</v>
      </c>
      <c r="B148" s="296" t="s">
        <v>518</v>
      </c>
      <c r="C148" s="729">
        <v>41834</v>
      </c>
      <c r="D148" s="730" t="s">
        <v>585</v>
      </c>
      <c r="E148" s="776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4">
        <v>100</v>
      </c>
      <c r="L148" s="257">
        <f t="shared" si="33"/>
        <v>0</v>
      </c>
      <c r="M148" s="629">
        <v>7000</v>
      </c>
      <c r="N148" s="629"/>
      <c r="O148" s="189"/>
      <c r="P148" s="729">
        <f t="shared" si="36"/>
        <v>41832</v>
      </c>
      <c r="Q148" s="301"/>
      <c r="R148" s="258"/>
      <c r="S148" s="8">
        <f t="shared" si="34"/>
        <v>0</v>
      </c>
      <c r="T148" s="443"/>
      <c r="U148" s="731"/>
      <c r="V148" s="756"/>
      <c r="W148" s="756"/>
      <c r="X148" s="8">
        <f t="shared" si="35"/>
        <v>0</v>
      </c>
    </row>
    <row r="149" spans="1:24">
      <c r="A149" s="753">
        <f t="shared" si="37"/>
        <v>12</v>
      </c>
      <c r="B149" s="296" t="s">
        <v>489</v>
      </c>
      <c r="C149" s="729">
        <v>41834</v>
      </c>
      <c r="D149" s="730" t="s">
        <v>585</v>
      </c>
      <c r="E149" s="776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4">
        <v>36</v>
      </c>
      <c r="L149" s="257">
        <f t="shared" si="33"/>
        <v>0</v>
      </c>
      <c r="M149" s="629">
        <v>12900</v>
      </c>
      <c r="N149" s="629"/>
      <c r="O149" s="296"/>
      <c r="P149" s="729">
        <f t="shared" si="36"/>
        <v>41832</v>
      </c>
      <c r="Q149" s="774"/>
      <c r="R149" s="256"/>
      <c r="S149" s="8">
        <f t="shared" si="34"/>
        <v>0</v>
      </c>
      <c r="T149" s="443"/>
      <c r="U149" s="731"/>
      <c r="V149" s="756"/>
      <c r="W149" s="756"/>
      <c r="X149" s="8">
        <f t="shared" si="35"/>
        <v>0</v>
      </c>
    </row>
    <row r="150" spans="1:24">
      <c r="A150" s="753">
        <f t="shared" si="37"/>
        <v>13</v>
      </c>
      <c r="B150" s="296" t="s">
        <v>514</v>
      </c>
      <c r="C150" s="729">
        <v>41834</v>
      </c>
      <c r="D150" s="730" t="s">
        <v>586</v>
      </c>
      <c r="E150" s="776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4">
        <v>214</v>
      </c>
      <c r="L150" s="257">
        <f t="shared" si="33"/>
        <v>0</v>
      </c>
      <c r="M150" s="629">
        <v>9400</v>
      </c>
      <c r="N150" s="629"/>
      <c r="O150" s="296"/>
      <c r="P150" s="729">
        <f t="shared" si="36"/>
        <v>41832</v>
      </c>
      <c r="Q150" s="774"/>
      <c r="R150" s="256"/>
      <c r="S150" s="8">
        <f t="shared" si="34"/>
        <v>0</v>
      </c>
      <c r="T150" s="443"/>
      <c r="U150" s="731"/>
      <c r="V150" s="756"/>
      <c r="W150" s="756"/>
      <c r="X150" s="8">
        <f t="shared" si="35"/>
        <v>0</v>
      </c>
    </row>
    <row r="151" spans="1:24">
      <c r="A151" s="753">
        <f t="shared" si="37"/>
        <v>14</v>
      </c>
      <c r="B151" s="296" t="s">
        <v>492</v>
      </c>
      <c r="C151" s="729">
        <v>41834</v>
      </c>
      <c r="D151" s="730" t="s">
        <v>586</v>
      </c>
      <c r="E151" s="776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4">
        <v>133</v>
      </c>
      <c r="L151" s="257">
        <f t="shared" si="33"/>
        <v>0</v>
      </c>
      <c r="M151" s="629">
        <v>9300</v>
      </c>
      <c r="N151" s="629"/>
      <c r="O151" s="189"/>
      <c r="P151" s="729">
        <f t="shared" si="36"/>
        <v>41832</v>
      </c>
      <c r="Q151" s="301"/>
      <c r="R151" s="256"/>
      <c r="S151" s="8">
        <f t="shared" si="34"/>
        <v>0</v>
      </c>
      <c r="T151" s="443"/>
      <c r="U151" s="731"/>
      <c r="V151" s="756"/>
      <c r="W151" s="756"/>
      <c r="X151" s="8">
        <f t="shared" si="35"/>
        <v>0</v>
      </c>
    </row>
    <row r="152" spans="1:24">
      <c r="A152" s="753">
        <f t="shared" si="37"/>
        <v>15</v>
      </c>
      <c r="B152" s="296" t="s">
        <v>587</v>
      </c>
      <c r="C152" s="729">
        <v>41837</v>
      </c>
      <c r="D152" s="730" t="s">
        <v>588</v>
      </c>
      <c r="E152" s="776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4">
        <v>115</v>
      </c>
      <c r="L152" s="257">
        <f t="shared" si="33"/>
        <v>0</v>
      </c>
      <c r="M152" s="629">
        <v>10140</v>
      </c>
      <c r="N152" s="629"/>
      <c r="O152" s="296"/>
      <c r="P152" s="729">
        <f t="shared" si="36"/>
        <v>41835</v>
      </c>
      <c r="Q152" s="301"/>
      <c r="R152" s="758"/>
      <c r="S152" s="8">
        <f t="shared" si="34"/>
        <v>0</v>
      </c>
      <c r="T152" s="443"/>
      <c r="U152" s="731"/>
      <c r="V152" s="756"/>
      <c r="W152" s="756"/>
      <c r="X152" s="8">
        <f t="shared" si="35"/>
        <v>0</v>
      </c>
    </row>
    <row r="153" spans="1:24">
      <c r="A153" s="753">
        <f t="shared" si="37"/>
        <v>16</v>
      </c>
      <c r="B153" s="296" t="s">
        <v>590</v>
      </c>
      <c r="C153" s="729">
        <v>41837</v>
      </c>
      <c r="D153" s="730" t="s">
        <v>588</v>
      </c>
      <c r="E153" s="776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4">
        <v>15</v>
      </c>
      <c r="L153" s="257">
        <f t="shared" si="33"/>
        <v>0</v>
      </c>
      <c r="M153" s="629">
        <v>13490</v>
      </c>
      <c r="N153" s="629"/>
      <c r="O153" s="189"/>
      <c r="P153" s="729">
        <f t="shared" si="36"/>
        <v>41835</v>
      </c>
      <c r="Q153" s="301"/>
      <c r="R153" s="258"/>
      <c r="S153" s="8">
        <f t="shared" si="34"/>
        <v>0</v>
      </c>
      <c r="T153" s="443"/>
      <c r="U153" s="731"/>
      <c r="V153" s="756"/>
      <c r="W153" s="756"/>
      <c r="X153" s="8">
        <f t="shared" si="35"/>
        <v>0</v>
      </c>
    </row>
    <row r="154" spans="1:24">
      <c r="A154" s="753">
        <f>IF(B154&lt;&gt;"",A153+1,"")</f>
        <v>17</v>
      </c>
      <c r="B154" s="296" t="s">
        <v>591</v>
      </c>
      <c r="C154" s="729">
        <v>41837</v>
      </c>
      <c r="D154" s="730" t="s">
        <v>588</v>
      </c>
      <c r="E154" s="776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4">
        <v>40</v>
      </c>
      <c r="L154" s="257">
        <f t="shared" si="33"/>
        <v>0</v>
      </c>
      <c r="M154" s="629">
        <v>9000</v>
      </c>
      <c r="N154" s="629"/>
      <c r="O154" s="189"/>
      <c r="P154" s="729">
        <f t="shared" si="36"/>
        <v>41835</v>
      </c>
      <c r="Q154" s="301"/>
      <c r="R154" s="258"/>
      <c r="S154" s="8">
        <f t="shared" si="34"/>
        <v>0</v>
      </c>
      <c r="T154" s="443"/>
      <c r="U154" s="731"/>
      <c r="V154" s="756"/>
      <c r="W154" s="756"/>
      <c r="X154" s="8">
        <f t="shared" si="35"/>
        <v>0</v>
      </c>
    </row>
    <row r="155" spans="1:24">
      <c r="A155" s="753">
        <f t="shared" ref="A155:A169" si="38">IF(B155&lt;&gt;"",A154+1,"")</f>
        <v>18</v>
      </c>
      <c r="B155" s="296" t="s">
        <v>592</v>
      </c>
      <c r="C155" s="729">
        <v>41837</v>
      </c>
      <c r="D155" s="730" t="s">
        <v>588</v>
      </c>
      <c r="E155" s="776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4">
        <v>720</v>
      </c>
      <c r="L155" s="257">
        <f t="shared" si="33"/>
        <v>0</v>
      </c>
      <c r="M155" s="629">
        <v>10940</v>
      </c>
      <c r="N155" s="629"/>
      <c r="O155" s="189"/>
      <c r="P155" s="729">
        <f t="shared" si="36"/>
        <v>41835</v>
      </c>
      <c r="Q155" s="301"/>
      <c r="R155" s="258"/>
      <c r="S155" s="8">
        <f t="shared" si="34"/>
        <v>0</v>
      </c>
      <c r="T155" s="443"/>
      <c r="U155" s="731"/>
      <c r="V155" s="756"/>
      <c r="W155" s="756"/>
      <c r="X155" s="8">
        <f t="shared" si="35"/>
        <v>0</v>
      </c>
    </row>
    <row r="156" spans="1:24">
      <c r="A156" s="753">
        <f t="shared" si="38"/>
        <v>19</v>
      </c>
      <c r="B156" s="296" t="s">
        <v>593</v>
      </c>
      <c r="C156" s="729">
        <v>41837</v>
      </c>
      <c r="D156" s="730" t="s">
        <v>588</v>
      </c>
      <c r="E156" s="776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4">
        <v>370</v>
      </c>
      <c r="L156" s="257">
        <f t="shared" si="33"/>
        <v>0</v>
      </c>
      <c r="M156" s="629">
        <v>10040</v>
      </c>
      <c r="N156" s="629"/>
      <c r="O156" s="189"/>
      <c r="P156" s="729">
        <f t="shared" si="36"/>
        <v>41835</v>
      </c>
      <c r="Q156" s="301"/>
      <c r="R156" s="258"/>
      <c r="S156" s="8">
        <f t="shared" si="34"/>
        <v>0</v>
      </c>
      <c r="T156" s="443"/>
      <c r="U156" s="731"/>
      <c r="V156" s="756"/>
      <c r="W156" s="756"/>
      <c r="X156" s="8">
        <f t="shared" si="35"/>
        <v>0</v>
      </c>
    </row>
    <row r="157" spans="1:24">
      <c r="A157" s="753">
        <f t="shared" si="38"/>
        <v>20</v>
      </c>
      <c r="B157" s="296" t="s">
        <v>500</v>
      </c>
      <c r="C157" s="729">
        <v>41837</v>
      </c>
      <c r="D157" s="730" t="s">
        <v>594</v>
      </c>
      <c r="E157" s="776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4">
        <v>500</v>
      </c>
      <c r="L157" s="257">
        <f t="shared" si="33"/>
        <v>0</v>
      </c>
      <c r="M157" s="629">
        <v>8600</v>
      </c>
      <c r="N157" s="629"/>
      <c r="O157" s="189"/>
      <c r="P157" s="729">
        <f t="shared" si="36"/>
        <v>41835</v>
      </c>
      <c r="Q157" s="301"/>
      <c r="R157" s="256"/>
      <c r="S157" s="8">
        <f t="shared" si="34"/>
        <v>0</v>
      </c>
      <c r="T157" s="443"/>
      <c r="U157" s="731"/>
      <c r="V157" s="756"/>
      <c r="W157" s="756"/>
      <c r="X157" s="8">
        <f t="shared" si="35"/>
        <v>0</v>
      </c>
    </row>
    <row r="158" spans="1:24">
      <c r="A158" s="753">
        <f t="shared" si="38"/>
        <v>21</v>
      </c>
      <c r="B158" s="296" t="s">
        <v>518</v>
      </c>
      <c r="C158" s="729">
        <v>41837</v>
      </c>
      <c r="D158" s="730" t="s">
        <v>594</v>
      </c>
      <c r="E158" s="776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4">
        <v>410</v>
      </c>
      <c r="L158" s="257">
        <f t="shared" si="33"/>
        <v>0</v>
      </c>
      <c r="M158" s="629">
        <v>7000</v>
      </c>
      <c r="N158" s="629"/>
      <c r="O158" s="189"/>
      <c r="P158" s="729">
        <f t="shared" si="36"/>
        <v>41835</v>
      </c>
      <c r="Q158" s="774"/>
      <c r="R158" s="258"/>
      <c r="S158" s="8">
        <f t="shared" si="34"/>
        <v>0</v>
      </c>
      <c r="T158" s="443"/>
      <c r="U158" s="731"/>
      <c r="V158" s="756"/>
      <c r="W158" s="756"/>
      <c r="X158" s="8">
        <f t="shared" si="35"/>
        <v>0</v>
      </c>
    </row>
    <row r="159" spans="1:24">
      <c r="A159" s="753">
        <f t="shared" si="38"/>
        <v>22</v>
      </c>
      <c r="B159" s="296" t="s">
        <v>489</v>
      </c>
      <c r="C159" s="729">
        <v>41837</v>
      </c>
      <c r="D159" s="730" t="s">
        <v>594</v>
      </c>
      <c r="E159" s="776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4">
        <v>280</v>
      </c>
      <c r="L159" s="257">
        <f t="shared" si="33"/>
        <v>0</v>
      </c>
      <c r="M159" s="629">
        <v>12900</v>
      </c>
      <c r="N159" s="629"/>
      <c r="O159" s="296"/>
      <c r="P159" s="729">
        <f t="shared" si="36"/>
        <v>41835</v>
      </c>
      <c r="Q159" s="301"/>
      <c r="R159" s="258"/>
      <c r="S159" s="8">
        <f t="shared" si="34"/>
        <v>0</v>
      </c>
      <c r="T159" s="443"/>
      <c r="U159" s="731"/>
      <c r="V159" s="756"/>
      <c r="W159" s="756"/>
      <c r="X159" s="8">
        <f t="shared" si="35"/>
        <v>0</v>
      </c>
    </row>
    <row r="160" spans="1:24">
      <c r="A160" s="753">
        <f t="shared" si="38"/>
        <v>23</v>
      </c>
      <c r="B160" s="296" t="s">
        <v>427</v>
      </c>
      <c r="C160" s="729">
        <v>41842</v>
      </c>
      <c r="D160" s="730" t="s">
        <v>595</v>
      </c>
      <c r="E160" s="776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4">
        <v>513</v>
      </c>
      <c r="L160" s="257">
        <f t="shared" si="33"/>
        <v>0</v>
      </c>
      <c r="M160" s="629">
        <v>17300</v>
      </c>
      <c r="N160" s="629"/>
      <c r="O160" s="189"/>
      <c r="P160" s="729">
        <f t="shared" si="36"/>
        <v>41840</v>
      </c>
      <c r="Q160" s="301"/>
      <c r="R160" s="258"/>
      <c r="S160" s="8">
        <f t="shared" si="34"/>
        <v>0</v>
      </c>
      <c r="T160" s="443"/>
      <c r="U160" s="731"/>
      <c r="V160" s="756"/>
      <c r="W160" s="756"/>
      <c r="X160" s="8">
        <f t="shared" si="35"/>
        <v>0</v>
      </c>
    </row>
    <row r="161" spans="1:24">
      <c r="A161" s="753">
        <f t="shared" si="38"/>
        <v>24</v>
      </c>
      <c r="B161" s="296" t="s">
        <v>451</v>
      </c>
      <c r="C161" s="729">
        <v>41842</v>
      </c>
      <c r="D161" s="730" t="s">
        <v>595</v>
      </c>
      <c r="E161" s="776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4">
        <v>1026</v>
      </c>
      <c r="L161" s="257">
        <f t="shared" si="33"/>
        <v>0</v>
      </c>
      <c r="M161" s="629">
        <v>1500</v>
      </c>
      <c r="N161" s="629"/>
      <c r="O161" s="189"/>
      <c r="P161" s="729">
        <f t="shared" si="36"/>
        <v>41840</v>
      </c>
      <c r="Q161" s="301"/>
      <c r="R161" s="258"/>
      <c r="S161" s="8">
        <f t="shared" si="34"/>
        <v>0</v>
      </c>
      <c r="T161" s="443"/>
      <c r="U161" s="731"/>
      <c r="V161" s="756"/>
      <c r="W161" s="756"/>
      <c r="X161" s="8">
        <f t="shared" si="35"/>
        <v>0</v>
      </c>
    </row>
    <row r="162" spans="1:24">
      <c r="A162" s="753">
        <f t="shared" si="38"/>
        <v>25</v>
      </c>
      <c r="B162" s="296" t="s">
        <v>486</v>
      </c>
      <c r="C162" s="729">
        <v>41842</v>
      </c>
      <c r="D162" s="730" t="s">
        <v>596</v>
      </c>
      <c r="E162" s="776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4">
        <v>1600</v>
      </c>
      <c r="L162" s="257">
        <f t="shared" si="33"/>
        <v>0</v>
      </c>
      <c r="M162" s="629">
        <v>11000</v>
      </c>
      <c r="N162" s="629"/>
      <c r="O162" s="189"/>
      <c r="P162" s="729">
        <f t="shared" si="36"/>
        <v>41840</v>
      </c>
      <c r="Q162" s="774"/>
      <c r="R162" s="258"/>
      <c r="S162" s="8">
        <f t="shared" si="34"/>
        <v>0</v>
      </c>
      <c r="T162" s="443"/>
      <c r="U162" s="731"/>
      <c r="V162" s="756"/>
      <c r="W162" s="756"/>
      <c r="X162" s="8">
        <f t="shared" si="35"/>
        <v>0</v>
      </c>
    </row>
    <row r="163" spans="1:24">
      <c r="A163" s="753">
        <f t="shared" si="38"/>
        <v>26</v>
      </c>
      <c r="B163" s="296" t="s">
        <v>506</v>
      </c>
      <c r="C163" s="729">
        <v>41843</v>
      </c>
      <c r="D163" s="730" t="s">
        <v>597</v>
      </c>
      <c r="E163" s="776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4">
        <v>563</v>
      </c>
      <c r="L163" s="257">
        <f t="shared" si="33"/>
        <v>0</v>
      </c>
      <c r="M163" s="629">
        <v>5900</v>
      </c>
      <c r="N163" s="629"/>
      <c r="O163" s="189"/>
      <c r="P163" s="729">
        <f t="shared" si="36"/>
        <v>41841</v>
      </c>
      <c r="Q163" s="774"/>
      <c r="R163" s="258"/>
      <c r="S163" s="8">
        <f t="shared" si="34"/>
        <v>0</v>
      </c>
      <c r="T163" s="443"/>
      <c r="U163" s="731"/>
      <c r="V163" s="756"/>
      <c r="W163" s="756"/>
      <c r="X163" s="8">
        <f t="shared" si="35"/>
        <v>0</v>
      </c>
    </row>
    <row r="164" spans="1:24">
      <c r="A164" s="753">
        <f t="shared" si="38"/>
        <v>27</v>
      </c>
      <c r="B164" s="296" t="s">
        <v>509</v>
      </c>
      <c r="C164" s="729">
        <v>41843</v>
      </c>
      <c r="D164" s="730" t="s">
        <v>597</v>
      </c>
      <c r="E164" s="776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4">
        <v>212</v>
      </c>
      <c r="L164" s="257">
        <f t="shared" si="33"/>
        <v>0</v>
      </c>
      <c r="M164" s="629">
        <v>6250</v>
      </c>
      <c r="N164" s="629"/>
      <c r="O164" s="189"/>
      <c r="P164" s="729">
        <f t="shared" si="36"/>
        <v>41841</v>
      </c>
      <c r="Q164" s="774"/>
      <c r="R164" s="758"/>
      <c r="S164" s="8">
        <f t="shared" si="34"/>
        <v>0</v>
      </c>
      <c r="T164" s="443"/>
      <c r="U164" s="731"/>
      <c r="V164" s="756"/>
      <c r="W164" s="756"/>
      <c r="X164" s="8">
        <f t="shared" si="35"/>
        <v>0</v>
      </c>
    </row>
    <row r="165" spans="1:24">
      <c r="A165" s="753">
        <f t="shared" si="38"/>
        <v>28</v>
      </c>
      <c r="B165" s="296" t="s">
        <v>411</v>
      </c>
      <c r="C165" s="729">
        <v>41843</v>
      </c>
      <c r="D165" s="730" t="s">
        <v>597</v>
      </c>
      <c r="E165" s="776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4">
        <v>197</v>
      </c>
      <c r="L165" s="257">
        <f t="shared" si="33"/>
        <v>0</v>
      </c>
      <c r="M165" s="629">
        <v>6800</v>
      </c>
      <c r="N165" s="629"/>
      <c r="O165" s="189"/>
      <c r="P165" s="729">
        <f t="shared" si="36"/>
        <v>41841</v>
      </c>
      <c r="Q165" s="301"/>
      <c r="R165" s="258"/>
      <c r="S165" s="8">
        <f t="shared" si="34"/>
        <v>0</v>
      </c>
      <c r="T165" s="443"/>
      <c r="U165" s="731"/>
      <c r="V165" s="756"/>
      <c r="W165" s="756"/>
      <c r="X165" s="8">
        <f t="shared" si="35"/>
        <v>0</v>
      </c>
    </row>
    <row r="166" spans="1:24">
      <c r="A166" s="753">
        <f t="shared" si="38"/>
        <v>29</v>
      </c>
      <c r="B166" s="296" t="s">
        <v>510</v>
      </c>
      <c r="C166" s="729">
        <v>41843</v>
      </c>
      <c r="D166" s="730" t="s">
        <v>597</v>
      </c>
      <c r="E166" s="776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4">
        <v>216</v>
      </c>
      <c r="L166" s="257">
        <f t="shared" si="33"/>
        <v>0</v>
      </c>
      <c r="M166" s="629">
        <v>6550</v>
      </c>
      <c r="N166" s="629"/>
      <c r="O166" s="189"/>
      <c r="P166" s="729">
        <f t="shared" si="36"/>
        <v>41841</v>
      </c>
      <c r="Q166" s="301"/>
      <c r="R166" s="258"/>
      <c r="S166" s="8">
        <f t="shared" si="34"/>
        <v>0</v>
      </c>
      <c r="T166" s="443"/>
      <c r="U166" s="731"/>
      <c r="V166" s="756"/>
      <c r="W166" s="756"/>
      <c r="X166" s="8">
        <f t="shared" si="35"/>
        <v>0</v>
      </c>
    </row>
    <row r="167" spans="1:24">
      <c r="A167" s="753">
        <f t="shared" si="38"/>
        <v>30</v>
      </c>
      <c r="B167" s="296" t="s">
        <v>598</v>
      </c>
      <c r="C167" s="729">
        <v>41843</v>
      </c>
      <c r="D167" s="730" t="s">
        <v>599</v>
      </c>
      <c r="E167" s="776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4">
        <v>413</v>
      </c>
      <c r="L167" s="257">
        <f t="shared" si="33"/>
        <v>0</v>
      </c>
      <c r="M167" s="629">
        <v>17800</v>
      </c>
      <c r="N167" s="629"/>
      <c r="O167" s="296"/>
      <c r="P167" s="729">
        <f t="shared" si="36"/>
        <v>41841</v>
      </c>
      <c r="Q167" s="301"/>
      <c r="R167" s="256"/>
      <c r="S167" s="8">
        <f t="shared" si="34"/>
        <v>0</v>
      </c>
      <c r="T167" s="443"/>
      <c r="U167" s="731"/>
      <c r="V167" s="756"/>
      <c r="W167" s="756"/>
      <c r="X167" s="8">
        <f t="shared" si="35"/>
        <v>0</v>
      </c>
    </row>
    <row r="168" spans="1:24">
      <c r="A168" s="753">
        <f t="shared" si="38"/>
        <v>31</v>
      </c>
      <c r="B168" s="296" t="s">
        <v>600</v>
      </c>
      <c r="C168" s="729">
        <v>41843</v>
      </c>
      <c r="D168" s="730" t="s">
        <v>601</v>
      </c>
      <c r="E168" s="776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4">
        <v>190</v>
      </c>
      <c r="L168" s="257">
        <f t="shared" si="33"/>
        <v>0</v>
      </c>
      <c r="M168" s="629">
        <v>19000</v>
      </c>
      <c r="N168" s="629"/>
      <c r="O168" s="189"/>
      <c r="P168" s="729">
        <f t="shared" si="36"/>
        <v>41841</v>
      </c>
      <c r="Q168" s="301"/>
      <c r="R168" s="256"/>
      <c r="S168" s="8">
        <f t="shared" si="34"/>
        <v>0</v>
      </c>
      <c r="T168" s="443"/>
      <c r="U168" s="731"/>
      <c r="V168" s="756"/>
      <c r="W168" s="756"/>
      <c r="X168" s="8">
        <f t="shared" si="35"/>
        <v>0</v>
      </c>
    </row>
    <row r="169" spans="1:24">
      <c r="A169" s="753">
        <f t="shared" si="38"/>
        <v>32</v>
      </c>
      <c r="B169" s="296" t="s">
        <v>602</v>
      </c>
      <c r="C169" s="729">
        <v>41843</v>
      </c>
      <c r="D169" s="730" t="s">
        <v>603</v>
      </c>
      <c r="E169" s="776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4">
        <v>202</v>
      </c>
      <c r="L169" s="257">
        <f t="shared" si="33"/>
        <v>0</v>
      </c>
      <c r="M169" s="629">
        <v>6400</v>
      </c>
      <c r="N169" s="629"/>
      <c r="O169" s="189"/>
      <c r="P169" s="729">
        <f t="shared" si="36"/>
        <v>41841</v>
      </c>
      <c r="Q169" s="774"/>
      <c r="R169" s="258"/>
      <c r="S169" s="8">
        <f t="shared" si="34"/>
        <v>0</v>
      </c>
      <c r="T169" s="443"/>
      <c r="U169" s="731"/>
      <c r="V169" s="756"/>
      <c r="W169" s="756"/>
      <c r="X169" s="8">
        <f t="shared" si="35"/>
        <v>0</v>
      </c>
    </row>
    <row r="170" spans="1:24">
      <c r="A170" s="753">
        <f>IF(B170&lt;&gt;"",A169+1,"")</f>
        <v>33</v>
      </c>
      <c r="B170" s="296" t="s">
        <v>604</v>
      </c>
      <c r="C170" s="729">
        <v>41843</v>
      </c>
      <c r="D170" s="730" t="s">
        <v>603</v>
      </c>
      <c r="E170" s="776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4">
        <v>103</v>
      </c>
      <c r="L170" s="257">
        <f t="shared" si="33"/>
        <v>0</v>
      </c>
      <c r="M170" s="629">
        <v>13500</v>
      </c>
      <c r="N170" s="629"/>
      <c r="O170" s="296"/>
      <c r="P170" s="729">
        <f t="shared" si="36"/>
        <v>41841</v>
      </c>
      <c r="Q170" s="301"/>
      <c r="R170" s="256"/>
      <c r="S170" s="8">
        <f t="shared" si="34"/>
        <v>0</v>
      </c>
      <c r="T170" s="443"/>
      <c r="U170" s="731"/>
      <c r="V170" s="756"/>
      <c r="W170" s="756"/>
      <c r="X170" s="8">
        <f t="shared" si="35"/>
        <v>0</v>
      </c>
    </row>
    <row r="171" spans="1:24">
      <c r="A171" s="753">
        <f t="shared" ref="A171:A172" si="41">IF(B171&lt;&gt;"",A170+1,"")</f>
        <v>34</v>
      </c>
      <c r="B171" s="296" t="s">
        <v>605</v>
      </c>
      <c r="C171" s="729">
        <v>41845</v>
      </c>
      <c r="D171" s="730" t="s">
        <v>606</v>
      </c>
      <c r="E171" s="776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4">
        <v>100</v>
      </c>
      <c r="L171" s="257">
        <f t="shared" si="33"/>
        <v>0</v>
      </c>
      <c r="M171" s="629">
        <v>10500</v>
      </c>
      <c r="N171" s="629"/>
      <c r="O171" s="296"/>
      <c r="P171" s="729">
        <f t="shared" si="36"/>
        <v>41843</v>
      </c>
      <c r="Q171" s="774"/>
      <c r="R171" s="258"/>
      <c r="S171" s="8">
        <f t="shared" si="34"/>
        <v>0</v>
      </c>
      <c r="T171" s="443"/>
      <c r="U171" s="731"/>
      <c r="V171" s="756"/>
      <c r="W171" s="756"/>
      <c r="X171" s="8">
        <f t="shared" si="35"/>
        <v>0</v>
      </c>
    </row>
    <row r="172" spans="1:24">
      <c r="A172" s="753">
        <f t="shared" si="41"/>
        <v>35</v>
      </c>
      <c r="B172" s="296" t="s">
        <v>607</v>
      </c>
      <c r="C172" s="729">
        <v>41845</v>
      </c>
      <c r="D172" s="730" t="s">
        <v>608</v>
      </c>
      <c r="E172" s="776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4">
        <v>371</v>
      </c>
      <c r="L172" s="257">
        <f t="shared" si="33"/>
        <v>0</v>
      </c>
      <c r="M172" s="629">
        <v>13000</v>
      </c>
      <c r="N172" s="629"/>
      <c r="O172" s="296"/>
      <c r="P172" s="729">
        <f t="shared" ref="P172:P203" si="42">C172-2</f>
        <v>41843</v>
      </c>
      <c r="Q172" s="774"/>
      <c r="R172" s="258"/>
      <c r="S172" s="8">
        <f t="shared" si="34"/>
        <v>0</v>
      </c>
      <c r="T172" s="443"/>
      <c r="U172" s="731"/>
      <c r="V172" s="756"/>
      <c r="W172" s="756"/>
      <c r="X172" s="8">
        <f t="shared" si="35"/>
        <v>0</v>
      </c>
    </row>
    <row r="173" spans="1:24">
      <c r="A173" s="753">
        <f>IF(B173&lt;&gt;"",A172+1,"")</f>
        <v>36</v>
      </c>
      <c r="B173" s="296" t="s">
        <v>610</v>
      </c>
      <c r="C173" s="729">
        <v>41845</v>
      </c>
      <c r="D173" s="730" t="s">
        <v>608</v>
      </c>
      <c r="E173" s="776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4">
        <v>156</v>
      </c>
      <c r="L173" s="257">
        <f t="shared" si="33"/>
        <v>0</v>
      </c>
      <c r="M173" s="629">
        <v>11900</v>
      </c>
      <c r="N173" s="629"/>
      <c r="O173" s="189"/>
      <c r="P173" s="729">
        <f t="shared" si="42"/>
        <v>41843</v>
      </c>
      <c r="Q173" s="774"/>
      <c r="R173" s="758"/>
      <c r="S173" s="8">
        <f t="shared" si="34"/>
        <v>0</v>
      </c>
      <c r="T173" s="443"/>
      <c r="U173" s="731"/>
      <c r="V173" s="756"/>
      <c r="W173" s="756"/>
      <c r="X173" s="8">
        <f t="shared" si="35"/>
        <v>0</v>
      </c>
    </row>
    <row r="174" spans="1:24">
      <c r="A174" s="753">
        <f>IF(B174&lt;&gt;"",A173+1,"")</f>
        <v>37</v>
      </c>
      <c r="B174" s="296" t="s">
        <v>630</v>
      </c>
      <c r="C174" s="729">
        <v>41845</v>
      </c>
      <c r="D174" s="730" t="s">
        <v>608</v>
      </c>
      <c r="E174" s="776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4">
        <v>1400</v>
      </c>
      <c r="L174" s="257">
        <f t="shared" si="33"/>
        <v>0</v>
      </c>
      <c r="M174" s="629">
        <v>400</v>
      </c>
      <c r="N174" s="629"/>
      <c r="O174" s="189"/>
      <c r="P174" s="729">
        <f t="shared" si="42"/>
        <v>41843</v>
      </c>
      <c r="Q174" s="301"/>
      <c r="R174" s="258"/>
      <c r="S174" s="8">
        <f t="shared" si="34"/>
        <v>0</v>
      </c>
      <c r="T174" s="443"/>
      <c r="U174" s="731"/>
      <c r="V174" s="756"/>
      <c r="W174" s="756"/>
      <c r="X174" s="8">
        <f t="shared" si="35"/>
        <v>0</v>
      </c>
    </row>
    <row r="175" spans="1:24">
      <c r="A175" s="753">
        <f>IF(B175&lt;&gt;"",A174+1,"")</f>
        <v>38</v>
      </c>
      <c r="B175" s="296" t="s">
        <v>611</v>
      </c>
      <c r="C175" s="729">
        <v>41845</v>
      </c>
      <c r="D175" s="730" t="s">
        <v>612</v>
      </c>
      <c r="E175" s="776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4">
        <v>97</v>
      </c>
      <c r="L175" s="257">
        <f t="shared" si="33"/>
        <v>0</v>
      </c>
      <c r="M175" s="629">
        <v>7900</v>
      </c>
      <c r="N175" s="629"/>
      <c r="O175" s="296"/>
      <c r="P175" s="729">
        <f t="shared" si="42"/>
        <v>41843</v>
      </c>
      <c r="Q175" s="301"/>
      <c r="R175" s="256"/>
      <c r="S175" s="8">
        <f t="shared" si="34"/>
        <v>0</v>
      </c>
      <c r="T175" s="443"/>
      <c r="U175" s="731"/>
      <c r="V175" s="756"/>
      <c r="W175" s="756"/>
      <c r="X175" s="8">
        <f t="shared" si="35"/>
        <v>0</v>
      </c>
    </row>
    <row r="176" spans="1:24">
      <c r="A176" s="753">
        <f t="shared" ref="A176:A298" si="43">IF(B176&lt;&gt;"",A175+1,"")</f>
        <v>39</v>
      </c>
      <c r="B176" s="296" t="s">
        <v>613</v>
      </c>
      <c r="C176" s="729">
        <v>41849</v>
      </c>
      <c r="D176" s="730" t="s">
        <v>614</v>
      </c>
      <c r="E176" s="776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4">
        <v>1920</v>
      </c>
      <c r="L176" s="257">
        <f t="shared" si="33"/>
        <v>0</v>
      </c>
      <c r="M176" s="629">
        <v>9000</v>
      </c>
      <c r="N176" s="629"/>
      <c r="O176" s="189"/>
      <c r="P176" s="729">
        <f t="shared" si="42"/>
        <v>41847</v>
      </c>
      <c r="Q176" s="301"/>
      <c r="R176" s="256"/>
      <c r="S176" s="8">
        <f t="shared" si="34"/>
        <v>0</v>
      </c>
      <c r="T176" s="443"/>
      <c r="U176" s="731"/>
      <c r="V176" s="756"/>
      <c r="W176" s="756"/>
      <c r="X176" s="8">
        <f t="shared" si="35"/>
        <v>0</v>
      </c>
    </row>
    <row r="177" spans="1:24">
      <c r="A177" s="753">
        <f t="shared" si="43"/>
        <v>40</v>
      </c>
      <c r="B177" s="296" t="s">
        <v>615</v>
      </c>
      <c r="C177" s="729">
        <v>41849</v>
      </c>
      <c r="D177" s="730" t="s">
        <v>614</v>
      </c>
      <c r="E177" s="776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4">
        <v>560</v>
      </c>
      <c r="L177" s="257">
        <f t="shared" si="33"/>
        <v>0</v>
      </c>
      <c r="M177" s="629">
        <v>12000</v>
      </c>
      <c r="N177" s="629"/>
      <c r="O177" s="189"/>
      <c r="P177" s="729">
        <f t="shared" si="42"/>
        <v>41847</v>
      </c>
      <c r="Q177" s="301"/>
      <c r="R177" s="256"/>
      <c r="S177" s="8">
        <f t="shared" si="34"/>
        <v>0</v>
      </c>
      <c r="T177" s="443"/>
      <c r="U177" s="731"/>
      <c r="V177" s="756"/>
      <c r="W177" s="756"/>
      <c r="X177" s="8">
        <f t="shared" si="35"/>
        <v>0</v>
      </c>
    </row>
    <row r="178" spans="1:24">
      <c r="A178" s="753">
        <f t="shared" si="43"/>
        <v>41</v>
      </c>
      <c r="B178" s="296" t="s">
        <v>572</v>
      </c>
      <c r="C178" s="729">
        <v>41849</v>
      </c>
      <c r="D178" s="730" t="s">
        <v>616</v>
      </c>
      <c r="E178" s="776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4">
        <v>515</v>
      </c>
      <c r="L178" s="257">
        <f t="shared" si="33"/>
        <v>0</v>
      </c>
      <c r="M178" s="629">
        <v>10500</v>
      </c>
      <c r="N178" s="629"/>
      <c r="O178" s="189"/>
      <c r="P178" s="729">
        <f t="shared" si="42"/>
        <v>41847</v>
      </c>
      <c r="Q178" s="301"/>
      <c r="R178" s="256"/>
      <c r="S178" s="8">
        <f t="shared" si="34"/>
        <v>0</v>
      </c>
      <c r="T178" s="443"/>
      <c r="U178" s="731"/>
      <c r="V178" s="756"/>
      <c r="W178" s="756"/>
      <c r="X178" s="8">
        <f t="shared" si="35"/>
        <v>0</v>
      </c>
    </row>
    <row r="179" spans="1:24">
      <c r="A179" s="753">
        <f t="shared" si="43"/>
        <v>42</v>
      </c>
      <c r="B179" s="296" t="s">
        <v>617</v>
      </c>
      <c r="C179" s="729">
        <v>41849</v>
      </c>
      <c r="D179" s="730" t="s">
        <v>616</v>
      </c>
      <c r="E179" s="776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4">
        <v>500</v>
      </c>
      <c r="L179" s="257">
        <f t="shared" si="33"/>
        <v>0</v>
      </c>
      <c r="M179" s="629">
        <v>10500</v>
      </c>
      <c r="N179" s="629"/>
      <c r="O179" s="189"/>
      <c r="P179" s="729">
        <f t="shared" si="42"/>
        <v>41847</v>
      </c>
      <c r="Q179" s="301"/>
      <c r="R179" s="256"/>
      <c r="S179" s="8">
        <f t="shared" si="34"/>
        <v>0</v>
      </c>
      <c r="T179" s="443"/>
      <c r="U179" s="731"/>
      <c r="V179" s="756"/>
      <c r="W179" s="756"/>
      <c r="X179" s="8">
        <f t="shared" si="35"/>
        <v>0</v>
      </c>
    </row>
    <row r="180" spans="1:24">
      <c r="A180" s="753">
        <f t="shared" si="43"/>
        <v>43</v>
      </c>
      <c r="B180" s="296" t="s">
        <v>423</v>
      </c>
      <c r="C180" s="729">
        <v>41850</v>
      </c>
      <c r="D180" s="730" t="s">
        <v>618</v>
      </c>
      <c r="E180" s="776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4">
        <v>2554</v>
      </c>
      <c r="L180" s="257">
        <f t="shared" si="33"/>
        <v>0</v>
      </c>
      <c r="M180" s="629">
        <v>5500</v>
      </c>
      <c r="N180" s="629"/>
      <c r="O180" s="189"/>
      <c r="P180" s="729">
        <f t="shared" si="42"/>
        <v>41848</v>
      </c>
      <c r="Q180" s="301"/>
      <c r="R180" s="256"/>
      <c r="S180" s="8">
        <f t="shared" si="34"/>
        <v>0</v>
      </c>
      <c r="T180" s="443"/>
      <c r="U180" s="731"/>
      <c r="V180" s="756"/>
      <c r="W180" s="756"/>
      <c r="X180" s="8">
        <f t="shared" si="35"/>
        <v>0</v>
      </c>
    </row>
    <row r="181" spans="1:24">
      <c r="A181" s="753">
        <f t="shared" si="43"/>
        <v>44</v>
      </c>
      <c r="B181" s="296" t="s">
        <v>619</v>
      </c>
      <c r="C181" s="729">
        <v>41850</v>
      </c>
      <c r="D181" s="730" t="s">
        <v>618</v>
      </c>
      <c r="E181" s="776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4">
        <v>330</v>
      </c>
      <c r="L181" s="257">
        <f t="shared" si="33"/>
        <v>0</v>
      </c>
      <c r="M181" s="629">
        <v>4500</v>
      </c>
      <c r="N181" s="629"/>
      <c r="O181" s="189"/>
      <c r="P181" s="729">
        <f t="shared" si="42"/>
        <v>41848</v>
      </c>
      <c r="Q181" s="301"/>
      <c r="R181" s="256"/>
      <c r="S181" s="8">
        <f t="shared" si="34"/>
        <v>0</v>
      </c>
      <c r="T181" s="443"/>
      <c r="U181" s="731"/>
      <c r="V181" s="756"/>
      <c r="W181" s="756"/>
      <c r="X181" s="8">
        <f t="shared" si="35"/>
        <v>0</v>
      </c>
    </row>
    <row r="182" spans="1:24">
      <c r="A182" s="753">
        <f t="shared" si="43"/>
        <v>45</v>
      </c>
      <c r="B182" s="296" t="s">
        <v>427</v>
      </c>
      <c r="C182" s="729">
        <v>41857</v>
      </c>
      <c r="D182" s="730" t="s">
        <v>620</v>
      </c>
      <c r="E182" s="776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4">
        <v>500</v>
      </c>
      <c r="L182" s="257">
        <f t="shared" si="33"/>
        <v>0</v>
      </c>
      <c r="M182" s="629">
        <v>17300</v>
      </c>
      <c r="N182" s="629"/>
      <c r="O182" s="296"/>
      <c r="P182" s="729">
        <f t="shared" si="42"/>
        <v>41855</v>
      </c>
      <c r="Q182" s="301"/>
      <c r="R182" s="258"/>
      <c r="S182" s="8">
        <f t="shared" si="34"/>
        <v>0</v>
      </c>
      <c r="T182" s="443"/>
      <c r="U182" s="731"/>
      <c r="V182" s="756"/>
      <c r="W182" s="756"/>
      <c r="X182" s="8">
        <f t="shared" si="35"/>
        <v>0</v>
      </c>
    </row>
    <row r="183" spans="1:24">
      <c r="A183" s="753">
        <f t="shared" si="43"/>
        <v>46</v>
      </c>
      <c r="B183" s="296" t="s">
        <v>451</v>
      </c>
      <c r="C183" s="729">
        <v>41858</v>
      </c>
      <c r="D183" s="730" t="s">
        <v>620</v>
      </c>
      <c r="E183" s="776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4">
        <v>1000</v>
      </c>
      <c r="L183" s="257">
        <f t="shared" si="33"/>
        <v>0</v>
      </c>
      <c r="M183" s="629">
        <v>1500</v>
      </c>
      <c r="N183" s="629"/>
      <c r="O183" s="189"/>
      <c r="P183" s="729">
        <f t="shared" si="42"/>
        <v>41856</v>
      </c>
      <c r="Q183" s="301"/>
      <c r="R183" s="256"/>
      <c r="S183" s="8">
        <f t="shared" si="34"/>
        <v>0</v>
      </c>
      <c r="T183" s="443"/>
      <c r="U183" s="731"/>
      <c r="V183" s="756"/>
      <c r="W183" s="756"/>
      <c r="X183" s="8">
        <f t="shared" si="35"/>
        <v>0</v>
      </c>
    </row>
    <row r="184" spans="1:24">
      <c r="A184" s="753">
        <f t="shared" si="43"/>
        <v>47</v>
      </c>
      <c r="B184" s="296" t="s">
        <v>500</v>
      </c>
      <c r="C184" s="729">
        <v>41859</v>
      </c>
      <c r="D184" s="730" t="s">
        <v>621</v>
      </c>
      <c r="E184" s="776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4">
        <v>300</v>
      </c>
      <c r="L184" s="257">
        <f t="shared" si="33"/>
        <v>0</v>
      </c>
      <c r="M184" s="629">
        <v>8600</v>
      </c>
      <c r="N184" s="629"/>
      <c r="O184" s="296"/>
      <c r="P184" s="729">
        <f t="shared" si="42"/>
        <v>41857</v>
      </c>
      <c r="Q184" s="774"/>
      <c r="R184" s="256"/>
      <c r="S184" s="8">
        <f t="shared" si="34"/>
        <v>0</v>
      </c>
      <c r="T184" s="443"/>
      <c r="U184" s="731"/>
      <c r="V184" s="756"/>
      <c r="W184" s="756"/>
      <c r="X184" s="8">
        <f t="shared" si="35"/>
        <v>0</v>
      </c>
    </row>
    <row r="185" spans="1:24">
      <c r="A185" s="753">
        <f t="shared" si="43"/>
        <v>48</v>
      </c>
      <c r="B185" s="296" t="s">
        <v>622</v>
      </c>
      <c r="C185" s="729">
        <v>41859</v>
      </c>
      <c r="D185" s="730" t="s">
        <v>623</v>
      </c>
      <c r="E185" s="776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4">
        <v>393</v>
      </c>
      <c r="L185" s="257">
        <f t="shared" si="33"/>
        <v>0</v>
      </c>
      <c r="M185" s="629">
        <v>11100</v>
      </c>
      <c r="N185" s="629"/>
      <c r="O185" s="189"/>
      <c r="P185" s="729">
        <f t="shared" si="42"/>
        <v>41857</v>
      </c>
      <c r="Q185" s="301"/>
      <c r="R185" s="258"/>
      <c r="S185" s="8">
        <f t="shared" si="34"/>
        <v>0</v>
      </c>
      <c r="T185" s="443"/>
      <c r="U185" s="731"/>
      <c r="V185" s="756"/>
      <c r="W185" s="756"/>
      <c r="X185" s="8">
        <f t="shared" si="35"/>
        <v>0</v>
      </c>
    </row>
    <row r="186" spans="1:24">
      <c r="A186" s="753">
        <f t="shared" si="43"/>
        <v>49</v>
      </c>
      <c r="B186" s="296" t="s">
        <v>625</v>
      </c>
      <c r="C186" s="729">
        <v>41859</v>
      </c>
      <c r="D186" s="730" t="s">
        <v>626</v>
      </c>
      <c r="E186" s="776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4">
        <v>198</v>
      </c>
      <c r="L186" s="257">
        <f t="shared" si="33"/>
        <v>0</v>
      </c>
      <c r="M186" s="629">
        <v>18300</v>
      </c>
      <c r="N186" s="629"/>
      <c r="O186" s="189"/>
      <c r="P186" s="729">
        <f t="shared" si="42"/>
        <v>41857</v>
      </c>
      <c r="Q186" s="301"/>
      <c r="R186" s="256"/>
      <c r="S186" s="8">
        <f t="shared" si="34"/>
        <v>0</v>
      </c>
      <c r="T186" s="443"/>
      <c r="U186" s="731"/>
      <c r="V186" s="756"/>
      <c r="W186" s="756"/>
      <c r="X186" s="8">
        <f t="shared" si="35"/>
        <v>0</v>
      </c>
    </row>
    <row r="187" spans="1:24">
      <c r="A187" s="753">
        <f t="shared" si="43"/>
        <v>50</v>
      </c>
      <c r="B187" s="296" t="s">
        <v>627</v>
      </c>
      <c r="C187" s="729">
        <v>41859</v>
      </c>
      <c r="D187" s="730" t="s">
        <v>626</v>
      </c>
      <c r="E187" s="776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4">
        <v>996</v>
      </c>
      <c r="L187" s="257">
        <f t="shared" si="33"/>
        <v>0</v>
      </c>
      <c r="M187" s="629">
        <v>7160</v>
      </c>
      <c r="N187" s="629"/>
      <c r="O187" s="189"/>
      <c r="P187" s="729">
        <f t="shared" si="42"/>
        <v>41857</v>
      </c>
      <c r="Q187" s="301"/>
      <c r="R187" s="256"/>
      <c r="S187" s="8">
        <f t="shared" si="34"/>
        <v>0</v>
      </c>
      <c r="T187" s="443"/>
      <c r="U187" s="731"/>
      <c r="V187" s="756"/>
      <c r="W187" s="756"/>
      <c r="X187" s="8">
        <f t="shared" si="35"/>
        <v>0</v>
      </c>
    </row>
    <row r="188" spans="1:24">
      <c r="A188" s="753">
        <f t="shared" si="43"/>
        <v>51</v>
      </c>
      <c r="B188" s="296" t="s">
        <v>628</v>
      </c>
      <c r="C188" s="729">
        <v>41859</v>
      </c>
      <c r="D188" s="730" t="s">
        <v>626</v>
      </c>
      <c r="E188" s="776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4">
        <v>650</v>
      </c>
      <c r="L188" s="257">
        <f t="shared" si="33"/>
        <v>0</v>
      </c>
      <c r="M188" s="629">
        <v>17600</v>
      </c>
      <c r="N188" s="629"/>
      <c r="O188" s="189"/>
      <c r="P188" s="729">
        <f t="shared" si="42"/>
        <v>41857</v>
      </c>
      <c r="Q188" s="301"/>
      <c r="R188" s="758"/>
      <c r="S188" s="8">
        <f t="shared" si="34"/>
        <v>0</v>
      </c>
      <c r="T188" s="443"/>
      <c r="U188" s="731"/>
      <c r="V188" s="756"/>
      <c r="W188" s="756"/>
      <c r="X188" s="8">
        <f t="shared" si="35"/>
        <v>0</v>
      </c>
    </row>
    <row r="189" spans="1:24">
      <c r="A189" s="753">
        <f t="shared" si="43"/>
        <v>52</v>
      </c>
      <c r="B189" s="296" t="s">
        <v>629</v>
      </c>
      <c r="C189" s="729">
        <v>41859</v>
      </c>
      <c r="D189" s="730" t="s">
        <v>626</v>
      </c>
      <c r="E189" s="776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4">
        <v>1440</v>
      </c>
      <c r="L189" s="257">
        <f t="shared" si="33"/>
        <v>0</v>
      </c>
      <c r="M189" s="629">
        <v>8100</v>
      </c>
      <c r="N189" s="629"/>
      <c r="O189" s="189"/>
      <c r="P189" s="729">
        <f t="shared" si="42"/>
        <v>41857</v>
      </c>
      <c r="Q189" s="301"/>
      <c r="R189" s="758"/>
      <c r="S189" s="8">
        <f t="shared" si="34"/>
        <v>0</v>
      </c>
      <c r="T189" s="443"/>
      <c r="U189" s="731"/>
      <c r="V189" s="756"/>
      <c r="W189" s="756"/>
      <c r="X189" s="8">
        <f t="shared" si="35"/>
        <v>0</v>
      </c>
    </row>
    <row r="190" spans="1:24">
      <c r="A190" s="753">
        <f t="shared" si="43"/>
        <v>53</v>
      </c>
      <c r="B190" s="296" t="s">
        <v>607</v>
      </c>
      <c r="C190" s="729">
        <v>41859</v>
      </c>
      <c r="D190" s="730" t="s">
        <v>626</v>
      </c>
      <c r="E190" s="776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4">
        <v>160</v>
      </c>
      <c r="L190" s="257">
        <f t="shared" si="33"/>
        <v>0</v>
      </c>
      <c r="M190" s="629">
        <v>13000</v>
      </c>
      <c r="N190" s="629"/>
      <c r="O190" s="189"/>
      <c r="P190" s="729">
        <f t="shared" si="42"/>
        <v>41857</v>
      </c>
      <c r="Q190" s="301"/>
      <c r="R190" s="758"/>
      <c r="S190" s="8">
        <f t="shared" si="34"/>
        <v>0</v>
      </c>
      <c r="T190" s="443"/>
      <c r="U190" s="731"/>
      <c r="V190" s="756"/>
      <c r="W190" s="756"/>
      <c r="X190" s="8">
        <f t="shared" si="35"/>
        <v>0</v>
      </c>
    </row>
    <row r="191" spans="1:24">
      <c r="A191" s="753">
        <f t="shared" si="43"/>
        <v>54</v>
      </c>
      <c r="B191" s="296" t="s">
        <v>630</v>
      </c>
      <c r="C191" s="729">
        <v>41859</v>
      </c>
      <c r="D191" s="730" t="s">
        <v>626</v>
      </c>
      <c r="E191" s="776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4">
        <v>4400</v>
      </c>
      <c r="L191" s="257">
        <f t="shared" si="33"/>
        <v>0</v>
      </c>
      <c r="M191" s="629">
        <v>400</v>
      </c>
      <c r="N191" s="629"/>
      <c r="O191" s="189"/>
      <c r="P191" s="729">
        <f t="shared" si="42"/>
        <v>41857</v>
      </c>
      <c r="Q191" s="301"/>
      <c r="R191" s="256"/>
      <c r="S191" s="8">
        <f t="shared" si="34"/>
        <v>0</v>
      </c>
      <c r="T191" s="443"/>
      <c r="U191" s="731"/>
      <c r="V191" s="756"/>
      <c r="W191" s="756"/>
      <c r="X191" s="8">
        <f t="shared" si="35"/>
        <v>0</v>
      </c>
    </row>
    <row r="192" spans="1:24">
      <c r="A192" s="753">
        <f t="shared" si="43"/>
        <v>55</v>
      </c>
      <c r="B192" s="296" t="s">
        <v>465</v>
      </c>
      <c r="C192" s="729">
        <v>41863</v>
      </c>
      <c r="D192" s="730" t="s">
        <v>631</v>
      </c>
      <c r="E192" s="776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4">
        <v>1043</v>
      </c>
      <c r="L192" s="257">
        <f t="shared" si="33"/>
        <v>0</v>
      </c>
      <c r="M192" s="629">
        <v>8740</v>
      </c>
      <c r="N192" s="629"/>
      <c r="O192" s="189"/>
      <c r="P192" s="729">
        <f t="shared" si="42"/>
        <v>41861</v>
      </c>
      <c r="Q192" s="301"/>
      <c r="R192" s="258"/>
      <c r="S192" s="8">
        <f t="shared" si="34"/>
        <v>0</v>
      </c>
      <c r="T192" s="443"/>
      <c r="U192" s="731"/>
      <c r="V192" s="756"/>
      <c r="W192" s="756"/>
      <c r="X192" s="8">
        <f t="shared" si="35"/>
        <v>0</v>
      </c>
    </row>
    <row r="193" spans="1:24">
      <c r="A193" s="753">
        <f t="shared" si="43"/>
        <v>56</v>
      </c>
      <c r="B193" s="296" t="s">
        <v>429</v>
      </c>
      <c r="C193" s="729">
        <v>41863</v>
      </c>
      <c r="D193" s="730" t="s">
        <v>632</v>
      </c>
      <c r="E193" s="776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4">
        <v>500</v>
      </c>
      <c r="L193" s="257">
        <f t="shared" si="33"/>
        <v>0</v>
      </c>
      <c r="M193" s="629">
        <v>10200</v>
      </c>
      <c r="N193" s="629"/>
      <c r="O193" s="189"/>
      <c r="P193" s="729">
        <f t="shared" si="42"/>
        <v>41861</v>
      </c>
      <c r="Q193" s="301"/>
      <c r="R193" s="256"/>
      <c r="S193" s="8">
        <f t="shared" si="34"/>
        <v>0</v>
      </c>
      <c r="T193" s="443"/>
      <c r="U193" s="731"/>
      <c r="V193" s="756"/>
      <c r="W193" s="756"/>
      <c r="X193" s="8">
        <f t="shared" si="35"/>
        <v>0</v>
      </c>
    </row>
    <row r="194" spans="1:24">
      <c r="A194" s="753">
        <f t="shared" si="43"/>
        <v>57</v>
      </c>
      <c r="B194" s="296" t="s">
        <v>442</v>
      </c>
      <c r="C194" s="729">
        <v>41864</v>
      </c>
      <c r="D194" s="730" t="s">
        <v>633</v>
      </c>
      <c r="E194" s="776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4">
        <v>650</v>
      </c>
      <c r="L194" s="257">
        <f t="shared" si="33"/>
        <v>0</v>
      </c>
      <c r="M194" s="629">
        <v>10500</v>
      </c>
      <c r="N194" s="629"/>
      <c r="O194" s="189"/>
      <c r="P194" s="729">
        <f t="shared" si="42"/>
        <v>41862</v>
      </c>
      <c r="Q194" s="301"/>
      <c r="R194" s="256"/>
      <c r="S194" s="8">
        <f t="shared" si="34"/>
        <v>0</v>
      </c>
      <c r="T194" s="443"/>
      <c r="U194" s="731"/>
      <c r="V194" s="756"/>
      <c r="W194" s="756"/>
      <c r="X194" s="8">
        <f t="shared" si="35"/>
        <v>0</v>
      </c>
    </row>
    <row r="195" spans="1:24">
      <c r="A195" s="753">
        <f t="shared" si="43"/>
        <v>58</v>
      </c>
      <c r="B195" s="296" t="s">
        <v>500</v>
      </c>
      <c r="C195" s="729">
        <v>41865</v>
      </c>
      <c r="D195" s="730" t="s">
        <v>634</v>
      </c>
      <c r="E195" s="776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4">
        <v>208</v>
      </c>
      <c r="L195" s="257">
        <f t="shared" si="33"/>
        <v>0</v>
      </c>
      <c r="M195" s="629">
        <v>8600</v>
      </c>
      <c r="N195" s="629"/>
      <c r="O195" s="189"/>
      <c r="P195" s="729">
        <f t="shared" si="42"/>
        <v>41863</v>
      </c>
      <c r="Q195" s="301"/>
      <c r="R195" s="258"/>
      <c r="S195" s="8">
        <f t="shared" si="34"/>
        <v>0</v>
      </c>
      <c r="T195" s="443"/>
      <c r="U195" s="731"/>
      <c r="V195" s="756"/>
      <c r="W195" s="756"/>
      <c r="X195" s="8">
        <f t="shared" si="35"/>
        <v>0</v>
      </c>
    </row>
    <row r="196" spans="1:24">
      <c r="A196" s="753">
        <f t="shared" si="43"/>
        <v>59</v>
      </c>
      <c r="B196" s="296" t="s">
        <v>518</v>
      </c>
      <c r="C196" s="729">
        <v>41865</v>
      </c>
      <c r="D196" s="730" t="s">
        <v>634</v>
      </c>
      <c r="E196" s="776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4">
        <v>320</v>
      </c>
      <c r="L196" s="257">
        <f t="shared" si="33"/>
        <v>0</v>
      </c>
      <c r="M196" s="629">
        <v>7000</v>
      </c>
      <c r="N196" s="629"/>
      <c r="O196" s="189"/>
      <c r="P196" s="729">
        <f t="shared" si="42"/>
        <v>41863</v>
      </c>
      <c r="Q196" s="301"/>
      <c r="R196" s="258"/>
      <c r="S196" s="8">
        <f t="shared" si="34"/>
        <v>0</v>
      </c>
      <c r="T196" s="443"/>
      <c r="U196" s="731"/>
      <c r="V196" s="756"/>
      <c r="W196" s="756"/>
      <c r="X196" s="8">
        <f t="shared" si="35"/>
        <v>0</v>
      </c>
    </row>
    <row r="197" spans="1:24">
      <c r="A197" s="753">
        <f t="shared" si="43"/>
        <v>60</v>
      </c>
      <c r="B197" s="296" t="s">
        <v>593</v>
      </c>
      <c r="C197" s="729">
        <v>41865</v>
      </c>
      <c r="D197" s="730" t="s">
        <v>635</v>
      </c>
      <c r="E197" s="776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4">
        <v>740</v>
      </c>
      <c r="L197" s="257">
        <f t="shared" si="33"/>
        <v>0</v>
      </c>
      <c r="M197" s="629">
        <v>9100</v>
      </c>
      <c r="N197" s="629"/>
      <c r="O197" s="189"/>
      <c r="P197" s="729">
        <f t="shared" si="42"/>
        <v>41863</v>
      </c>
      <c r="Q197" s="301"/>
      <c r="R197" s="258"/>
      <c r="S197" s="8">
        <f t="shared" si="34"/>
        <v>0</v>
      </c>
      <c r="T197" s="443"/>
      <c r="U197" s="731"/>
      <c r="V197" s="756"/>
      <c r="W197" s="756"/>
      <c r="X197" s="8">
        <f t="shared" si="35"/>
        <v>0</v>
      </c>
    </row>
    <row r="198" spans="1:24">
      <c r="A198" s="753">
        <f t="shared" si="43"/>
        <v>61</v>
      </c>
      <c r="B198" s="296" t="s">
        <v>636</v>
      </c>
      <c r="C198" s="729">
        <v>41866</v>
      </c>
      <c r="D198" s="730" t="s">
        <v>637</v>
      </c>
      <c r="E198" s="776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4">
        <v>100</v>
      </c>
      <c r="L198" s="257">
        <f t="shared" si="33"/>
        <v>0</v>
      </c>
      <c r="M198" s="629">
        <v>4600</v>
      </c>
      <c r="N198" s="629"/>
      <c r="O198" s="189"/>
      <c r="P198" s="729">
        <f t="shared" si="42"/>
        <v>41864</v>
      </c>
      <c r="Q198" s="301"/>
      <c r="R198" s="256"/>
      <c r="S198" s="8">
        <f t="shared" si="34"/>
        <v>0</v>
      </c>
      <c r="T198" s="443"/>
      <c r="U198" s="731"/>
      <c r="V198" s="756"/>
      <c r="W198" s="756"/>
      <c r="X198" s="8">
        <f t="shared" si="35"/>
        <v>0</v>
      </c>
    </row>
    <row r="199" spans="1:24">
      <c r="A199" s="753">
        <f t="shared" si="43"/>
        <v>62</v>
      </c>
      <c r="B199" s="296" t="s">
        <v>529</v>
      </c>
      <c r="C199" s="729">
        <v>41866</v>
      </c>
      <c r="D199" s="730" t="s">
        <v>637</v>
      </c>
      <c r="E199" s="776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4">
        <v>120</v>
      </c>
      <c r="L199" s="257">
        <f t="shared" si="33"/>
        <v>0</v>
      </c>
      <c r="M199" s="629">
        <v>4700</v>
      </c>
      <c r="N199" s="629"/>
      <c r="O199" s="189"/>
      <c r="P199" s="729">
        <f t="shared" si="42"/>
        <v>41864</v>
      </c>
      <c r="Q199" s="774"/>
      <c r="R199" s="256"/>
      <c r="S199" s="8">
        <f t="shared" si="34"/>
        <v>0</v>
      </c>
      <c r="T199" s="443"/>
      <c r="U199" s="731"/>
      <c r="V199" s="756"/>
      <c r="W199" s="756"/>
      <c r="X199" s="8">
        <f t="shared" si="35"/>
        <v>0</v>
      </c>
    </row>
    <row r="200" spans="1:24">
      <c r="A200" s="753">
        <f t="shared" si="43"/>
        <v>63</v>
      </c>
      <c r="B200" s="296" t="s">
        <v>638</v>
      </c>
      <c r="C200" s="729">
        <v>41866</v>
      </c>
      <c r="D200" s="730" t="s">
        <v>637</v>
      </c>
      <c r="E200" s="776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4">
        <v>470</v>
      </c>
      <c r="L200" s="257">
        <f t="shared" si="33"/>
        <v>0</v>
      </c>
      <c r="M200" s="629">
        <v>3600</v>
      </c>
      <c r="N200" s="629"/>
      <c r="O200" s="296"/>
      <c r="P200" s="729">
        <f t="shared" si="42"/>
        <v>41864</v>
      </c>
      <c r="Q200" s="301"/>
      <c r="R200" s="258"/>
      <c r="S200" s="8">
        <f t="shared" si="34"/>
        <v>0</v>
      </c>
      <c r="T200" s="443"/>
      <c r="U200" s="731"/>
      <c r="V200" s="756"/>
      <c r="W200" s="756"/>
      <c r="X200" s="8">
        <f t="shared" si="35"/>
        <v>0</v>
      </c>
    </row>
    <row r="201" spans="1:24">
      <c r="A201" s="753">
        <f t="shared" si="43"/>
        <v>64</v>
      </c>
      <c r="B201" s="296" t="s">
        <v>639</v>
      </c>
      <c r="C201" s="729">
        <v>41866</v>
      </c>
      <c r="D201" s="730" t="s">
        <v>637</v>
      </c>
      <c r="E201" s="776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4">
        <v>350</v>
      </c>
      <c r="L201" s="257">
        <f t="shared" si="33"/>
        <v>0</v>
      </c>
      <c r="M201" s="629">
        <v>3800</v>
      </c>
      <c r="N201" s="629"/>
      <c r="O201" s="189"/>
      <c r="P201" s="729">
        <f t="shared" si="42"/>
        <v>41864</v>
      </c>
      <c r="Q201" s="301"/>
      <c r="R201" s="258"/>
      <c r="S201" s="8">
        <f t="shared" si="34"/>
        <v>0</v>
      </c>
      <c r="T201" s="443"/>
      <c r="U201" s="731"/>
      <c r="V201" s="756"/>
      <c r="W201" s="756"/>
      <c r="X201" s="8">
        <f t="shared" si="35"/>
        <v>0</v>
      </c>
    </row>
    <row r="202" spans="1:24">
      <c r="A202" s="753">
        <f t="shared" si="43"/>
        <v>65</v>
      </c>
      <c r="B202" s="296" t="s">
        <v>640</v>
      </c>
      <c r="C202" s="729">
        <v>41866</v>
      </c>
      <c r="D202" s="730" t="s">
        <v>637</v>
      </c>
      <c r="E202" s="776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4">
        <v>330</v>
      </c>
      <c r="L202" s="257">
        <f t="shared" si="33"/>
        <v>0</v>
      </c>
      <c r="M202" s="629">
        <v>5650</v>
      </c>
      <c r="N202" s="629"/>
      <c r="O202" s="296"/>
      <c r="P202" s="729">
        <f t="shared" si="42"/>
        <v>41864</v>
      </c>
      <c r="Q202" s="301"/>
      <c r="R202" s="256"/>
      <c r="S202" s="8">
        <f t="shared" si="34"/>
        <v>0</v>
      </c>
      <c r="T202" s="443"/>
      <c r="U202" s="731"/>
      <c r="V202" s="756"/>
      <c r="W202" s="756"/>
      <c r="X202" s="8">
        <f t="shared" si="35"/>
        <v>0</v>
      </c>
    </row>
    <row r="203" spans="1:24">
      <c r="A203" s="753">
        <f t="shared" si="43"/>
        <v>66</v>
      </c>
      <c r="B203" s="296" t="s">
        <v>429</v>
      </c>
      <c r="C203" s="729">
        <v>41866</v>
      </c>
      <c r="D203" s="730" t="s">
        <v>641</v>
      </c>
      <c r="E203" s="776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4">
        <v>488</v>
      </c>
      <c r="L203" s="257">
        <f t="shared" si="33"/>
        <v>0</v>
      </c>
      <c r="M203" s="629">
        <v>10200</v>
      </c>
      <c r="N203" s="629"/>
      <c r="O203" s="189"/>
      <c r="P203" s="729">
        <f t="shared" si="42"/>
        <v>41864</v>
      </c>
      <c r="Q203" s="301"/>
      <c r="R203" s="258"/>
      <c r="S203" s="8">
        <f t="shared" si="34"/>
        <v>0</v>
      </c>
      <c r="T203" s="443"/>
      <c r="U203" s="731"/>
      <c r="V203" s="756"/>
      <c r="W203" s="756"/>
      <c r="X203" s="8">
        <f t="shared" si="35"/>
        <v>0</v>
      </c>
    </row>
    <row r="204" spans="1:24">
      <c r="A204" s="753">
        <f t="shared" si="43"/>
        <v>67</v>
      </c>
      <c r="B204" s="296" t="s">
        <v>642</v>
      </c>
      <c r="C204" s="729">
        <v>41869</v>
      </c>
      <c r="D204" s="730" t="s">
        <v>643</v>
      </c>
      <c r="E204" s="776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4">
        <v>200</v>
      </c>
      <c r="L204" s="257">
        <f t="shared" si="33"/>
        <v>0</v>
      </c>
      <c r="M204" s="629">
        <v>7000</v>
      </c>
      <c r="N204" s="629"/>
      <c r="O204" s="189"/>
      <c r="P204" s="729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1"/>
      <c r="V204" s="756"/>
      <c r="W204" s="756"/>
      <c r="X204" s="8">
        <f t="shared" si="35"/>
        <v>0</v>
      </c>
    </row>
    <row r="205" spans="1:24">
      <c r="A205" s="753">
        <f t="shared" si="43"/>
        <v>68</v>
      </c>
      <c r="B205" s="296" t="s">
        <v>593</v>
      </c>
      <c r="C205" s="729">
        <v>41871</v>
      </c>
      <c r="D205" s="730" t="s">
        <v>644</v>
      </c>
      <c r="E205" s="776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4">
        <v>350</v>
      </c>
      <c r="L205" s="257">
        <f t="shared" si="33"/>
        <v>0</v>
      </c>
      <c r="M205" s="629">
        <v>9100</v>
      </c>
      <c r="N205" s="629"/>
      <c r="O205" s="189"/>
      <c r="P205" s="729">
        <f t="shared" si="47"/>
        <v>41869</v>
      </c>
      <c r="Q205" s="301"/>
      <c r="R205" s="258"/>
      <c r="S205" s="8">
        <f t="shared" si="34"/>
        <v>0</v>
      </c>
      <c r="T205" s="443"/>
      <c r="U205" s="731"/>
      <c r="V205" s="756"/>
      <c r="W205" s="756"/>
      <c r="X205" s="8">
        <f t="shared" si="35"/>
        <v>0</v>
      </c>
    </row>
    <row r="206" spans="1:24">
      <c r="A206" s="753">
        <f t="shared" si="43"/>
        <v>69</v>
      </c>
      <c r="B206" s="296" t="s">
        <v>645</v>
      </c>
      <c r="C206" s="729">
        <v>41871</v>
      </c>
      <c r="D206" s="730" t="s">
        <v>646</v>
      </c>
      <c r="E206" s="776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4">
        <v>500</v>
      </c>
      <c r="L206" s="257">
        <f t="shared" si="33"/>
        <v>0</v>
      </c>
      <c r="M206" s="629">
        <v>13500</v>
      </c>
      <c r="N206" s="629"/>
      <c r="O206" s="296"/>
      <c r="P206" s="729">
        <f t="shared" si="47"/>
        <v>41869</v>
      </c>
      <c r="Q206" s="301"/>
      <c r="R206" s="258"/>
      <c r="S206" s="8">
        <f t="shared" si="34"/>
        <v>0</v>
      </c>
      <c r="T206" s="443"/>
      <c r="U206" s="731"/>
      <c r="V206" s="756"/>
      <c r="W206" s="756"/>
      <c r="X206" s="8">
        <f t="shared" si="35"/>
        <v>0</v>
      </c>
    </row>
    <row r="207" spans="1:24">
      <c r="A207" s="753">
        <f t="shared" si="43"/>
        <v>70</v>
      </c>
      <c r="B207" s="296" t="s">
        <v>647</v>
      </c>
      <c r="C207" s="729">
        <v>41871</v>
      </c>
      <c r="D207" s="730" t="s">
        <v>648</v>
      </c>
      <c r="E207" s="776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4">
        <v>550</v>
      </c>
      <c r="L207" s="257">
        <f t="shared" si="33"/>
        <v>0</v>
      </c>
      <c r="M207" s="629">
        <v>4800</v>
      </c>
      <c r="N207" s="629"/>
      <c r="O207" s="189"/>
      <c r="P207" s="729">
        <f t="shared" si="47"/>
        <v>41869</v>
      </c>
      <c r="Q207" s="301"/>
      <c r="R207" s="258"/>
      <c r="S207" s="8">
        <f t="shared" si="34"/>
        <v>0</v>
      </c>
      <c r="T207" s="443"/>
      <c r="U207" s="731"/>
      <c r="V207" s="756"/>
      <c r="W207" s="756"/>
      <c r="X207" s="8">
        <f t="shared" si="35"/>
        <v>0</v>
      </c>
    </row>
    <row r="208" spans="1:24">
      <c r="A208" s="753">
        <f t="shared" si="43"/>
        <v>71</v>
      </c>
      <c r="B208" s="296" t="s">
        <v>489</v>
      </c>
      <c r="C208" s="729">
        <v>41872</v>
      </c>
      <c r="D208" s="730" t="s">
        <v>650</v>
      </c>
      <c r="E208" s="776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4">
        <v>196</v>
      </c>
      <c r="L208" s="257">
        <f t="shared" si="33"/>
        <v>0</v>
      </c>
      <c r="M208" s="629">
        <v>12900</v>
      </c>
      <c r="N208" s="629"/>
      <c r="O208" s="189"/>
      <c r="P208" s="729">
        <f t="shared" si="47"/>
        <v>41870</v>
      </c>
      <c r="Q208" s="301"/>
      <c r="R208" s="258"/>
      <c r="S208" s="8">
        <f t="shared" si="34"/>
        <v>0</v>
      </c>
      <c r="T208" s="443"/>
      <c r="U208" s="731"/>
      <c r="V208" s="756"/>
      <c r="W208" s="756"/>
      <c r="X208" s="8">
        <f t="shared" si="35"/>
        <v>0</v>
      </c>
    </row>
    <row r="209" spans="1:24">
      <c r="A209" s="753">
        <f t="shared" si="43"/>
        <v>72</v>
      </c>
      <c r="B209" s="296" t="s">
        <v>574</v>
      </c>
      <c r="C209" s="729">
        <v>41872</v>
      </c>
      <c r="D209" s="730" t="s">
        <v>650</v>
      </c>
      <c r="E209" s="776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4">
        <v>200</v>
      </c>
      <c r="L209" s="257">
        <f t="shared" si="33"/>
        <v>0</v>
      </c>
      <c r="M209" s="629">
        <v>9800</v>
      </c>
      <c r="N209" s="629"/>
      <c r="O209" s="189"/>
      <c r="P209" s="729">
        <f t="shared" si="47"/>
        <v>41870</v>
      </c>
      <c r="Q209" s="301"/>
      <c r="R209" s="258"/>
      <c r="S209" s="8">
        <f t="shared" si="34"/>
        <v>0</v>
      </c>
      <c r="T209" s="443"/>
      <c r="U209" s="731"/>
      <c r="V209" s="756"/>
      <c r="W209" s="756"/>
      <c r="X209" s="8">
        <f t="shared" si="35"/>
        <v>0</v>
      </c>
    </row>
    <row r="210" spans="1:24">
      <c r="A210" s="753">
        <f t="shared" si="43"/>
        <v>73</v>
      </c>
      <c r="B210" s="296" t="s">
        <v>472</v>
      </c>
      <c r="C210" s="729">
        <v>41873</v>
      </c>
      <c r="D210" s="730" t="s">
        <v>651</v>
      </c>
      <c r="E210" s="776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4">
        <v>1480</v>
      </c>
      <c r="L210" s="257">
        <f t="shared" si="33"/>
        <v>0</v>
      </c>
      <c r="M210" s="629">
        <v>4650</v>
      </c>
      <c r="N210" s="629"/>
      <c r="O210" s="189"/>
      <c r="P210" s="729">
        <f t="shared" si="47"/>
        <v>41871</v>
      </c>
      <c r="Q210" s="301"/>
      <c r="R210" s="258"/>
      <c r="S210" s="8">
        <f t="shared" si="34"/>
        <v>0</v>
      </c>
      <c r="T210" s="443"/>
      <c r="U210" s="731"/>
      <c r="V210" s="756"/>
      <c r="W210" s="756"/>
      <c r="X210" s="8">
        <f t="shared" si="35"/>
        <v>0</v>
      </c>
    </row>
    <row r="211" spans="1:24">
      <c r="A211" s="753">
        <f t="shared" si="43"/>
        <v>74</v>
      </c>
      <c r="B211" s="296" t="s">
        <v>652</v>
      </c>
      <c r="C211" s="729">
        <v>41873</v>
      </c>
      <c r="D211" s="730" t="s">
        <v>653</v>
      </c>
      <c r="E211" s="776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4">
        <v>498</v>
      </c>
      <c r="L211" s="257">
        <f t="shared" si="33"/>
        <v>0</v>
      </c>
      <c r="M211" s="629">
        <v>26979</v>
      </c>
      <c r="N211" s="629"/>
      <c r="O211" s="189"/>
      <c r="P211" s="729">
        <f t="shared" si="47"/>
        <v>41871</v>
      </c>
      <c r="Q211" s="301"/>
      <c r="R211" s="258"/>
      <c r="S211" s="8">
        <f t="shared" si="34"/>
        <v>0</v>
      </c>
      <c r="T211" s="443"/>
      <c r="U211" s="731"/>
      <c r="V211" s="756"/>
      <c r="W211" s="756"/>
      <c r="X211" s="8">
        <f t="shared" si="35"/>
        <v>0</v>
      </c>
    </row>
    <row r="212" spans="1:24">
      <c r="A212" s="753">
        <f t="shared" si="43"/>
        <v>75</v>
      </c>
      <c r="B212" s="296" t="s">
        <v>655</v>
      </c>
      <c r="C212" s="729">
        <v>41873</v>
      </c>
      <c r="D212" s="730" t="s">
        <v>653</v>
      </c>
      <c r="E212" s="776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4">
        <v>690</v>
      </c>
      <c r="L212" s="257">
        <f t="shared" si="33"/>
        <v>0</v>
      </c>
      <c r="M212" s="629">
        <v>26002</v>
      </c>
      <c r="N212" s="629"/>
      <c r="O212" s="296"/>
      <c r="P212" s="729">
        <f t="shared" si="47"/>
        <v>41871</v>
      </c>
      <c r="Q212" s="301"/>
      <c r="R212" s="256"/>
      <c r="S212" s="8">
        <f t="shared" si="34"/>
        <v>0</v>
      </c>
      <c r="T212" s="443"/>
      <c r="U212" s="731"/>
      <c r="V212" s="756"/>
      <c r="W212" s="756"/>
      <c r="X212" s="8">
        <f t="shared" si="35"/>
        <v>0</v>
      </c>
    </row>
    <row r="213" spans="1:24">
      <c r="A213" s="753">
        <f t="shared" si="43"/>
        <v>76</v>
      </c>
      <c r="B213" s="296" t="s">
        <v>655</v>
      </c>
      <c r="C213" s="729">
        <v>41873</v>
      </c>
      <c r="D213" s="730" t="s">
        <v>653</v>
      </c>
      <c r="E213" s="776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4">
        <v>130</v>
      </c>
      <c r="L213" s="257">
        <f t="shared" si="33"/>
        <v>0</v>
      </c>
      <c r="M213" s="629">
        <v>26002</v>
      </c>
      <c r="N213" s="629"/>
      <c r="O213" s="189"/>
      <c r="P213" s="729">
        <f t="shared" si="47"/>
        <v>41871</v>
      </c>
      <c r="Q213" s="301"/>
      <c r="R213" s="258"/>
      <c r="S213" s="8">
        <f t="shared" si="34"/>
        <v>0</v>
      </c>
      <c r="T213" s="443"/>
      <c r="U213" s="731"/>
      <c r="V213" s="756"/>
      <c r="W213" s="756"/>
      <c r="X213" s="8">
        <f t="shared" si="35"/>
        <v>0</v>
      </c>
    </row>
    <row r="214" spans="1:24">
      <c r="A214" s="753">
        <f t="shared" si="43"/>
        <v>77</v>
      </c>
      <c r="B214" s="296" t="s">
        <v>656</v>
      </c>
      <c r="C214" s="729">
        <v>41873</v>
      </c>
      <c r="D214" s="730" t="s">
        <v>653</v>
      </c>
      <c r="E214" s="776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4">
        <v>1000</v>
      </c>
      <c r="L214" s="257">
        <f t="shared" si="33"/>
        <v>0</v>
      </c>
      <c r="M214" s="629">
        <v>16133</v>
      </c>
      <c r="N214" s="629"/>
      <c r="O214" s="189"/>
      <c r="P214" s="729">
        <f t="shared" si="47"/>
        <v>41871</v>
      </c>
      <c r="Q214" s="301"/>
      <c r="R214" s="258"/>
      <c r="S214" s="8">
        <f t="shared" si="34"/>
        <v>0</v>
      </c>
      <c r="T214" s="443"/>
      <c r="U214" s="731"/>
      <c r="V214" s="756"/>
      <c r="W214" s="756"/>
      <c r="X214" s="8">
        <f t="shared" si="35"/>
        <v>0</v>
      </c>
    </row>
    <row r="215" spans="1:24">
      <c r="A215" s="753">
        <f t="shared" si="43"/>
        <v>78</v>
      </c>
      <c r="B215" s="296" t="s">
        <v>657</v>
      </c>
      <c r="C215" s="729">
        <v>41873</v>
      </c>
      <c r="D215" s="730" t="s">
        <v>653</v>
      </c>
      <c r="E215" s="776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4">
        <v>425</v>
      </c>
      <c r="L215" s="257">
        <f t="shared" si="33"/>
        <v>0</v>
      </c>
      <c r="M215" s="629">
        <v>26129</v>
      </c>
      <c r="N215" s="629"/>
      <c r="O215" s="189"/>
      <c r="P215" s="729">
        <f t="shared" si="47"/>
        <v>41871</v>
      </c>
      <c r="Q215" s="301"/>
      <c r="R215" s="258"/>
      <c r="S215" s="8">
        <f t="shared" si="34"/>
        <v>0</v>
      </c>
      <c r="T215" s="443"/>
      <c r="U215" s="731"/>
      <c r="V215" s="756"/>
      <c r="W215" s="756"/>
      <c r="X215" s="8">
        <f t="shared" si="35"/>
        <v>0</v>
      </c>
    </row>
    <row r="216" spans="1:24">
      <c r="A216" s="753">
        <f t="shared" si="43"/>
        <v>79</v>
      </c>
      <c r="B216" s="296" t="s">
        <v>657</v>
      </c>
      <c r="C216" s="729">
        <v>41873</v>
      </c>
      <c r="D216" s="730" t="s">
        <v>653</v>
      </c>
      <c r="E216" s="776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4">
        <v>322</v>
      </c>
      <c r="L216" s="257">
        <f t="shared" si="33"/>
        <v>0</v>
      </c>
      <c r="M216" s="629">
        <v>26129</v>
      </c>
      <c r="N216" s="629"/>
      <c r="O216" s="296"/>
      <c r="P216" s="729">
        <f t="shared" si="47"/>
        <v>41871</v>
      </c>
      <c r="Q216" s="301"/>
      <c r="R216" s="258"/>
      <c r="S216" s="8">
        <f t="shared" si="34"/>
        <v>0</v>
      </c>
      <c r="T216" s="443"/>
      <c r="U216" s="731"/>
      <c r="V216" s="756"/>
      <c r="W216" s="756"/>
      <c r="X216" s="8">
        <f t="shared" si="35"/>
        <v>0</v>
      </c>
    </row>
    <row r="217" spans="1:24">
      <c r="A217" s="753">
        <f t="shared" si="43"/>
        <v>80</v>
      </c>
      <c r="B217" s="296" t="s">
        <v>1221</v>
      </c>
      <c r="C217" s="729">
        <v>41876</v>
      </c>
      <c r="D217" s="730" t="s">
        <v>659</v>
      </c>
      <c r="E217" s="776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4">
        <v>600</v>
      </c>
      <c r="L217" s="257">
        <f t="shared" si="33"/>
        <v>0</v>
      </c>
      <c r="M217" s="629">
        <v>14300</v>
      </c>
      <c r="N217" s="629"/>
      <c r="O217" s="189"/>
      <c r="P217" s="729">
        <f t="shared" si="47"/>
        <v>41874</v>
      </c>
      <c r="Q217" s="301"/>
      <c r="R217" s="258"/>
      <c r="S217" s="8">
        <f t="shared" si="34"/>
        <v>0</v>
      </c>
      <c r="T217" s="443"/>
      <c r="U217" s="731"/>
      <c r="V217" s="756"/>
      <c r="W217" s="756"/>
      <c r="X217" s="8">
        <f t="shared" si="35"/>
        <v>0</v>
      </c>
    </row>
    <row r="218" spans="1:24">
      <c r="A218" s="753">
        <f t="shared" si="43"/>
        <v>81</v>
      </c>
      <c r="B218" s="296" t="s">
        <v>451</v>
      </c>
      <c r="C218" s="729">
        <v>41876</v>
      </c>
      <c r="D218" s="730" t="s">
        <v>659</v>
      </c>
      <c r="E218" s="776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4">
        <v>1200</v>
      </c>
      <c r="L218" s="257">
        <f t="shared" si="33"/>
        <v>0</v>
      </c>
      <c r="M218" s="629">
        <v>1500</v>
      </c>
      <c r="N218" s="629"/>
      <c r="O218" s="189"/>
      <c r="P218" s="729">
        <f t="shared" si="47"/>
        <v>41874</v>
      </c>
      <c r="Q218" s="301"/>
      <c r="R218" s="258"/>
      <c r="S218" s="8">
        <f t="shared" si="34"/>
        <v>0</v>
      </c>
      <c r="T218" s="443"/>
      <c r="U218" s="731"/>
      <c r="V218" s="756"/>
      <c r="W218" s="756"/>
      <c r="X218" s="8">
        <f t="shared" si="35"/>
        <v>0</v>
      </c>
    </row>
    <row r="219" spans="1:24">
      <c r="A219" s="753">
        <f t="shared" si="43"/>
        <v>82</v>
      </c>
      <c r="B219" s="296" t="s">
        <v>660</v>
      </c>
      <c r="C219" s="729">
        <v>41876</v>
      </c>
      <c r="D219" s="730" t="s">
        <v>661</v>
      </c>
      <c r="E219" s="776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4">
        <v>8160</v>
      </c>
      <c r="L219" s="257">
        <f t="shared" ref="L219:L298" si="50">IF(K219&lt;&gt;"",J219/K219,"")</f>
        <v>0</v>
      </c>
      <c r="M219" s="629">
        <v>7400</v>
      </c>
      <c r="N219" s="629"/>
      <c r="O219" s="189"/>
      <c r="P219" s="729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1"/>
      <c r="V219" s="756"/>
      <c r="W219" s="756"/>
      <c r="X219" s="8">
        <f t="shared" ref="X219:X298" si="52">V219*W219</f>
        <v>0</v>
      </c>
    </row>
    <row r="220" spans="1:24">
      <c r="A220" s="753">
        <f t="shared" si="43"/>
        <v>83</v>
      </c>
      <c r="B220" s="296" t="s">
        <v>663</v>
      </c>
      <c r="C220" s="729">
        <v>41876</v>
      </c>
      <c r="D220" s="730" t="s">
        <v>664</v>
      </c>
      <c r="E220" s="776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4">
        <v>626</v>
      </c>
      <c r="L220" s="257">
        <f t="shared" si="50"/>
        <v>0</v>
      </c>
      <c r="M220" s="629">
        <v>14300</v>
      </c>
      <c r="N220" s="629"/>
      <c r="O220" s="189"/>
      <c r="P220" s="729">
        <f t="shared" si="47"/>
        <v>41874</v>
      </c>
      <c r="Q220" s="301"/>
      <c r="R220" s="258"/>
      <c r="S220" s="8">
        <f t="shared" si="51"/>
        <v>0</v>
      </c>
      <c r="T220" s="443"/>
      <c r="U220" s="731"/>
      <c r="V220" s="756"/>
      <c r="W220" s="756"/>
      <c r="X220" s="8">
        <f t="shared" si="52"/>
        <v>0</v>
      </c>
    </row>
    <row r="221" spans="1:24">
      <c r="A221" s="753">
        <f t="shared" si="43"/>
        <v>84</v>
      </c>
      <c r="B221" s="296" t="s">
        <v>665</v>
      </c>
      <c r="C221" s="729">
        <v>41876</v>
      </c>
      <c r="D221" s="730" t="s">
        <v>664</v>
      </c>
      <c r="E221" s="776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4">
        <v>160</v>
      </c>
      <c r="L221" s="257">
        <f t="shared" si="50"/>
        <v>0</v>
      </c>
      <c r="M221" s="629">
        <v>13100</v>
      </c>
      <c r="N221" s="629"/>
      <c r="O221" s="189"/>
      <c r="P221" s="729">
        <f t="shared" si="47"/>
        <v>41874</v>
      </c>
      <c r="Q221" s="301"/>
      <c r="R221" s="258"/>
      <c r="S221" s="8">
        <f t="shared" si="51"/>
        <v>0</v>
      </c>
      <c r="T221" s="443"/>
      <c r="U221" s="731"/>
      <c r="V221" s="756"/>
      <c r="W221" s="756"/>
      <c r="X221" s="8">
        <f t="shared" si="52"/>
        <v>0</v>
      </c>
    </row>
    <row r="222" spans="1:24">
      <c r="A222" s="753">
        <f t="shared" si="43"/>
        <v>85</v>
      </c>
      <c r="B222" s="296" t="s">
        <v>630</v>
      </c>
      <c r="C222" s="729">
        <v>41876</v>
      </c>
      <c r="D222" s="730" t="s">
        <v>664</v>
      </c>
      <c r="E222" s="776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4">
        <v>1900</v>
      </c>
      <c r="L222" s="257">
        <f t="shared" si="50"/>
        <v>0</v>
      </c>
      <c r="M222" s="629">
        <v>400</v>
      </c>
      <c r="N222" s="629"/>
      <c r="O222" s="189"/>
      <c r="P222" s="729">
        <f t="shared" si="47"/>
        <v>41874</v>
      </c>
      <c r="Q222" s="301"/>
      <c r="R222" s="256"/>
      <c r="S222" s="8">
        <f t="shared" si="51"/>
        <v>0</v>
      </c>
      <c r="T222" s="443"/>
      <c r="U222" s="731"/>
      <c r="V222" s="756"/>
      <c r="W222" s="756"/>
      <c r="X222" s="8">
        <f t="shared" si="52"/>
        <v>0</v>
      </c>
    </row>
    <row r="223" spans="1:24">
      <c r="A223" s="753">
        <f t="shared" si="43"/>
        <v>86</v>
      </c>
      <c r="B223" s="296" t="s">
        <v>607</v>
      </c>
      <c r="C223" s="729">
        <v>41877</v>
      </c>
      <c r="D223" s="730" t="s">
        <v>666</v>
      </c>
      <c r="E223" s="776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4">
        <v>612</v>
      </c>
      <c r="L223" s="257">
        <f t="shared" si="50"/>
        <v>0</v>
      </c>
      <c r="M223" s="629">
        <v>13000</v>
      </c>
      <c r="N223" s="629"/>
      <c r="O223" s="189"/>
      <c r="P223" s="729">
        <f t="shared" si="47"/>
        <v>41875</v>
      </c>
      <c r="Q223" s="774"/>
      <c r="R223" s="256"/>
      <c r="S223" s="8">
        <f t="shared" si="51"/>
        <v>0</v>
      </c>
      <c r="T223" s="443"/>
      <c r="U223" s="731"/>
      <c r="V223" s="756"/>
      <c r="W223" s="756"/>
      <c r="X223" s="8">
        <f t="shared" si="52"/>
        <v>0</v>
      </c>
    </row>
    <row r="224" spans="1:24">
      <c r="A224" s="753">
        <f t="shared" si="43"/>
        <v>87</v>
      </c>
      <c r="B224" s="296" t="s">
        <v>610</v>
      </c>
      <c r="C224" s="729">
        <v>41877</v>
      </c>
      <c r="D224" s="730" t="s">
        <v>666</v>
      </c>
      <c r="E224" s="776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4">
        <v>267</v>
      </c>
      <c r="L224" s="257">
        <f t="shared" si="50"/>
        <v>0</v>
      </c>
      <c r="M224" s="629">
        <v>11900</v>
      </c>
      <c r="N224" s="629"/>
      <c r="O224" s="296"/>
      <c r="P224" s="729">
        <f t="shared" si="47"/>
        <v>41875</v>
      </c>
      <c r="Q224" s="301"/>
      <c r="R224" s="258"/>
      <c r="S224" s="8">
        <f t="shared" si="51"/>
        <v>0</v>
      </c>
      <c r="T224" s="443"/>
      <c r="U224" s="731"/>
      <c r="V224" s="756"/>
      <c r="W224" s="756"/>
      <c r="X224" s="8">
        <f t="shared" si="52"/>
        <v>0</v>
      </c>
    </row>
    <row r="225" spans="1:24">
      <c r="A225" s="753">
        <f t="shared" si="43"/>
        <v>88</v>
      </c>
      <c r="B225" s="296" t="s">
        <v>607</v>
      </c>
      <c r="C225" s="729">
        <v>41877</v>
      </c>
      <c r="D225" s="730" t="s">
        <v>666</v>
      </c>
      <c r="E225" s="776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4">
        <v>77</v>
      </c>
      <c r="L225" s="257">
        <f t="shared" si="50"/>
        <v>0</v>
      </c>
      <c r="M225" s="629">
        <v>13000</v>
      </c>
      <c r="N225" s="629"/>
      <c r="O225" s="189"/>
      <c r="P225" s="729">
        <f t="shared" si="47"/>
        <v>41875</v>
      </c>
      <c r="Q225" s="301"/>
      <c r="R225" s="258"/>
      <c r="S225" s="8">
        <f t="shared" si="51"/>
        <v>0</v>
      </c>
      <c r="T225" s="443"/>
      <c r="U225" s="731"/>
      <c r="V225" s="756"/>
      <c r="W225" s="756"/>
      <c r="X225" s="8">
        <f t="shared" si="52"/>
        <v>0</v>
      </c>
    </row>
    <row r="226" spans="1:24">
      <c r="A226" s="753">
        <f t="shared" si="43"/>
        <v>89</v>
      </c>
      <c r="B226" s="296" t="s">
        <v>630</v>
      </c>
      <c r="C226" s="729">
        <v>41877</v>
      </c>
      <c r="D226" s="730" t="s">
        <v>666</v>
      </c>
      <c r="E226" s="776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4">
        <v>2400</v>
      </c>
      <c r="L226" s="257">
        <f t="shared" si="50"/>
        <v>0</v>
      </c>
      <c r="M226" s="629">
        <v>400</v>
      </c>
      <c r="N226" s="629"/>
      <c r="O226" s="296"/>
      <c r="P226" s="729">
        <f t="shared" si="47"/>
        <v>41875</v>
      </c>
      <c r="Q226" s="301"/>
      <c r="R226" s="256"/>
      <c r="S226" s="8">
        <f t="shared" si="51"/>
        <v>0</v>
      </c>
      <c r="T226" s="443"/>
      <c r="U226" s="731"/>
      <c r="V226" s="756"/>
      <c r="W226" s="756"/>
      <c r="X226" s="8">
        <f t="shared" si="52"/>
        <v>0</v>
      </c>
    </row>
    <row r="227" spans="1:24">
      <c r="A227" s="753">
        <f t="shared" si="43"/>
        <v>90</v>
      </c>
      <c r="B227" s="296" t="s">
        <v>521</v>
      </c>
      <c r="C227" s="729">
        <v>41878</v>
      </c>
      <c r="D227" s="730" t="s">
        <v>667</v>
      </c>
      <c r="E227" s="776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4">
        <v>981</v>
      </c>
      <c r="L227" s="257">
        <f t="shared" si="50"/>
        <v>0</v>
      </c>
      <c r="M227" s="629">
        <v>12000</v>
      </c>
      <c r="N227" s="629"/>
      <c r="O227" s="189"/>
      <c r="P227" s="729">
        <f t="shared" si="47"/>
        <v>41876</v>
      </c>
      <c r="Q227" s="301"/>
      <c r="R227" s="258"/>
      <c r="S227" s="8">
        <f t="shared" si="51"/>
        <v>0</v>
      </c>
      <c r="T227" s="443"/>
      <c r="U227" s="731"/>
      <c r="V227" s="756"/>
      <c r="W227" s="756"/>
      <c r="X227" s="8">
        <f t="shared" si="52"/>
        <v>0</v>
      </c>
    </row>
    <row r="228" spans="1:24">
      <c r="A228" s="753">
        <f t="shared" si="43"/>
        <v>91</v>
      </c>
      <c r="B228" s="296" t="s">
        <v>1213</v>
      </c>
      <c r="C228" s="729">
        <v>41879</v>
      </c>
      <c r="D228" s="730" t="s">
        <v>668</v>
      </c>
      <c r="E228" s="776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4">
        <v>1200</v>
      </c>
      <c r="L228" s="257">
        <f t="shared" si="50"/>
        <v>0</v>
      </c>
      <c r="M228" s="629">
        <v>1000</v>
      </c>
      <c r="N228" s="629"/>
      <c r="O228" s="189"/>
      <c r="P228" s="729">
        <f t="shared" si="47"/>
        <v>41877</v>
      </c>
      <c r="Q228" s="301"/>
      <c r="R228" s="258"/>
      <c r="S228" s="8">
        <f t="shared" si="51"/>
        <v>0</v>
      </c>
      <c r="T228" s="443"/>
      <c r="U228" s="731"/>
      <c r="V228" s="756"/>
      <c r="W228" s="756"/>
      <c r="X228" s="8">
        <f t="shared" si="52"/>
        <v>0</v>
      </c>
    </row>
    <row r="229" spans="1:24">
      <c r="A229" s="753">
        <f t="shared" si="43"/>
        <v>92</v>
      </c>
      <c r="B229" s="296" t="s">
        <v>1214</v>
      </c>
      <c r="C229" s="729">
        <v>41879</v>
      </c>
      <c r="D229" s="730" t="s">
        <v>668</v>
      </c>
      <c r="E229" s="776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4">
        <v>400</v>
      </c>
      <c r="L229" s="257">
        <f t="shared" si="50"/>
        <v>0</v>
      </c>
      <c r="M229" s="629">
        <v>3500</v>
      </c>
      <c r="N229" s="629"/>
      <c r="O229" s="189"/>
      <c r="P229" s="729">
        <f t="shared" si="47"/>
        <v>41877</v>
      </c>
      <c r="Q229" s="301"/>
      <c r="R229" s="258"/>
      <c r="S229" s="8">
        <f t="shared" si="51"/>
        <v>0</v>
      </c>
      <c r="T229" s="443"/>
      <c r="U229" s="731"/>
      <c r="V229" s="756"/>
      <c r="W229" s="756"/>
      <c r="X229" s="8">
        <f t="shared" si="52"/>
        <v>0</v>
      </c>
    </row>
    <row r="230" spans="1:24">
      <c r="A230" s="753">
        <f t="shared" si="43"/>
        <v>93</v>
      </c>
      <c r="B230" s="296" t="s">
        <v>607</v>
      </c>
      <c r="C230" s="729">
        <v>41879</v>
      </c>
      <c r="D230" s="730" t="s">
        <v>669</v>
      </c>
      <c r="E230" s="776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4">
        <v>1116</v>
      </c>
      <c r="L230" s="257">
        <f t="shared" si="50"/>
        <v>0</v>
      </c>
      <c r="M230" s="629">
        <v>13000</v>
      </c>
      <c r="N230" s="629"/>
      <c r="O230" s="296"/>
      <c r="P230" s="729">
        <f t="shared" si="47"/>
        <v>41877</v>
      </c>
      <c r="Q230" s="301"/>
      <c r="R230" s="258"/>
      <c r="S230" s="8">
        <f t="shared" si="51"/>
        <v>0</v>
      </c>
      <c r="T230" s="443"/>
      <c r="U230" s="731"/>
      <c r="V230" s="756"/>
      <c r="W230" s="756"/>
      <c r="X230" s="8">
        <f t="shared" si="52"/>
        <v>0</v>
      </c>
    </row>
    <row r="231" spans="1:24">
      <c r="A231" s="753">
        <f t="shared" si="43"/>
        <v>94</v>
      </c>
      <c r="B231" s="296" t="s">
        <v>670</v>
      </c>
      <c r="C231" s="729">
        <v>41879</v>
      </c>
      <c r="D231" s="730" t="s">
        <v>669</v>
      </c>
      <c r="E231" s="776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4">
        <v>1273</v>
      </c>
      <c r="L231" s="257">
        <f t="shared" si="50"/>
        <v>0</v>
      </c>
      <c r="M231" s="629">
        <v>10050</v>
      </c>
      <c r="N231" s="629"/>
      <c r="O231" s="189"/>
      <c r="P231" s="729">
        <f t="shared" si="47"/>
        <v>41877</v>
      </c>
      <c r="Q231" s="301"/>
      <c r="R231" s="258"/>
      <c r="S231" s="8">
        <f t="shared" si="51"/>
        <v>0</v>
      </c>
      <c r="T231" s="443"/>
      <c r="U231" s="731"/>
      <c r="V231" s="756"/>
      <c r="W231" s="756"/>
      <c r="X231" s="8">
        <f t="shared" si="52"/>
        <v>0</v>
      </c>
    </row>
    <row r="232" spans="1:24">
      <c r="A232" s="753">
        <f t="shared" si="43"/>
        <v>95</v>
      </c>
      <c r="B232" s="296" t="s">
        <v>610</v>
      </c>
      <c r="C232" s="729">
        <v>41879</v>
      </c>
      <c r="D232" s="730" t="s">
        <v>669</v>
      </c>
      <c r="E232" s="776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4">
        <v>373</v>
      </c>
      <c r="L232" s="257">
        <f t="shared" si="50"/>
        <v>0</v>
      </c>
      <c r="M232" s="629">
        <v>11900</v>
      </c>
      <c r="N232" s="629"/>
      <c r="O232" s="189"/>
      <c r="P232" s="729">
        <f t="shared" si="47"/>
        <v>41877</v>
      </c>
      <c r="Q232" s="301"/>
      <c r="R232" s="258"/>
      <c r="S232" s="8">
        <f t="shared" si="51"/>
        <v>0</v>
      </c>
      <c r="T232" s="443"/>
      <c r="U232" s="731"/>
      <c r="V232" s="756"/>
      <c r="W232" s="756"/>
      <c r="X232" s="8">
        <f t="shared" si="52"/>
        <v>0</v>
      </c>
    </row>
    <row r="233" spans="1:24">
      <c r="A233" s="753">
        <f t="shared" si="43"/>
        <v>96</v>
      </c>
      <c r="B233" s="296" t="s">
        <v>671</v>
      </c>
      <c r="C233" s="729">
        <v>41879</v>
      </c>
      <c r="D233" s="730" t="s">
        <v>669</v>
      </c>
      <c r="E233" s="776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4">
        <v>176</v>
      </c>
      <c r="L233" s="257">
        <f t="shared" si="50"/>
        <v>0</v>
      </c>
      <c r="M233" s="629">
        <v>11650</v>
      </c>
      <c r="N233" s="629"/>
      <c r="O233" s="189"/>
      <c r="P233" s="729">
        <f t="shared" si="47"/>
        <v>41877</v>
      </c>
      <c r="Q233" s="301"/>
      <c r="R233" s="258"/>
      <c r="S233" s="8">
        <f t="shared" si="51"/>
        <v>0</v>
      </c>
      <c r="T233" s="443"/>
      <c r="U233" s="731"/>
      <c r="V233" s="756"/>
      <c r="W233" s="756"/>
      <c r="X233" s="8">
        <f t="shared" si="52"/>
        <v>0</v>
      </c>
    </row>
    <row r="234" spans="1:24">
      <c r="A234" s="753">
        <f t="shared" si="43"/>
        <v>97</v>
      </c>
      <c r="B234" s="296" t="s">
        <v>630</v>
      </c>
      <c r="C234" s="729">
        <v>41879</v>
      </c>
      <c r="D234" s="730" t="s">
        <v>669</v>
      </c>
      <c r="E234" s="776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4">
        <v>4500</v>
      </c>
      <c r="L234" s="257">
        <f t="shared" si="50"/>
        <v>0</v>
      </c>
      <c r="M234" s="629">
        <v>400</v>
      </c>
      <c r="N234" s="629"/>
      <c r="O234" s="189"/>
      <c r="P234" s="729">
        <f t="shared" si="47"/>
        <v>41877</v>
      </c>
      <c r="Q234" s="301"/>
      <c r="R234" s="258"/>
      <c r="S234" s="8">
        <f t="shared" si="51"/>
        <v>0</v>
      </c>
      <c r="T234" s="443"/>
      <c r="U234" s="731"/>
      <c r="V234" s="756"/>
      <c r="W234" s="756"/>
      <c r="X234" s="8">
        <f t="shared" si="52"/>
        <v>0</v>
      </c>
    </row>
    <row r="235" spans="1:24">
      <c r="A235" s="753">
        <f t="shared" si="43"/>
        <v>98</v>
      </c>
      <c r="B235" s="296" t="s">
        <v>672</v>
      </c>
      <c r="C235" s="729">
        <v>41883</v>
      </c>
      <c r="D235" s="730" t="s">
        <v>673</v>
      </c>
      <c r="E235" s="776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4">
        <v>509</v>
      </c>
      <c r="L235" s="257">
        <f t="shared" si="50"/>
        <v>0</v>
      </c>
      <c r="M235" s="629">
        <v>6600</v>
      </c>
      <c r="N235" s="629"/>
      <c r="O235" s="189"/>
      <c r="P235" s="729">
        <f t="shared" si="47"/>
        <v>41881</v>
      </c>
      <c r="Q235" s="301"/>
      <c r="R235" s="258"/>
      <c r="S235" s="8">
        <f t="shared" si="51"/>
        <v>0</v>
      </c>
      <c r="T235" s="443"/>
      <c r="U235" s="731"/>
      <c r="V235" s="756"/>
      <c r="W235" s="756"/>
      <c r="X235" s="8">
        <f t="shared" si="52"/>
        <v>0</v>
      </c>
    </row>
    <row r="236" spans="1:24">
      <c r="A236" s="753">
        <f t="shared" si="43"/>
        <v>99</v>
      </c>
      <c r="B236" s="296" t="s">
        <v>674</v>
      </c>
      <c r="C236" s="729">
        <v>41883</v>
      </c>
      <c r="D236" s="730" t="s">
        <v>673</v>
      </c>
      <c r="E236" s="776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4">
        <v>210</v>
      </c>
      <c r="L236" s="257">
        <f t="shared" si="50"/>
        <v>0</v>
      </c>
      <c r="M236" s="629">
        <v>6400</v>
      </c>
      <c r="N236" s="629"/>
      <c r="O236" s="296"/>
      <c r="P236" s="729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1"/>
      <c r="V236" s="756"/>
      <c r="W236" s="756"/>
      <c r="X236" s="8">
        <f t="shared" si="52"/>
        <v>0</v>
      </c>
    </row>
    <row r="237" spans="1:24">
      <c r="A237" s="753">
        <f t="shared" si="43"/>
        <v>100</v>
      </c>
      <c r="B237" s="296" t="s">
        <v>607</v>
      </c>
      <c r="C237" s="729">
        <v>41883</v>
      </c>
      <c r="D237" s="730" t="s">
        <v>675</v>
      </c>
      <c r="E237" s="776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4">
        <v>1116</v>
      </c>
      <c r="L237" s="257">
        <f t="shared" si="50"/>
        <v>0</v>
      </c>
      <c r="M237" s="629">
        <v>13000</v>
      </c>
      <c r="N237" s="629"/>
      <c r="O237" s="189"/>
      <c r="P237" s="729">
        <f t="shared" si="54"/>
        <v>41881</v>
      </c>
      <c r="Q237" s="301"/>
      <c r="R237" s="258"/>
      <c r="S237" s="8">
        <f t="shared" si="51"/>
        <v>0</v>
      </c>
      <c r="T237" s="443"/>
      <c r="U237" s="731"/>
      <c r="V237" s="756"/>
      <c r="W237" s="756"/>
      <c r="X237" s="8">
        <f t="shared" si="52"/>
        <v>0</v>
      </c>
    </row>
    <row r="238" spans="1:24">
      <c r="A238" s="753">
        <f t="shared" si="43"/>
        <v>101</v>
      </c>
      <c r="B238" s="296" t="s">
        <v>670</v>
      </c>
      <c r="C238" s="729">
        <v>41883</v>
      </c>
      <c r="D238" s="730" t="s">
        <v>675</v>
      </c>
      <c r="E238" s="776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4">
        <v>1273</v>
      </c>
      <c r="L238" s="257">
        <f t="shared" si="50"/>
        <v>0</v>
      </c>
      <c r="M238" s="629">
        <v>10050</v>
      </c>
      <c r="N238" s="629"/>
      <c r="O238" s="189"/>
      <c r="P238" s="729">
        <f t="shared" si="54"/>
        <v>41881</v>
      </c>
      <c r="Q238" s="301"/>
      <c r="R238" s="258"/>
      <c r="S238" s="8">
        <f t="shared" si="51"/>
        <v>0</v>
      </c>
      <c r="T238" s="443"/>
      <c r="U238" s="731"/>
      <c r="V238" s="756"/>
      <c r="W238" s="756"/>
      <c r="X238" s="8">
        <f t="shared" si="52"/>
        <v>0</v>
      </c>
    </row>
    <row r="239" spans="1:24">
      <c r="A239" s="753">
        <f t="shared" si="43"/>
        <v>102</v>
      </c>
      <c r="B239" s="296" t="s">
        <v>610</v>
      </c>
      <c r="C239" s="729">
        <v>41883</v>
      </c>
      <c r="D239" s="730" t="s">
        <v>675</v>
      </c>
      <c r="E239" s="776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4">
        <v>373</v>
      </c>
      <c r="L239" s="257">
        <f t="shared" si="50"/>
        <v>0</v>
      </c>
      <c r="M239" s="629">
        <v>11900</v>
      </c>
      <c r="N239" s="629"/>
      <c r="O239" s="189"/>
      <c r="P239" s="729">
        <f t="shared" si="54"/>
        <v>41881</v>
      </c>
      <c r="Q239" s="301"/>
      <c r="R239" s="258"/>
      <c r="S239" s="8">
        <f t="shared" si="51"/>
        <v>0</v>
      </c>
      <c r="T239" s="443"/>
      <c r="U239" s="731"/>
      <c r="V239" s="756"/>
      <c r="W239" s="756"/>
      <c r="X239" s="8">
        <f t="shared" si="52"/>
        <v>0</v>
      </c>
    </row>
    <row r="240" spans="1:24">
      <c r="A240" s="753">
        <f t="shared" si="43"/>
        <v>103</v>
      </c>
      <c r="B240" s="296" t="s">
        <v>671</v>
      </c>
      <c r="C240" s="729">
        <v>41883</v>
      </c>
      <c r="D240" s="730" t="s">
        <v>675</v>
      </c>
      <c r="E240" s="776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4">
        <v>176</v>
      </c>
      <c r="L240" s="257">
        <f t="shared" si="50"/>
        <v>0</v>
      </c>
      <c r="M240" s="629">
        <v>13650</v>
      </c>
      <c r="N240" s="629"/>
      <c r="O240" s="296"/>
      <c r="P240" s="729">
        <f t="shared" si="54"/>
        <v>41881</v>
      </c>
      <c r="Q240" s="301"/>
      <c r="R240" s="258"/>
      <c r="S240" s="8">
        <f t="shared" si="51"/>
        <v>0</v>
      </c>
      <c r="T240" s="443"/>
      <c r="U240" s="731"/>
      <c r="V240" s="756"/>
      <c r="W240" s="756"/>
      <c r="X240" s="8">
        <f t="shared" si="52"/>
        <v>0</v>
      </c>
    </row>
    <row r="241" spans="1:24">
      <c r="A241" s="753">
        <f t="shared" si="43"/>
        <v>104</v>
      </c>
      <c r="B241" s="296" t="s">
        <v>630</v>
      </c>
      <c r="C241" s="729">
        <v>41883</v>
      </c>
      <c r="D241" s="730" t="s">
        <v>675</v>
      </c>
      <c r="E241" s="776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4">
        <v>4500</v>
      </c>
      <c r="L241" s="257">
        <f t="shared" si="50"/>
        <v>0</v>
      </c>
      <c r="M241" s="629">
        <v>400</v>
      </c>
      <c r="N241" s="629"/>
      <c r="O241" s="189"/>
      <c r="P241" s="729">
        <f t="shared" si="54"/>
        <v>41881</v>
      </c>
      <c r="Q241" s="301"/>
      <c r="R241" s="258"/>
      <c r="S241" s="8">
        <f t="shared" si="51"/>
        <v>0</v>
      </c>
      <c r="T241" s="443"/>
      <c r="U241" s="731"/>
      <c r="V241" s="756"/>
      <c r="W241" s="756"/>
      <c r="X241" s="8">
        <f t="shared" si="52"/>
        <v>0</v>
      </c>
    </row>
    <row r="242" spans="1:24">
      <c r="A242" s="753">
        <f t="shared" si="43"/>
        <v>105</v>
      </c>
      <c r="B242" s="296" t="s">
        <v>676</v>
      </c>
      <c r="C242" s="729">
        <v>41883</v>
      </c>
      <c r="D242" s="730" t="s">
        <v>677</v>
      </c>
      <c r="E242" s="776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4">
        <v>500</v>
      </c>
      <c r="L242" s="257">
        <f t="shared" si="50"/>
        <v>0</v>
      </c>
      <c r="M242" s="629">
        <v>7000</v>
      </c>
      <c r="N242" s="629"/>
      <c r="O242" s="189"/>
      <c r="P242" s="729">
        <f t="shared" si="54"/>
        <v>41881</v>
      </c>
      <c r="Q242" s="301"/>
      <c r="R242" s="258"/>
      <c r="S242" s="8">
        <f t="shared" si="51"/>
        <v>0</v>
      </c>
      <c r="T242" s="443"/>
      <c r="U242" s="731"/>
      <c r="V242" s="756"/>
      <c r="W242" s="756"/>
      <c r="X242" s="8">
        <f t="shared" si="52"/>
        <v>0</v>
      </c>
    </row>
    <row r="243" spans="1:24">
      <c r="A243" s="753">
        <f t="shared" si="43"/>
        <v>106</v>
      </c>
      <c r="B243" s="296" t="s">
        <v>678</v>
      </c>
      <c r="C243" s="729">
        <v>41886</v>
      </c>
      <c r="D243" s="730" t="s">
        <v>679</v>
      </c>
      <c r="E243" s="776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4">
        <v>711</v>
      </c>
      <c r="L243" s="257">
        <f t="shared" si="50"/>
        <v>0</v>
      </c>
      <c r="M243" s="629">
        <v>9500</v>
      </c>
      <c r="N243" s="629"/>
      <c r="O243" s="189"/>
      <c r="P243" s="729">
        <f t="shared" si="54"/>
        <v>41884</v>
      </c>
      <c r="Q243" s="301"/>
      <c r="R243" s="258"/>
      <c r="S243" s="8">
        <f t="shared" si="51"/>
        <v>0</v>
      </c>
      <c r="T243" s="443"/>
      <c r="U243" s="731"/>
      <c r="V243" s="756"/>
      <c r="W243" s="756"/>
      <c r="X243" s="8">
        <f t="shared" si="52"/>
        <v>0</v>
      </c>
    </row>
    <row r="244" spans="1:24">
      <c r="A244" s="753">
        <f t="shared" si="43"/>
        <v>107</v>
      </c>
      <c r="B244" s="296" t="s">
        <v>489</v>
      </c>
      <c r="C244" s="729">
        <v>41886</v>
      </c>
      <c r="D244" s="730" t="s">
        <v>681</v>
      </c>
      <c r="E244" s="776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4">
        <v>197</v>
      </c>
      <c r="L244" s="257">
        <f t="shared" si="50"/>
        <v>0</v>
      </c>
      <c r="M244" s="629">
        <v>12900</v>
      </c>
      <c r="N244" s="629"/>
      <c r="O244" s="189"/>
      <c r="P244" s="729">
        <f t="shared" si="54"/>
        <v>41884</v>
      </c>
      <c r="Q244" s="301"/>
      <c r="R244" s="258"/>
      <c r="S244" s="8">
        <f t="shared" si="51"/>
        <v>0</v>
      </c>
      <c r="T244" s="443"/>
      <c r="U244" s="731"/>
      <c r="V244" s="756"/>
      <c r="W244" s="756"/>
      <c r="X244" s="8">
        <f t="shared" si="52"/>
        <v>0</v>
      </c>
    </row>
    <row r="245" spans="1:24">
      <c r="A245" s="753">
        <f t="shared" si="43"/>
        <v>108</v>
      </c>
      <c r="B245" s="296" t="s">
        <v>492</v>
      </c>
      <c r="C245" s="729">
        <v>41886</v>
      </c>
      <c r="D245" s="730" t="s">
        <v>681</v>
      </c>
      <c r="E245" s="776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4">
        <v>307</v>
      </c>
      <c r="L245" s="257">
        <f t="shared" si="50"/>
        <v>0</v>
      </c>
      <c r="M245" s="629">
        <v>9900</v>
      </c>
      <c r="N245" s="629"/>
      <c r="O245" s="189"/>
      <c r="P245" s="729">
        <f t="shared" si="54"/>
        <v>41884</v>
      </c>
      <c r="Q245" s="301"/>
      <c r="R245" s="258"/>
      <c r="S245" s="8">
        <f t="shared" si="51"/>
        <v>0</v>
      </c>
      <c r="T245" s="443"/>
      <c r="U245" s="731"/>
      <c r="V245" s="756"/>
      <c r="W245" s="756"/>
      <c r="X245" s="8">
        <f t="shared" si="52"/>
        <v>0</v>
      </c>
    </row>
    <row r="246" spans="1:24">
      <c r="A246" s="753">
        <f t="shared" si="43"/>
        <v>109</v>
      </c>
      <c r="B246" s="296" t="s">
        <v>682</v>
      </c>
      <c r="C246" s="729">
        <v>41890</v>
      </c>
      <c r="D246" s="730" t="s">
        <v>683</v>
      </c>
      <c r="E246" s="776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4">
        <v>860</v>
      </c>
      <c r="L246" s="257">
        <f t="shared" si="50"/>
        <v>0</v>
      </c>
      <c r="M246" s="629">
        <v>18600</v>
      </c>
      <c r="N246" s="629"/>
      <c r="O246" s="189"/>
      <c r="P246" s="729">
        <f t="shared" si="54"/>
        <v>41888</v>
      </c>
      <c r="Q246" s="301"/>
      <c r="R246" s="256"/>
      <c r="S246" s="8">
        <f t="shared" si="51"/>
        <v>0</v>
      </c>
      <c r="T246" s="443"/>
      <c r="U246" s="731"/>
      <c r="V246" s="756"/>
      <c r="W246" s="756"/>
      <c r="X246" s="8">
        <f t="shared" si="52"/>
        <v>0</v>
      </c>
    </row>
    <row r="247" spans="1:24">
      <c r="A247" s="753">
        <f t="shared" si="43"/>
        <v>110</v>
      </c>
      <c r="B247" s="296" t="s">
        <v>671</v>
      </c>
      <c r="C247" s="729">
        <v>41890</v>
      </c>
      <c r="D247" s="730" t="s">
        <v>684</v>
      </c>
      <c r="E247" s="776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4">
        <v>2153</v>
      </c>
      <c r="L247" s="257">
        <f t="shared" si="50"/>
        <v>0</v>
      </c>
      <c r="M247" s="629">
        <v>13650</v>
      </c>
      <c r="N247" s="629"/>
      <c r="O247" s="189"/>
      <c r="P247" s="729">
        <f t="shared" si="54"/>
        <v>41888</v>
      </c>
      <c r="Q247" s="774"/>
      <c r="R247" s="256"/>
      <c r="S247" s="8">
        <f t="shared" si="51"/>
        <v>0</v>
      </c>
      <c r="T247" s="443"/>
      <c r="U247" s="731"/>
      <c r="V247" s="756"/>
      <c r="W247" s="756"/>
      <c r="X247" s="8">
        <f t="shared" si="52"/>
        <v>0</v>
      </c>
    </row>
    <row r="248" spans="1:24">
      <c r="A248" s="753">
        <f t="shared" si="43"/>
        <v>111</v>
      </c>
      <c r="B248" s="296" t="s">
        <v>630</v>
      </c>
      <c r="C248" s="729">
        <v>41890</v>
      </c>
      <c r="D248" s="730" t="s">
        <v>684</v>
      </c>
      <c r="E248" s="776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4">
        <v>2000</v>
      </c>
      <c r="L248" s="257">
        <f t="shared" si="50"/>
        <v>0</v>
      </c>
      <c r="M248" s="629">
        <v>400</v>
      </c>
      <c r="N248" s="629"/>
      <c r="O248" s="296"/>
      <c r="P248" s="729">
        <f t="shared" si="54"/>
        <v>41888</v>
      </c>
      <c r="Q248" s="301"/>
      <c r="R248" s="258"/>
      <c r="S248" s="8">
        <f t="shared" si="51"/>
        <v>0</v>
      </c>
      <c r="T248" s="443"/>
      <c r="U248" s="731"/>
      <c r="V248" s="756"/>
      <c r="W248" s="756"/>
      <c r="X248" s="8">
        <f t="shared" si="52"/>
        <v>0</v>
      </c>
    </row>
    <row r="249" spans="1:24">
      <c r="A249" s="753">
        <f t="shared" si="43"/>
        <v>112</v>
      </c>
      <c r="B249" s="296" t="s">
        <v>1171</v>
      </c>
      <c r="C249" s="729">
        <v>41890</v>
      </c>
      <c r="D249" s="730" t="s">
        <v>685</v>
      </c>
      <c r="E249" s="776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4">
        <v>1000</v>
      </c>
      <c r="L249" s="257">
        <f t="shared" si="50"/>
        <v>0</v>
      </c>
      <c r="M249" s="629">
        <v>1500</v>
      </c>
      <c r="N249" s="629"/>
      <c r="O249" s="189"/>
      <c r="P249" s="729">
        <f t="shared" si="54"/>
        <v>41888</v>
      </c>
      <c r="Q249" s="301"/>
      <c r="R249" s="258"/>
      <c r="S249" s="8">
        <f t="shared" si="51"/>
        <v>0</v>
      </c>
      <c r="T249" s="443"/>
      <c r="U249" s="731"/>
      <c r="V249" s="756"/>
      <c r="W249" s="756"/>
      <c r="X249" s="8">
        <f t="shared" si="52"/>
        <v>0</v>
      </c>
    </row>
    <row r="250" spans="1:24">
      <c r="A250" s="753">
        <f t="shared" si="43"/>
        <v>113</v>
      </c>
      <c r="B250" s="296" t="s">
        <v>600</v>
      </c>
      <c r="C250" s="729">
        <v>41894</v>
      </c>
      <c r="D250" s="730" t="s">
        <v>687</v>
      </c>
      <c r="E250" s="776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4">
        <v>210</v>
      </c>
      <c r="L250" s="257">
        <f t="shared" si="50"/>
        <v>0</v>
      </c>
      <c r="M250" s="629">
        <v>19000</v>
      </c>
      <c r="N250" s="629"/>
      <c r="O250" s="296"/>
      <c r="P250" s="729">
        <f t="shared" si="54"/>
        <v>41892</v>
      </c>
      <c r="Q250" s="301"/>
      <c r="R250" s="256"/>
      <c r="S250" s="8">
        <f t="shared" si="51"/>
        <v>0</v>
      </c>
      <c r="T250" s="443"/>
      <c r="U250" s="731"/>
      <c r="V250" s="756"/>
      <c r="W250" s="756"/>
      <c r="X250" s="8">
        <f t="shared" si="52"/>
        <v>0</v>
      </c>
    </row>
    <row r="251" spans="1:24">
      <c r="A251" s="753">
        <f t="shared" si="43"/>
        <v>114</v>
      </c>
      <c r="B251" s="296" t="s">
        <v>1220</v>
      </c>
      <c r="C251" s="729">
        <v>41895</v>
      </c>
      <c r="D251" s="730" t="s">
        <v>688</v>
      </c>
      <c r="E251" s="776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4">
        <v>200</v>
      </c>
      <c r="L251" s="257">
        <f t="shared" si="50"/>
        <v>0</v>
      </c>
      <c r="M251" s="629">
        <v>13900</v>
      </c>
      <c r="N251" s="629"/>
      <c r="O251" s="189"/>
      <c r="P251" s="729">
        <f t="shared" si="54"/>
        <v>41893</v>
      </c>
      <c r="Q251" s="301"/>
      <c r="R251" s="258"/>
      <c r="S251" s="8">
        <f t="shared" si="51"/>
        <v>0</v>
      </c>
      <c r="T251" s="443"/>
      <c r="U251" s="731"/>
      <c r="V251" s="756"/>
      <c r="W251" s="756"/>
      <c r="X251" s="8">
        <f t="shared" si="52"/>
        <v>0</v>
      </c>
    </row>
    <row r="252" spans="1:24">
      <c r="A252" s="753">
        <f t="shared" si="43"/>
        <v>115</v>
      </c>
      <c r="B252" s="296" t="s">
        <v>1221</v>
      </c>
      <c r="C252" s="729">
        <v>41895</v>
      </c>
      <c r="D252" s="730" t="s">
        <v>688</v>
      </c>
      <c r="E252" s="776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4">
        <v>989</v>
      </c>
      <c r="L252" s="257">
        <f t="shared" si="50"/>
        <v>0</v>
      </c>
      <c r="M252" s="629">
        <v>14300</v>
      </c>
      <c r="N252" s="629"/>
      <c r="O252" s="189"/>
      <c r="P252" s="729">
        <f t="shared" si="54"/>
        <v>41893</v>
      </c>
      <c r="Q252" s="301"/>
      <c r="R252" s="258"/>
      <c r="S252" s="8">
        <f t="shared" si="51"/>
        <v>0</v>
      </c>
      <c r="T252" s="443"/>
      <c r="U252" s="731"/>
      <c r="V252" s="756"/>
      <c r="W252" s="756"/>
      <c r="X252" s="8">
        <f t="shared" si="52"/>
        <v>0</v>
      </c>
    </row>
    <row r="253" spans="1:24">
      <c r="A253" s="753">
        <f t="shared" si="43"/>
        <v>116</v>
      </c>
      <c r="B253" s="296" t="s">
        <v>451</v>
      </c>
      <c r="C253" s="729">
        <v>41895</v>
      </c>
      <c r="D253" s="730" t="s">
        <v>688</v>
      </c>
      <c r="E253" s="776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4">
        <v>2400</v>
      </c>
      <c r="L253" s="257">
        <f t="shared" si="50"/>
        <v>0</v>
      </c>
      <c r="M253" s="629">
        <v>1500</v>
      </c>
      <c r="N253" s="629"/>
      <c r="O253" s="189"/>
      <c r="P253" s="729">
        <f t="shared" si="54"/>
        <v>41893</v>
      </c>
      <c r="Q253" s="301"/>
      <c r="R253" s="258"/>
      <c r="S253" s="8">
        <f t="shared" si="51"/>
        <v>0</v>
      </c>
      <c r="T253" s="443"/>
      <c r="U253" s="731"/>
      <c r="V253" s="756"/>
      <c r="W253" s="756"/>
      <c r="X253" s="8">
        <f t="shared" si="52"/>
        <v>0</v>
      </c>
    </row>
    <row r="254" spans="1:24">
      <c r="A254" s="753">
        <f t="shared" si="43"/>
        <v>117</v>
      </c>
      <c r="B254" s="296" t="s">
        <v>442</v>
      </c>
      <c r="C254" s="729">
        <v>41897</v>
      </c>
      <c r="D254" s="730" t="s">
        <v>689</v>
      </c>
      <c r="E254" s="776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4">
        <v>495</v>
      </c>
      <c r="L254" s="257">
        <f t="shared" si="50"/>
        <v>0</v>
      </c>
      <c r="M254" s="629">
        <v>10500</v>
      </c>
      <c r="N254" s="629"/>
      <c r="O254" s="296"/>
      <c r="P254" s="729">
        <f t="shared" si="54"/>
        <v>41895</v>
      </c>
      <c r="Q254" s="301"/>
      <c r="R254" s="258"/>
      <c r="S254" s="8">
        <f t="shared" si="51"/>
        <v>0</v>
      </c>
      <c r="T254" s="443"/>
      <c r="U254" s="731"/>
      <c r="V254" s="756"/>
      <c r="W254" s="756"/>
      <c r="X254" s="8">
        <f t="shared" si="52"/>
        <v>0</v>
      </c>
    </row>
    <row r="255" spans="1:24">
      <c r="A255" s="753">
        <f t="shared" si="43"/>
        <v>118</v>
      </c>
      <c r="B255" s="296" t="s">
        <v>690</v>
      </c>
      <c r="C255" s="729">
        <v>41898</v>
      </c>
      <c r="D255" s="730" t="s">
        <v>691</v>
      </c>
      <c r="E255" s="776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4">
        <v>451</v>
      </c>
      <c r="L255" s="257">
        <f t="shared" si="50"/>
        <v>0</v>
      </c>
      <c r="M255" s="629">
        <v>34770</v>
      </c>
      <c r="N255" s="629"/>
      <c r="O255" s="189"/>
      <c r="P255" s="729">
        <f t="shared" si="54"/>
        <v>41896</v>
      </c>
      <c r="Q255" s="301"/>
      <c r="R255" s="258"/>
      <c r="S255" s="8">
        <f t="shared" si="51"/>
        <v>0</v>
      </c>
      <c r="T255" s="443"/>
      <c r="U255" s="731"/>
      <c r="V255" s="756"/>
      <c r="W255" s="756"/>
      <c r="X255" s="8">
        <f t="shared" si="52"/>
        <v>0</v>
      </c>
    </row>
    <row r="256" spans="1:24">
      <c r="A256" s="753">
        <f t="shared" si="43"/>
        <v>119</v>
      </c>
      <c r="B256" s="296" t="s">
        <v>755</v>
      </c>
      <c r="C256" s="729">
        <v>41898</v>
      </c>
      <c r="D256" s="730" t="s">
        <v>691</v>
      </c>
      <c r="E256" s="776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4">
        <v>902</v>
      </c>
      <c r="L256" s="257">
        <f t="shared" si="50"/>
        <v>0</v>
      </c>
      <c r="M256" s="629">
        <v>1440</v>
      </c>
      <c r="N256" s="629"/>
      <c r="O256" s="189"/>
      <c r="P256" s="729">
        <f t="shared" si="54"/>
        <v>41896</v>
      </c>
      <c r="Q256" s="301"/>
      <c r="R256" s="258"/>
      <c r="S256" s="8">
        <f t="shared" si="51"/>
        <v>0</v>
      </c>
      <c r="T256" s="443"/>
      <c r="U256" s="731"/>
      <c r="V256" s="756"/>
      <c r="W256" s="756"/>
      <c r="X256" s="8">
        <f t="shared" si="52"/>
        <v>0</v>
      </c>
    </row>
    <row r="257" spans="1:24">
      <c r="A257" s="753">
        <f t="shared" si="43"/>
        <v>120</v>
      </c>
      <c r="B257" s="296" t="s">
        <v>671</v>
      </c>
      <c r="C257" s="729">
        <v>41898</v>
      </c>
      <c r="D257" s="730" t="s">
        <v>693</v>
      </c>
      <c r="E257" s="776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4">
        <v>175</v>
      </c>
      <c r="L257" s="257">
        <f t="shared" si="50"/>
        <v>0</v>
      </c>
      <c r="M257" s="629">
        <v>13650</v>
      </c>
      <c r="N257" s="629"/>
      <c r="O257" s="189"/>
      <c r="P257" s="729">
        <f t="shared" si="54"/>
        <v>41896</v>
      </c>
      <c r="Q257" s="301"/>
      <c r="R257" s="258"/>
      <c r="S257" s="8">
        <f t="shared" si="51"/>
        <v>0</v>
      </c>
      <c r="T257" s="443"/>
      <c r="U257" s="731"/>
      <c r="V257" s="756"/>
      <c r="W257" s="756"/>
      <c r="X257" s="8">
        <f t="shared" si="52"/>
        <v>0</v>
      </c>
    </row>
    <row r="258" spans="1:24">
      <c r="A258" s="753">
        <f t="shared" si="43"/>
        <v>121</v>
      </c>
      <c r="B258" s="296" t="s">
        <v>671</v>
      </c>
      <c r="C258" s="729">
        <v>41898</v>
      </c>
      <c r="D258" s="730" t="s">
        <v>693</v>
      </c>
      <c r="E258" s="776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4">
        <v>1686</v>
      </c>
      <c r="L258" s="257">
        <f t="shared" si="50"/>
        <v>0</v>
      </c>
      <c r="M258" s="629">
        <v>13650</v>
      </c>
      <c r="N258" s="629"/>
      <c r="O258" s="189"/>
      <c r="P258" s="729">
        <f t="shared" si="54"/>
        <v>41896</v>
      </c>
      <c r="Q258" s="301"/>
      <c r="R258" s="258"/>
      <c r="S258" s="8">
        <f t="shared" si="51"/>
        <v>0</v>
      </c>
      <c r="T258" s="443"/>
      <c r="U258" s="731"/>
      <c r="V258" s="756"/>
      <c r="W258" s="756"/>
      <c r="X258" s="8">
        <f t="shared" si="52"/>
        <v>0</v>
      </c>
    </row>
    <row r="259" spans="1:24">
      <c r="A259" s="753">
        <f t="shared" si="43"/>
        <v>122</v>
      </c>
      <c r="B259" s="296" t="s">
        <v>670</v>
      </c>
      <c r="C259" s="729">
        <v>41898</v>
      </c>
      <c r="D259" s="730" t="s">
        <v>693</v>
      </c>
      <c r="E259" s="776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4">
        <v>827</v>
      </c>
      <c r="L259" s="257">
        <f t="shared" si="50"/>
        <v>0</v>
      </c>
      <c r="M259" s="629">
        <v>10050</v>
      </c>
      <c r="N259" s="629"/>
      <c r="O259" s="189"/>
      <c r="P259" s="729">
        <f t="shared" si="54"/>
        <v>41896</v>
      </c>
      <c r="Q259" s="301"/>
      <c r="R259" s="258"/>
      <c r="S259" s="8">
        <f t="shared" si="51"/>
        <v>0</v>
      </c>
      <c r="T259" s="443"/>
      <c r="U259" s="731"/>
      <c r="V259" s="756"/>
      <c r="W259" s="756"/>
      <c r="X259" s="8">
        <f t="shared" si="52"/>
        <v>0</v>
      </c>
    </row>
    <row r="260" spans="1:24">
      <c r="A260" s="753">
        <f t="shared" si="43"/>
        <v>123</v>
      </c>
      <c r="B260" s="296" t="s">
        <v>670</v>
      </c>
      <c r="C260" s="729">
        <v>41898</v>
      </c>
      <c r="D260" s="730" t="s">
        <v>693</v>
      </c>
      <c r="E260" s="776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4">
        <v>1700</v>
      </c>
      <c r="L260" s="257">
        <f t="shared" si="50"/>
        <v>0</v>
      </c>
      <c r="M260" s="629">
        <v>10050</v>
      </c>
      <c r="N260" s="629"/>
      <c r="O260" s="296"/>
      <c r="P260" s="729">
        <f t="shared" si="54"/>
        <v>41896</v>
      </c>
      <c r="Q260" s="301"/>
      <c r="R260" s="256"/>
      <c r="S260" s="8">
        <f t="shared" si="51"/>
        <v>0</v>
      </c>
      <c r="T260" s="443"/>
      <c r="U260" s="731"/>
      <c r="V260" s="756"/>
      <c r="W260" s="756"/>
      <c r="X260" s="8">
        <f t="shared" si="52"/>
        <v>0</v>
      </c>
    </row>
    <row r="261" spans="1:24">
      <c r="A261" s="753">
        <f t="shared" si="43"/>
        <v>124</v>
      </c>
      <c r="B261" s="296" t="s">
        <v>630</v>
      </c>
      <c r="C261" s="729">
        <v>41898</v>
      </c>
      <c r="D261" s="730" t="s">
        <v>693</v>
      </c>
      <c r="E261" s="776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4">
        <v>10500</v>
      </c>
      <c r="L261" s="257">
        <f t="shared" si="50"/>
        <v>0</v>
      </c>
      <c r="M261" s="629">
        <v>400</v>
      </c>
      <c r="N261" s="629"/>
      <c r="O261" s="189"/>
      <c r="P261" s="729">
        <f t="shared" si="54"/>
        <v>41896</v>
      </c>
      <c r="Q261" s="301"/>
      <c r="R261" s="258"/>
      <c r="S261" s="8">
        <f t="shared" si="51"/>
        <v>0</v>
      </c>
      <c r="T261" s="443"/>
      <c r="U261" s="731"/>
      <c r="V261" s="756"/>
      <c r="W261" s="756"/>
      <c r="X261" s="8">
        <f t="shared" si="52"/>
        <v>0</v>
      </c>
    </row>
    <row r="262" spans="1:24">
      <c r="A262" s="753">
        <f t="shared" si="43"/>
        <v>125</v>
      </c>
      <c r="B262" s="296" t="s">
        <v>694</v>
      </c>
      <c r="C262" s="729">
        <v>41899</v>
      </c>
      <c r="D262" s="730" t="s">
        <v>695</v>
      </c>
      <c r="E262" s="776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4">
        <v>833</v>
      </c>
      <c r="L262" s="257">
        <f t="shared" si="50"/>
        <v>0</v>
      </c>
      <c r="M262" s="629">
        <v>30000</v>
      </c>
      <c r="N262" s="629"/>
      <c r="O262" s="189"/>
      <c r="P262" s="729">
        <f t="shared" si="54"/>
        <v>41897</v>
      </c>
      <c r="Q262" s="301"/>
      <c r="R262" s="258"/>
      <c r="S262" s="8">
        <f t="shared" si="51"/>
        <v>0</v>
      </c>
      <c r="T262" s="443"/>
      <c r="U262" s="731"/>
      <c r="V262" s="756"/>
      <c r="W262" s="756"/>
      <c r="X262" s="8">
        <f t="shared" si="52"/>
        <v>0</v>
      </c>
    </row>
    <row r="263" spans="1:24">
      <c r="A263" s="753">
        <f t="shared" si="43"/>
        <v>126</v>
      </c>
      <c r="B263" s="296" t="s">
        <v>493</v>
      </c>
      <c r="C263" s="729">
        <v>41900</v>
      </c>
      <c r="D263" s="730" t="s">
        <v>697</v>
      </c>
      <c r="E263" s="776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4">
        <v>195</v>
      </c>
      <c r="L263" s="257">
        <f t="shared" si="50"/>
        <v>0</v>
      </c>
      <c r="M263" s="629">
        <v>6400</v>
      </c>
      <c r="N263" s="629"/>
      <c r="O263" s="189"/>
      <c r="P263" s="729">
        <f t="shared" si="54"/>
        <v>41898</v>
      </c>
      <c r="Q263" s="301"/>
      <c r="R263" s="258"/>
      <c r="S263" s="8">
        <f t="shared" si="51"/>
        <v>0</v>
      </c>
      <c r="T263" s="443"/>
      <c r="U263" s="731"/>
      <c r="V263" s="756"/>
      <c r="W263" s="756"/>
      <c r="X263" s="8">
        <f t="shared" si="52"/>
        <v>0</v>
      </c>
    </row>
    <row r="264" spans="1:24">
      <c r="A264" s="753">
        <f t="shared" si="43"/>
        <v>127</v>
      </c>
      <c r="B264" s="296" t="s">
        <v>500</v>
      </c>
      <c r="C264" s="729">
        <v>41900</v>
      </c>
      <c r="D264" s="730" t="s">
        <v>697</v>
      </c>
      <c r="E264" s="776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4">
        <v>300</v>
      </c>
      <c r="L264" s="257">
        <f t="shared" si="50"/>
        <v>0</v>
      </c>
      <c r="M264" s="629">
        <v>8600</v>
      </c>
      <c r="N264" s="629"/>
      <c r="O264" s="296"/>
      <c r="P264" s="729">
        <f t="shared" si="54"/>
        <v>41898</v>
      </c>
      <c r="Q264" s="301"/>
      <c r="R264" s="258"/>
      <c r="S264" s="8">
        <f t="shared" si="51"/>
        <v>0</v>
      </c>
      <c r="T264" s="443"/>
      <c r="U264" s="731"/>
      <c r="V264" s="756"/>
      <c r="W264" s="756"/>
      <c r="X264" s="8">
        <f t="shared" si="52"/>
        <v>0</v>
      </c>
    </row>
    <row r="265" spans="1:24">
      <c r="A265" s="753">
        <f t="shared" si="43"/>
        <v>128</v>
      </c>
      <c r="B265" s="296" t="s">
        <v>698</v>
      </c>
      <c r="C265" s="729">
        <v>41904</v>
      </c>
      <c r="D265" s="730" t="s">
        <v>699</v>
      </c>
      <c r="E265" s="776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4">
        <v>314</v>
      </c>
      <c r="L265" s="257">
        <f t="shared" si="50"/>
        <v>0</v>
      </c>
      <c r="M265" s="629">
        <v>6300</v>
      </c>
      <c r="N265" s="629"/>
      <c r="O265" s="189"/>
      <c r="P265" s="729">
        <f t="shared" si="54"/>
        <v>41902</v>
      </c>
      <c r="Q265" s="301"/>
      <c r="R265" s="258"/>
      <c r="S265" s="8">
        <f t="shared" si="51"/>
        <v>0</v>
      </c>
      <c r="T265" s="443"/>
      <c r="U265" s="731"/>
      <c r="V265" s="756"/>
      <c r="W265" s="756"/>
      <c r="X265" s="8">
        <f t="shared" si="52"/>
        <v>0</v>
      </c>
    </row>
    <row r="266" spans="1:24">
      <c r="A266" s="753">
        <f t="shared" si="43"/>
        <v>129</v>
      </c>
      <c r="B266" s="296" t="s">
        <v>700</v>
      </c>
      <c r="C266" s="729">
        <v>41904</v>
      </c>
      <c r="D266" s="730" t="s">
        <v>699</v>
      </c>
      <c r="E266" s="776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4">
        <v>103</v>
      </c>
      <c r="L266" s="257">
        <f t="shared" si="50"/>
        <v>0</v>
      </c>
      <c r="M266" s="629">
        <v>5700</v>
      </c>
      <c r="N266" s="629"/>
      <c r="O266" s="189"/>
      <c r="P266" s="729">
        <f t="shared" si="54"/>
        <v>41902</v>
      </c>
      <c r="Q266" s="301"/>
      <c r="R266" s="258"/>
      <c r="S266" s="8">
        <f t="shared" si="51"/>
        <v>0</v>
      </c>
      <c r="T266" s="443"/>
      <c r="U266" s="731"/>
      <c r="V266" s="756"/>
      <c r="W266" s="756"/>
      <c r="X266" s="8">
        <f t="shared" si="52"/>
        <v>0</v>
      </c>
    </row>
    <row r="267" spans="1:24">
      <c r="A267" s="753">
        <f t="shared" si="43"/>
        <v>130</v>
      </c>
      <c r="B267" s="296" t="s">
        <v>701</v>
      </c>
      <c r="C267" s="729">
        <v>41904</v>
      </c>
      <c r="D267" s="730" t="s">
        <v>699</v>
      </c>
      <c r="E267" s="776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4">
        <v>497</v>
      </c>
      <c r="L267" s="257">
        <f t="shared" ref="L267:L294" si="59">IF(K267&lt;&gt;"",J267/K267,"")</f>
        <v>0</v>
      </c>
      <c r="M267" s="629">
        <v>5000</v>
      </c>
      <c r="N267" s="629"/>
      <c r="O267" s="189"/>
      <c r="P267" s="729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1"/>
      <c r="V267" s="756"/>
      <c r="W267" s="756"/>
      <c r="X267" s="8">
        <f t="shared" ref="X267:X294" si="61">V267*W267</f>
        <v>0</v>
      </c>
    </row>
    <row r="268" spans="1:24">
      <c r="A268" s="753">
        <f t="shared" si="43"/>
        <v>131</v>
      </c>
      <c r="B268" s="296" t="s">
        <v>702</v>
      </c>
      <c r="C268" s="729">
        <v>41904</v>
      </c>
      <c r="D268" s="730" t="s">
        <v>699</v>
      </c>
      <c r="E268" s="776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4">
        <v>300</v>
      </c>
      <c r="L268" s="257">
        <f t="shared" si="59"/>
        <v>0</v>
      </c>
      <c r="M268" s="629">
        <v>4500</v>
      </c>
      <c r="N268" s="629"/>
      <c r="O268" s="296"/>
      <c r="P268" s="729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1"/>
      <c r="V268" s="756"/>
      <c r="W268" s="756"/>
      <c r="X268" s="8">
        <f t="shared" si="61"/>
        <v>0</v>
      </c>
    </row>
    <row r="269" spans="1:24">
      <c r="A269" s="753">
        <f t="shared" si="43"/>
        <v>132</v>
      </c>
      <c r="B269" s="296" t="s">
        <v>703</v>
      </c>
      <c r="C269" s="729">
        <v>41905</v>
      </c>
      <c r="D269" s="730" t="s">
        <v>704</v>
      </c>
      <c r="E269" s="776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4">
        <v>184</v>
      </c>
      <c r="L269" s="257">
        <f t="shared" si="59"/>
        <v>0</v>
      </c>
      <c r="M269" s="629">
        <v>32800</v>
      </c>
      <c r="N269" s="629"/>
      <c r="O269" s="189"/>
      <c r="P269" s="729">
        <f t="shared" si="62"/>
        <v>41903</v>
      </c>
      <c r="Q269" s="301"/>
      <c r="R269" s="258"/>
      <c r="S269" s="8">
        <f t="shared" si="60"/>
        <v>0</v>
      </c>
      <c r="T269" s="443"/>
      <c r="U269" s="731"/>
      <c r="V269" s="756"/>
      <c r="W269" s="756"/>
      <c r="X269" s="8">
        <f t="shared" si="61"/>
        <v>0</v>
      </c>
    </row>
    <row r="270" spans="1:24">
      <c r="A270" s="753">
        <f t="shared" si="43"/>
        <v>133</v>
      </c>
      <c r="B270" s="296" t="s">
        <v>755</v>
      </c>
      <c r="C270" s="729">
        <v>41905</v>
      </c>
      <c r="D270" s="730" t="s">
        <v>704</v>
      </c>
      <c r="E270" s="776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4">
        <v>368</v>
      </c>
      <c r="L270" s="257">
        <f t="shared" si="59"/>
        <v>0</v>
      </c>
      <c r="M270" s="629">
        <v>1440</v>
      </c>
      <c r="N270" s="629"/>
      <c r="O270" s="189"/>
      <c r="P270" s="729">
        <f t="shared" si="62"/>
        <v>41903</v>
      </c>
      <c r="Q270" s="301"/>
      <c r="R270" s="258"/>
      <c r="S270" s="8">
        <f t="shared" si="60"/>
        <v>0</v>
      </c>
      <c r="T270" s="443"/>
      <c r="U270" s="731"/>
      <c r="V270" s="756"/>
      <c r="W270" s="756"/>
      <c r="X270" s="8">
        <f t="shared" si="61"/>
        <v>0</v>
      </c>
    </row>
    <row r="271" spans="1:24">
      <c r="A271" s="753">
        <f t="shared" si="43"/>
        <v>134</v>
      </c>
      <c r="B271" s="296" t="s">
        <v>690</v>
      </c>
      <c r="C271" s="729">
        <v>41905</v>
      </c>
      <c r="D271" s="730" t="s">
        <v>705</v>
      </c>
      <c r="E271" s="776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4">
        <v>13</v>
      </c>
      <c r="L271" s="257">
        <f t="shared" si="59"/>
        <v>0</v>
      </c>
      <c r="M271" s="629">
        <v>34770</v>
      </c>
      <c r="N271" s="629"/>
      <c r="O271" s="189"/>
      <c r="P271" s="729">
        <f t="shared" si="62"/>
        <v>41903</v>
      </c>
      <c r="Q271" s="301"/>
      <c r="R271" s="258"/>
      <c r="S271" s="8">
        <f t="shared" si="60"/>
        <v>0</v>
      </c>
      <c r="T271" s="443"/>
      <c r="U271" s="731"/>
      <c r="V271" s="756"/>
      <c r="W271" s="756"/>
      <c r="X271" s="8">
        <f t="shared" si="61"/>
        <v>0</v>
      </c>
    </row>
    <row r="272" spans="1:24">
      <c r="A272" s="753">
        <f t="shared" si="43"/>
        <v>135</v>
      </c>
      <c r="B272" s="296" t="s">
        <v>521</v>
      </c>
      <c r="C272" s="729">
        <v>41907</v>
      </c>
      <c r="D272" s="730" t="s">
        <v>706</v>
      </c>
      <c r="E272" s="776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4">
        <v>994</v>
      </c>
      <c r="L272" s="257">
        <f t="shared" si="59"/>
        <v>0</v>
      </c>
      <c r="M272" s="629">
        <v>12000</v>
      </c>
      <c r="N272" s="629"/>
      <c r="O272" s="189"/>
      <c r="P272" s="729">
        <f t="shared" si="62"/>
        <v>41905</v>
      </c>
      <c r="Q272" s="301"/>
      <c r="R272" s="258"/>
      <c r="S272" s="8">
        <f t="shared" si="60"/>
        <v>0</v>
      </c>
      <c r="T272" s="443"/>
      <c r="U272" s="731"/>
      <c r="V272" s="756"/>
      <c r="W272" s="756"/>
      <c r="X272" s="8">
        <f t="shared" si="61"/>
        <v>0</v>
      </c>
    </row>
    <row r="273" spans="1:24">
      <c r="A273" s="753">
        <f t="shared" si="43"/>
        <v>136</v>
      </c>
      <c r="B273" s="296" t="s">
        <v>647</v>
      </c>
      <c r="C273" s="729">
        <v>41908</v>
      </c>
      <c r="D273" s="730" t="s">
        <v>707</v>
      </c>
      <c r="E273" s="776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4">
        <v>1500</v>
      </c>
      <c r="L273" s="257">
        <f t="shared" si="59"/>
        <v>0</v>
      </c>
      <c r="M273" s="629">
        <v>4800</v>
      </c>
      <c r="N273" s="629"/>
      <c r="O273" s="189"/>
      <c r="P273" s="729">
        <f t="shared" si="62"/>
        <v>41906</v>
      </c>
      <c r="Q273" s="301"/>
      <c r="R273" s="258"/>
      <c r="S273" s="8">
        <f t="shared" si="60"/>
        <v>0</v>
      </c>
      <c r="T273" s="443"/>
      <c r="U273" s="731"/>
      <c r="V273" s="756"/>
      <c r="W273" s="756"/>
      <c r="X273" s="8">
        <f t="shared" si="61"/>
        <v>0</v>
      </c>
    </row>
    <row r="274" spans="1:24">
      <c r="A274" s="753">
        <f t="shared" si="43"/>
        <v>137</v>
      </c>
      <c r="B274" s="296" t="s">
        <v>506</v>
      </c>
      <c r="C274" s="729">
        <v>41908</v>
      </c>
      <c r="D274" s="730" t="s">
        <v>708</v>
      </c>
      <c r="E274" s="776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4">
        <v>399</v>
      </c>
      <c r="L274" s="257">
        <f t="shared" si="59"/>
        <v>0</v>
      </c>
      <c r="M274" s="629">
        <v>5900</v>
      </c>
      <c r="N274" s="629"/>
      <c r="O274" s="189"/>
      <c r="P274" s="729">
        <f t="shared" si="62"/>
        <v>41906</v>
      </c>
      <c r="Q274" s="301"/>
      <c r="R274" s="256"/>
      <c r="S274" s="8">
        <f t="shared" si="60"/>
        <v>0</v>
      </c>
      <c r="T274" s="443"/>
      <c r="U274" s="731"/>
      <c r="V274" s="756"/>
      <c r="W274" s="756"/>
      <c r="X274" s="8">
        <f t="shared" si="61"/>
        <v>0</v>
      </c>
    </row>
    <row r="275" spans="1:24">
      <c r="A275" s="753">
        <f t="shared" si="43"/>
        <v>138</v>
      </c>
      <c r="B275" s="296" t="s">
        <v>509</v>
      </c>
      <c r="C275" s="729">
        <v>41908</v>
      </c>
      <c r="D275" s="730" t="s">
        <v>708</v>
      </c>
      <c r="E275" s="776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4">
        <v>295</v>
      </c>
      <c r="L275" s="257">
        <f t="shared" si="59"/>
        <v>0</v>
      </c>
      <c r="M275" s="629">
        <v>6250</v>
      </c>
      <c r="N275" s="629"/>
      <c r="O275" s="189"/>
      <c r="P275" s="729">
        <f t="shared" si="62"/>
        <v>41906</v>
      </c>
      <c r="Q275" s="774"/>
      <c r="R275" s="256"/>
      <c r="S275" s="8">
        <f t="shared" si="60"/>
        <v>0</v>
      </c>
      <c r="T275" s="443"/>
      <c r="U275" s="731"/>
      <c r="V275" s="756"/>
      <c r="W275" s="756"/>
      <c r="X275" s="8">
        <f t="shared" si="61"/>
        <v>0</v>
      </c>
    </row>
    <row r="276" spans="1:24">
      <c r="A276" s="753">
        <f t="shared" si="43"/>
        <v>139</v>
      </c>
      <c r="B276" s="296" t="s">
        <v>510</v>
      </c>
      <c r="C276" s="729">
        <v>41908</v>
      </c>
      <c r="D276" s="730" t="s">
        <v>708</v>
      </c>
      <c r="E276" s="776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4">
        <v>200</v>
      </c>
      <c r="L276" s="257">
        <f t="shared" si="59"/>
        <v>0</v>
      </c>
      <c r="M276" s="629">
        <v>6550</v>
      </c>
      <c r="N276" s="629"/>
      <c r="O276" s="296"/>
      <c r="P276" s="729">
        <f t="shared" si="62"/>
        <v>41906</v>
      </c>
      <c r="Q276" s="301"/>
      <c r="R276" s="258"/>
      <c r="S276" s="8">
        <f t="shared" si="60"/>
        <v>0</v>
      </c>
      <c r="T276" s="443"/>
      <c r="U276" s="731"/>
      <c r="V276" s="756"/>
      <c r="W276" s="756"/>
      <c r="X276" s="8">
        <f t="shared" si="61"/>
        <v>0</v>
      </c>
    </row>
    <row r="277" spans="1:24">
      <c r="A277" s="753">
        <f t="shared" si="43"/>
        <v>140</v>
      </c>
      <c r="B277" s="296" t="s">
        <v>411</v>
      </c>
      <c r="C277" s="729">
        <v>41908</v>
      </c>
      <c r="D277" s="730" t="s">
        <v>708</v>
      </c>
      <c r="E277" s="776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4">
        <v>298</v>
      </c>
      <c r="L277" s="257">
        <f t="shared" si="59"/>
        <v>0</v>
      </c>
      <c r="M277" s="629">
        <v>6800</v>
      </c>
      <c r="N277" s="629"/>
      <c r="O277" s="189"/>
      <c r="P277" s="729">
        <f t="shared" si="62"/>
        <v>41906</v>
      </c>
      <c r="Q277" s="301"/>
      <c r="R277" s="258"/>
      <c r="S277" s="8">
        <f t="shared" si="60"/>
        <v>0</v>
      </c>
      <c r="T277" s="443"/>
      <c r="U277" s="731"/>
      <c r="V277" s="756"/>
      <c r="W277" s="756"/>
      <c r="X277" s="8">
        <f t="shared" si="61"/>
        <v>0</v>
      </c>
    </row>
    <row r="278" spans="1:24">
      <c r="A278" s="753">
        <f t="shared" si="43"/>
        <v>141</v>
      </c>
      <c r="B278" s="296" t="s">
        <v>709</v>
      </c>
      <c r="C278" s="729">
        <v>41908</v>
      </c>
      <c r="D278" s="730" t="s">
        <v>708</v>
      </c>
      <c r="E278" s="776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4">
        <v>360</v>
      </c>
      <c r="L278" s="257">
        <f t="shared" si="59"/>
        <v>0</v>
      </c>
      <c r="M278" s="629">
        <v>5500</v>
      </c>
      <c r="N278" s="629"/>
      <c r="O278" s="296"/>
      <c r="P278" s="729">
        <f t="shared" si="62"/>
        <v>41906</v>
      </c>
      <c r="Q278" s="301"/>
      <c r="R278" s="256"/>
      <c r="S278" s="8">
        <f t="shared" si="60"/>
        <v>0</v>
      </c>
      <c r="T278" s="443"/>
      <c r="U278" s="731"/>
      <c r="V278" s="756"/>
      <c r="W278" s="756"/>
      <c r="X278" s="8">
        <f t="shared" si="61"/>
        <v>0</v>
      </c>
    </row>
    <row r="279" spans="1:24">
      <c r="A279" s="753">
        <f t="shared" si="43"/>
        <v>142</v>
      </c>
      <c r="B279" s="296" t="s">
        <v>442</v>
      </c>
      <c r="C279" s="729">
        <v>41908</v>
      </c>
      <c r="D279" s="730" t="s">
        <v>710</v>
      </c>
      <c r="E279" s="776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4">
        <v>498</v>
      </c>
      <c r="L279" s="257">
        <f t="shared" si="59"/>
        <v>0</v>
      </c>
      <c r="M279" s="629">
        <v>10500</v>
      </c>
      <c r="N279" s="629"/>
      <c r="O279" s="189"/>
      <c r="P279" s="729">
        <f t="shared" si="62"/>
        <v>41906</v>
      </c>
      <c r="Q279" s="301"/>
      <c r="R279" s="258"/>
      <c r="S279" s="8">
        <f t="shared" si="60"/>
        <v>0</v>
      </c>
      <c r="T279" s="443"/>
      <c r="U279" s="731"/>
      <c r="V279" s="756"/>
      <c r="W279" s="756"/>
      <c r="X279" s="8">
        <f t="shared" si="61"/>
        <v>0</v>
      </c>
    </row>
    <row r="280" spans="1:24">
      <c r="A280" s="753">
        <f t="shared" si="43"/>
        <v>143</v>
      </c>
      <c r="B280" s="296" t="s">
        <v>572</v>
      </c>
      <c r="C280" s="729">
        <v>41908</v>
      </c>
      <c r="D280" s="730" t="s">
        <v>710</v>
      </c>
      <c r="E280" s="776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4">
        <v>493</v>
      </c>
      <c r="L280" s="257">
        <f t="shared" si="59"/>
        <v>0</v>
      </c>
      <c r="M280" s="629">
        <v>10500</v>
      </c>
      <c r="N280" s="629"/>
      <c r="O280" s="189"/>
      <c r="P280" s="729">
        <f t="shared" si="62"/>
        <v>41906</v>
      </c>
      <c r="Q280" s="301"/>
      <c r="R280" s="258"/>
      <c r="S280" s="8">
        <f t="shared" si="60"/>
        <v>0</v>
      </c>
      <c r="T280" s="443"/>
      <c r="U280" s="731"/>
      <c r="V280" s="756"/>
      <c r="W280" s="756"/>
      <c r="X280" s="8">
        <f t="shared" si="61"/>
        <v>0</v>
      </c>
    </row>
    <row r="281" spans="1:24">
      <c r="A281" s="753">
        <f t="shared" si="43"/>
        <v>144</v>
      </c>
      <c r="B281" s="296" t="s">
        <v>711</v>
      </c>
      <c r="C281" s="729">
        <v>41908</v>
      </c>
      <c r="D281" s="730" t="s">
        <v>712</v>
      </c>
      <c r="E281" s="776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4">
        <v>51</v>
      </c>
      <c r="L281" s="257">
        <f t="shared" si="59"/>
        <v>0</v>
      </c>
      <c r="M281" s="629">
        <v>7200</v>
      </c>
      <c r="N281" s="629"/>
      <c r="O281" s="189"/>
      <c r="P281" s="729">
        <f t="shared" si="62"/>
        <v>41906</v>
      </c>
      <c r="Q281" s="301"/>
      <c r="R281" s="258"/>
      <c r="S281" s="8">
        <f t="shared" si="60"/>
        <v>0</v>
      </c>
      <c r="T281" s="443"/>
      <c r="U281" s="731"/>
      <c r="V281" s="756"/>
      <c r="W281" s="756"/>
      <c r="X281" s="8">
        <f t="shared" si="61"/>
        <v>0</v>
      </c>
    </row>
    <row r="282" spans="1:24">
      <c r="A282" s="753">
        <f t="shared" si="43"/>
        <v>145</v>
      </c>
      <c r="B282" s="296" t="s">
        <v>713</v>
      </c>
      <c r="C282" s="729">
        <v>41908</v>
      </c>
      <c r="D282" s="730" t="s">
        <v>712</v>
      </c>
      <c r="E282" s="776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4">
        <v>313</v>
      </c>
      <c r="L282" s="257">
        <f t="shared" si="59"/>
        <v>0</v>
      </c>
      <c r="M282" s="629">
        <v>9450</v>
      </c>
      <c r="N282" s="629"/>
      <c r="O282" s="296"/>
      <c r="P282" s="729">
        <f t="shared" si="62"/>
        <v>41906</v>
      </c>
      <c r="Q282" s="301"/>
      <c r="R282" s="258"/>
      <c r="S282" s="8">
        <f t="shared" si="60"/>
        <v>0</v>
      </c>
      <c r="T282" s="443"/>
      <c r="U282" s="731"/>
      <c r="V282" s="756"/>
      <c r="W282" s="756"/>
      <c r="X282" s="8">
        <f t="shared" si="61"/>
        <v>0</v>
      </c>
    </row>
    <row r="283" spans="1:24">
      <c r="A283" s="753">
        <f t="shared" si="43"/>
        <v>146</v>
      </c>
      <c r="B283" s="296" t="s">
        <v>714</v>
      </c>
      <c r="C283" s="729">
        <v>41908</v>
      </c>
      <c r="D283" s="730" t="s">
        <v>712</v>
      </c>
      <c r="E283" s="776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4">
        <v>113</v>
      </c>
      <c r="L283" s="257">
        <f t="shared" si="59"/>
        <v>0</v>
      </c>
      <c r="M283" s="629">
        <v>7500</v>
      </c>
      <c r="N283" s="629"/>
      <c r="O283" s="189"/>
      <c r="P283" s="729">
        <f t="shared" si="62"/>
        <v>41906</v>
      </c>
      <c r="Q283" s="301"/>
      <c r="R283" s="258"/>
      <c r="S283" s="8">
        <f t="shared" si="60"/>
        <v>0</v>
      </c>
      <c r="T283" s="443"/>
      <c r="U283" s="731"/>
      <c r="V283" s="756"/>
      <c r="W283" s="756"/>
      <c r="X283" s="8">
        <f t="shared" si="61"/>
        <v>0</v>
      </c>
    </row>
    <row r="284" spans="1:24">
      <c r="A284" s="753">
        <f t="shared" si="43"/>
        <v>147</v>
      </c>
      <c r="B284" s="296" t="s">
        <v>715</v>
      </c>
      <c r="C284" s="729">
        <v>41908</v>
      </c>
      <c r="D284" s="730" t="s">
        <v>712</v>
      </c>
      <c r="E284" s="776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4">
        <v>21</v>
      </c>
      <c r="L284" s="257">
        <f t="shared" si="59"/>
        <v>0</v>
      </c>
      <c r="M284" s="629">
        <v>9500</v>
      </c>
      <c r="N284" s="629"/>
      <c r="O284" s="189"/>
      <c r="P284" s="729">
        <f t="shared" si="62"/>
        <v>41906</v>
      </c>
      <c r="Q284" s="301"/>
      <c r="R284" s="258"/>
      <c r="S284" s="8">
        <f t="shared" si="60"/>
        <v>0</v>
      </c>
      <c r="T284" s="443"/>
      <c r="U284" s="731"/>
      <c r="V284" s="756"/>
      <c r="W284" s="756"/>
      <c r="X284" s="8">
        <f t="shared" si="61"/>
        <v>0</v>
      </c>
    </row>
    <row r="285" spans="1:24">
      <c r="A285" s="753">
        <f t="shared" si="43"/>
        <v>148</v>
      </c>
      <c r="B285" s="296" t="s">
        <v>716</v>
      </c>
      <c r="C285" s="729">
        <v>41908</v>
      </c>
      <c r="D285" s="730" t="s">
        <v>712</v>
      </c>
      <c r="E285" s="776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4">
        <v>35</v>
      </c>
      <c r="L285" s="257">
        <f t="shared" si="59"/>
        <v>0</v>
      </c>
      <c r="M285" s="629">
        <v>8800</v>
      </c>
      <c r="N285" s="629"/>
      <c r="O285" s="189"/>
      <c r="P285" s="729">
        <f t="shared" si="62"/>
        <v>41906</v>
      </c>
      <c r="Q285" s="301"/>
      <c r="R285" s="258"/>
      <c r="S285" s="8">
        <f t="shared" si="60"/>
        <v>0</v>
      </c>
      <c r="T285" s="443"/>
      <c r="U285" s="731"/>
      <c r="V285" s="756"/>
      <c r="W285" s="756"/>
      <c r="X285" s="8">
        <f t="shared" si="61"/>
        <v>0</v>
      </c>
    </row>
    <row r="286" spans="1:24">
      <c r="A286" s="753">
        <f t="shared" si="43"/>
        <v>149</v>
      </c>
      <c r="B286" s="296" t="s">
        <v>717</v>
      </c>
      <c r="C286" s="729">
        <v>41908</v>
      </c>
      <c r="D286" s="730" t="s">
        <v>712</v>
      </c>
      <c r="E286" s="776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4">
        <v>33</v>
      </c>
      <c r="L286" s="257">
        <f t="shared" si="59"/>
        <v>0</v>
      </c>
      <c r="M286" s="629">
        <v>8900</v>
      </c>
      <c r="N286" s="629"/>
      <c r="O286" s="189"/>
      <c r="P286" s="729">
        <f t="shared" si="62"/>
        <v>41906</v>
      </c>
      <c r="Q286" s="301"/>
      <c r="R286" s="258"/>
      <c r="S286" s="8">
        <f t="shared" si="60"/>
        <v>0</v>
      </c>
      <c r="T286" s="443"/>
      <c r="U286" s="731"/>
      <c r="V286" s="756"/>
      <c r="W286" s="756"/>
      <c r="X286" s="8">
        <f t="shared" si="61"/>
        <v>0</v>
      </c>
    </row>
    <row r="287" spans="1:24">
      <c r="A287" s="753">
        <f t="shared" si="43"/>
        <v>150</v>
      </c>
      <c r="B287" s="296" t="s">
        <v>593</v>
      </c>
      <c r="C287" s="729">
        <v>41908</v>
      </c>
      <c r="D287" s="730" t="s">
        <v>712</v>
      </c>
      <c r="E287" s="776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4">
        <v>762</v>
      </c>
      <c r="L287" s="257">
        <f t="shared" si="59"/>
        <v>0</v>
      </c>
      <c r="M287" s="629">
        <v>9300</v>
      </c>
      <c r="N287" s="629"/>
      <c r="O287" s="189"/>
      <c r="P287" s="729">
        <f t="shared" si="62"/>
        <v>41906</v>
      </c>
      <c r="Q287" s="301"/>
      <c r="R287" s="258"/>
      <c r="S287" s="8">
        <f t="shared" si="60"/>
        <v>0</v>
      </c>
      <c r="T287" s="443"/>
      <c r="U287" s="731"/>
      <c r="V287" s="756"/>
      <c r="W287" s="756"/>
      <c r="X287" s="8">
        <f t="shared" si="61"/>
        <v>0</v>
      </c>
    </row>
    <row r="288" spans="1:24">
      <c r="A288" s="753">
        <f t="shared" si="43"/>
        <v>151</v>
      </c>
      <c r="B288" s="296" t="s">
        <v>718</v>
      </c>
      <c r="C288" s="729">
        <v>41908</v>
      </c>
      <c r="D288" s="730" t="s">
        <v>712</v>
      </c>
      <c r="E288" s="776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4">
        <v>145</v>
      </c>
      <c r="L288" s="257">
        <f t="shared" si="59"/>
        <v>0</v>
      </c>
      <c r="M288" s="629">
        <v>9500</v>
      </c>
      <c r="N288" s="629"/>
      <c r="O288" s="296"/>
      <c r="P288" s="729">
        <f t="shared" si="62"/>
        <v>41906</v>
      </c>
      <c r="Q288" s="301"/>
      <c r="R288" s="256"/>
      <c r="S288" s="8">
        <f t="shared" si="60"/>
        <v>0</v>
      </c>
      <c r="T288" s="443"/>
      <c r="U288" s="731"/>
      <c r="V288" s="756"/>
      <c r="W288" s="756"/>
      <c r="X288" s="8">
        <f t="shared" si="61"/>
        <v>0</v>
      </c>
    </row>
    <row r="289" spans="1:30">
      <c r="A289" s="753">
        <f t="shared" si="43"/>
        <v>152</v>
      </c>
      <c r="B289" s="296" t="s">
        <v>465</v>
      </c>
      <c r="C289" s="729">
        <v>41909</v>
      </c>
      <c r="D289" s="730" t="s">
        <v>719</v>
      </c>
      <c r="E289" s="776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4">
        <v>1007</v>
      </c>
      <c r="L289" s="257">
        <f t="shared" si="59"/>
        <v>0</v>
      </c>
      <c r="M289" s="629">
        <v>8740</v>
      </c>
      <c r="N289" s="629"/>
      <c r="O289" s="189"/>
      <c r="P289" s="729">
        <f t="shared" si="62"/>
        <v>41907</v>
      </c>
      <c r="Q289" s="301"/>
      <c r="R289" s="258"/>
      <c r="S289" s="8">
        <f t="shared" si="60"/>
        <v>0</v>
      </c>
      <c r="T289" s="443"/>
      <c r="U289" s="731"/>
      <c r="V289" s="756"/>
      <c r="W289" s="756"/>
      <c r="X289" s="8">
        <f t="shared" si="61"/>
        <v>0</v>
      </c>
    </row>
    <row r="290" spans="1:30">
      <c r="A290" s="753">
        <f t="shared" si="43"/>
        <v>153</v>
      </c>
      <c r="B290" s="296" t="s">
        <v>720</v>
      </c>
      <c r="C290" s="729">
        <v>41912</v>
      </c>
      <c r="D290" s="730" t="s">
        <v>721</v>
      </c>
      <c r="E290" s="776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4">
        <v>264</v>
      </c>
      <c r="L290" s="257">
        <f t="shared" si="59"/>
        <v>0</v>
      </c>
      <c r="M290" s="629">
        <v>14000</v>
      </c>
      <c r="N290" s="629"/>
      <c r="O290" s="189"/>
      <c r="P290" s="729">
        <f t="shared" si="62"/>
        <v>41910</v>
      </c>
      <c r="Q290" s="301"/>
      <c r="R290" s="258"/>
      <c r="S290" s="8">
        <f t="shared" si="60"/>
        <v>0</v>
      </c>
      <c r="T290" s="443"/>
      <c r="U290" s="731"/>
      <c r="V290" s="756"/>
      <c r="W290" s="756"/>
      <c r="X290" s="8">
        <f t="shared" si="61"/>
        <v>0</v>
      </c>
    </row>
    <row r="291" spans="1:30">
      <c r="A291" s="753">
        <f t="shared" si="43"/>
        <v>154</v>
      </c>
      <c r="B291" s="296" t="s">
        <v>720</v>
      </c>
      <c r="C291" s="729">
        <v>41912</v>
      </c>
      <c r="D291" s="730" t="s">
        <v>721</v>
      </c>
      <c r="E291" s="776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4">
        <v>169</v>
      </c>
      <c r="L291" s="257">
        <f t="shared" si="59"/>
        <v>0</v>
      </c>
      <c r="M291" s="629">
        <v>14000</v>
      </c>
      <c r="N291" s="629"/>
      <c r="O291" s="189"/>
      <c r="P291" s="729">
        <f t="shared" si="62"/>
        <v>41910</v>
      </c>
      <c r="Q291" s="301"/>
      <c r="R291" s="258"/>
      <c r="S291" s="8">
        <f t="shared" si="60"/>
        <v>0</v>
      </c>
      <c r="T291" s="443"/>
      <c r="U291" s="731"/>
      <c r="V291" s="756"/>
      <c r="W291" s="756"/>
      <c r="X291" s="8">
        <f t="shared" si="61"/>
        <v>0</v>
      </c>
    </row>
    <row r="292" spans="1:30">
      <c r="A292" s="753">
        <f t="shared" si="43"/>
        <v>155</v>
      </c>
      <c r="B292" s="296" t="s">
        <v>678</v>
      </c>
      <c r="C292" s="729">
        <v>41912</v>
      </c>
      <c r="D292" s="730" t="s">
        <v>723</v>
      </c>
      <c r="E292" s="776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4">
        <v>993</v>
      </c>
      <c r="L292" s="257">
        <f t="shared" si="59"/>
        <v>0</v>
      </c>
      <c r="M292" s="629">
        <v>9500</v>
      </c>
      <c r="N292" s="629"/>
      <c r="O292" s="296"/>
      <c r="P292" s="729">
        <f t="shared" si="62"/>
        <v>41910</v>
      </c>
      <c r="Q292" s="301"/>
      <c r="R292" s="258"/>
      <c r="S292" s="8">
        <f t="shared" si="60"/>
        <v>0</v>
      </c>
      <c r="T292" s="443"/>
      <c r="U292" s="731"/>
      <c r="V292" s="756"/>
      <c r="W292" s="756"/>
      <c r="X292" s="8">
        <f t="shared" si="61"/>
        <v>0</v>
      </c>
    </row>
    <row r="293" spans="1:30">
      <c r="A293" s="753">
        <f t="shared" si="43"/>
        <v>156</v>
      </c>
      <c r="B293" s="296" t="s">
        <v>724</v>
      </c>
      <c r="C293" s="729">
        <v>41912</v>
      </c>
      <c r="D293" s="730" t="s">
        <v>725</v>
      </c>
      <c r="E293" s="776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4">
        <v>247</v>
      </c>
      <c r="L293" s="257">
        <f t="shared" si="59"/>
        <v>0</v>
      </c>
      <c r="M293" s="629">
        <v>33000</v>
      </c>
      <c r="N293" s="629"/>
      <c r="O293" s="189"/>
      <c r="P293" s="729">
        <f t="shared" si="62"/>
        <v>41910</v>
      </c>
      <c r="Q293" s="301"/>
      <c r="R293" s="258"/>
      <c r="S293" s="8">
        <f t="shared" si="60"/>
        <v>0</v>
      </c>
      <c r="T293" s="443"/>
      <c r="U293" s="731"/>
      <c r="V293" s="756"/>
      <c r="W293" s="756"/>
      <c r="X293" s="8">
        <f t="shared" si="61"/>
        <v>0</v>
      </c>
    </row>
    <row r="294" spans="1:30">
      <c r="A294" s="753">
        <f t="shared" si="43"/>
        <v>157</v>
      </c>
      <c r="B294" s="296" t="s">
        <v>700</v>
      </c>
      <c r="C294" s="729">
        <v>41912</v>
      </c>
      <c r="D294" s="730" t="s">
        <v>726</v>
      </c>
      <c r="E294" s="776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4">
        <v>498</v>
      </c>
      <c r="L294" s="257">
        <f t="shared" si="59"/>
        <v>0</v>
      </c>
      <c r="M294" s="629">
        <v>5700</v>
      </c>
      <c r="N294" s="629"/>
      <c r="O294" s="189"/>
      <c r="P294" s="729">
        <f t="shared" si="62"/>
        <v>41910</v>
      </c>
      <c r="Q294" s="301"/>
      <c r="R294" s="258"/>
      <c r="S294" s="8">
        <f t="shared" si="60"/>
        <v>0</v>
      </c>
      <c r="T294" s="443"/>
      <c r="U294" s="731"/>
      <c r="V294" s="756"/>
      <c r="W294" s="756"/>
      <c r="X294" s="8">
        <f t="shared" si="61"/>
        <v>0</v>
      </c>
    </row>
    <row r="295" spans="1:30">
      <c r="A295" s="753">
        <f t="shared" si="43"/>
        <v>158</v>
      </c>
      <c r="B295" s="296" t="s">
        <v>701</v>
      </c>
      <c r="C295" s="729">
        <v>41912</v>
      </c>
      <c r="D295" s="730" t="s">
        <v>726</v>
      </c>
      <c r="E295" s="776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4">
        <v>500</v>
      </c>
      <c r="L295" s="257">
        <f t="shared" si="50"/>
        <v>0</v>
      </c>
      <c r="M295" s="629">
        <v>5000</v>
      </c>
      <c r="N295" s="629"/>
      <c r="O295" s="189"/>
      <c r="P295" s="729">
        <f t="shared" si="62"/>
        <v>41910</v>
      </c>
      <c r="Q295" s="301"/>
      <c r="R295" s="258"/>
      <c r="S295" s="8">
        <f t="shared" si="51"/>
        <v>0</v>
      </c>
      <c r="T295" s="443"/>
      <c r="U295" s="731"/>
      <c r="V295" s="756"/>
      <c r="W295" s="756"/>
      <c r="X295" s="8">
        <f t="shared" si="52"/>
        <v>0</v>
      </c>
    </row>
    <row r="296" spans="1:30">
      <c r="A296" s="753">
        <f t="shared" si="43"/>
        <v>159</v>
      </c>
      <c r="B296" s="296" t="s">
        <v>700</v>
      </c>
      <c r="C296" s="729">
        <v>41912</v>
      </c>
      <c r="D296" s="730" t="s">
        <v>727</v>
      </c>
      <c r="E296" s="776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4">
        <v>498</v>
      </c>
      <c r="L296" s="257">
        <f t="shared" si="50"/>
        <v>0</v>
      </c>
      <c r="M296" s="629">
        <v>5700</v>
      </c>
      <c r="N296" s="629"/>
      <c r="O296" s="296"/>
      <c r="P296" s="729">
        <f t="shared" si="62"/>
        <v>41910</v>
      </c>
      <c r="Q296" s="301"/>
      <c r="R296" s="258"/>
      <c r="S296" s="8">
        <f t="shared" si="51"/>
        <v>0</v>
      </c>
      <c r="T296" s="443"/>
      <c r="U296" s="731"/>
      <c r="V296" s="756"/>
      <c r="W296" s="756"/>
      <c r="X296" s="8">
        <f t="shared" si="52"/>
        <v>0</v>
      </c>
    </row>
    <row r="297" spans="1:30">
      <c r="A297" s="753">
        <f t="shared" si="43"/>
        <v>160</v>
      </c>
      <c r="B297" s="296" t="s">
        <v>701</v>
      </c>
      <c r="C297" s="729">
        <v>41912</v>
      </c>
      <c r="D297" s="730" t="s">
        <v>727</v>
      </c>
      <c r="E297" s="776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4">
        <v>500</v>
      </c>
      <c r="L297" s="257">
        <f t="shared" si="50"/>
        <v>0</v>
      </c>
      <c r="M297" s="629">
        <v>5000</v>
      </c>
      <c r="N297" s="629"/>
      <c r="O297" s="189"/>
      <c r="P297" s="729">
        <f t="shared" si="62"/>
        <v>41910</v>
      </c>
      <c r="Q297" s="301"/>
      <c r="R297" s="258"/>
      <c r="S297" s="8">
        <f t="shared" si="51"/>
        <v>0</v>
      </c>
      <c r="T297" s="443"/>
      <c r="U297" s="731"/>
      <c r="V297" s="756"/>
      <c r="W297" s="756"/>
      <c r="X297" s="8">
        <f t="shared" si="52"/>
        <v>0</v>
      </c>
    </row>
    <row r="298" spans="1:30">
      <c r="A298" s="753">
        <f t="shared" si="43"/>
        <v>161</v>
      </c>
      <c r="B298" s="296" t="s">
        <v>728</v>
      </c>
      <c r="C298" s="729">
        <v>41912</v>
      </c>
      <c r="D298" s="730" t="s">
        <v>729</v>
      </c>
      <c r="E298" s="776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4">
        <v>1000</v>
      </c>
      <c r="L298" s="257">
        <f t="shared" si="50"/>
        <v>0</v>
      </c>
      <c r="M298" s="629">
        <v>17500</v>
      </c>
      <c r="N298" s="629"/>
      <c r="O298" s="189"/>
      <c r="P298" s="729">
        <f t="shared" si="62"/>
        <v>41910</v>
      </c>
      <c r="Q298" s="301"/>
      <c r="R298" s="258"/>
      <c r="S298" s="8">
        <f t="shared" si="51"/>
        <v>0</v>
      </c>
      <c r="T298" s="443"/>
      <c r="U298" s="731"/>
      <c r="V298" s="756"/>
      <c r="W298" s="756"/>
      <c r="X298" s="8">
        <f t="shared" si="52"/>
        <v>0</v>
      </c>
    </row>
    <row r="299" spans="1:30" s="735" customFormat="1">
      <c r="A299" s="837"/>
      <c r="B299" s="743"/>
      <c r="C299" s="729"/>
      <c r="D299" s="730"/>
      <c r="E299" s="744"/>
      <c r="F299" s="745"/>
      <c r="G299" s="746"/>
      <c r="H299" s="746"/>
      <c r="I299" s="746"/>
      <c r="J299" s="745"/>
      <c r="K299" s="747"/>
      <c r="L299" s="746"/>
      <c r="M299" s="629"/>
      <c r="N299" s="629"/>
      <c r="O299" s="443"/>
      <c r="P299" s="731"/>
      <c r="Q299" s="779"/>
      <c r="R299" s="758"/>
      <c r="S299" s="25"/>
      <c r="T299" s="443"/>
      <c r="U299" s="731"/>
      <c r="V299" s="758"/>
      <c r="W299" s="758"/>
      <c r="X299" s="748"/>
    </row>
    <row r="300" spans="1:30" s="710" customFormat="1">
      <c r="A300" s="715"/>
      <c r="B300" s="716" t="s">
        <v>251</v>
      </c>
      <c r="C300" s="834"/>
      <c r="D300" s="738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4"/>
      <c r="N300" s="724"/>
      <c r="O300" s="736"/>
      <c r="P300" s="737"/>
      <c r="Q300" s="775"/>
      <c r="R300" s="27"/>
      <c r="S300" s="47">
        <f>SUM(S138:S299)</f>
        <v>0</v>
      </c>
      <c r="T300" s="736"/>
      <c r="U300" s="737"/>
      <c r="V300" s="749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17"/>
  <sheetViews>
    <sheetView topLeftCell="A5" workbookViewId="0">
      <pane ySplit="2" topLeftCell="A130" activePane="bottomLeft" state="frozen"/>
      <selection activeCell="A5" sqref="A5"/>
      <selection pane="bottomLeft" activeCell="N11" sqref="N11"/>
    </sheetView>
  </sheetViews>
  <sheetFormatPr defaultColWidth="10.28515625" defaultRowHeight="12.75"/>
  <cols>
    <col min="1" max="1" width="4.7109375" style="709" customWidth="1"/>
    <col min="2" max="2" width="29.28515625" style="709" customWidth="1"/>
    <col min="3" max="3" width="8.85546875" style="723" customWidth="1"/>
    <col min="4" max="4" width="8.85546875" style="830" customWidth="1"/>
    <col min="5" max="7" width="6.5703125" style="709" customWidth="1"/>
    <col min="8" max="8" width="9" style="709" customWidth="1"/>
    <col min="9" max="10" width="8.42578125" style="709" customWidth="1"/>
    <col min="11" max="11" width="7.42578125" style="709" customWidth="1"/>
    <col min="12" max="12" width="9.7109375" style="721" customWidth="1"/>
    <col min="13" max="13" width="2" style="721" customWidth="1"/>
    <col min="14" max="14" width="28.42578125" style="709" customWidth="1"/>
    <col min="15" max="15" width="10.140625" style="722" customWidth="1"/>
    <col min="16" max="16" width="7" style="767" customWidth="1"/>
    <col min="17" max="17" width="7.5703125" style="293" customWidth="1"/>
    <col min="18" max="18" width="12.42578125" style="709" customWidth="1"/>
    <col min="19" max="19" width="13.28515625" style="709" customWidth="1"/>
    <col min="20" max="16384" width="10.28515625" style="709"/>
  </cols>
  <sheetData>
    <row r="1" spans="1:19" s="710" customFormat="1">
      <c r="A1" s="717"/>
      <c r="B1" s="718"/>
      <c r="C1" s="723"/>
      <c r="D1" s="830"/>
      <c r="E1" s="711"/>
      <c r="F1" s="711"/>
      <c r="G1" s="711"/>
      <c r="H1" s="711"/>
      <c r="I1" s="711"/>
      <c r="J1" s="711"/>
      <c r="K1" s="711"/>
      <c r="L1" s="724"/>
      <c r="M1" s="724"/>
      <c r="N1" s="444"/>
      <c r="O1" s="739"/>
      <c r="P1" s="773"/>
      <c r="Q1" s="727"/>
      <c r="R1" s="741"/>
    </row>
    <row r="2" spans="1:19" ht="18" customHeight="1">
      <c r="A2" s="552" t="str">
        <f>TH!$A$1</f>
        <v>Đơn vị: CÔNG TY TNHH SX TM KIM DUNG PHÁT</v>
      </c>
      <c r="B2" s="710"/>
      <c r="E2" s="293"/>
      <c r="F2" s="293"/>
      <c r="G2" s="293"/>
      <c r="H2" s="293"/>
      <c r="I2" s="566"/>
      <c r="J2" s="566"/>
      <c r="K2" s="293"/>
      <c r="L2" s="724"/>
      <c r="M2" s="724"/>
      <c r="N2" s="444"/>
      <c r="O2" s="739"/>
      <c r="P2" s="773"/>
      <c r="Q2" s="727"/>
      <c r="R2" s="741"/>
    </row>
    <row r="3" spans="1:19" ht="18.75" customHeight="1">
      <c r="A3" s="711" t="s">
        <v>1276</v>
      </c>
      <c r="B3" s="711"/>
      <c r="E3" s="711"/>
      <c r="F3" s="711"/>
      <c r="G3" s="711"/>
      <c r="H3" s="711"/>
      <c r="I3" s="711"/>
      <c r="J3" s="711"/>
      <c r="K3" s="711"/>
      <c r="L3" s="724"/>
      <c r="M3" s="724"/>
      <c r="N3" s="444"/>
      <c r="O3" s="739"/>
      <c r="P3" s="773"/>
      <c r="Q3" s="727"/>
      <c r="R3" s="741"/>
    </row>
    <row r="4" spans="1:19" ht="13.5" customHeight="1">
      <c r="A4" s="711"/>
      <c r="B4" s="712"/>
      <c r="E4" s="712"/>
      <c r="F4" s="712"/>
      <c r="G4" s="712"/>
      <c r="H4" s="712"/>
      <c r="I4" s="725"/>
      <c r="J4" s="725"/>
      <c r="K4" s="712"/>
      <c r="L4" s="724"/>
      <c r="M4" s="724"/>
      <c r="N4" s="444"/>
      <c r="O4" s="739"/>
      <c r="P4" s="773"/>
      <c r="Q4" s="727"/>
      <c r="R4" s="741"/>
    </row>
    <row r="5" spans="1:19" s="441" customFormat="1" ht="21" customHeight="1">
      <c r="A5" s="1079" t="s">
        <v>35</v>
      </c>
      <c r="B5" s="1079" t="s">
        <v>242</v>
      </c>
      <c r="C5" s="1079" t="s">
        <v>1256</v>
      </c>
      <c r="D5" s="1079" t="s">
        <v>1257</v>
      </c>
      <c r="E5" s="1083" t="s">
        <v>1258</v>
      </c>
      <c r="F5" s="1084"/>
      <c r="G5" s="1084"/>
      <c r="H5" s="1085"/>
      <c r="I5" s="1079" t="s">
        <v>243</v>
      </c>
      <c r="J5" s="1086" t="s">
        <v>1259</v>
      </c>
      <c r="K5" s="1079" t="s">
        <v>1260</v>
      </c>
      <c r="L5" s="440"/>
      <c r="M5" s="440"/>
      <c r="N5" s="1079" t="s">
        <v>242</v>
      </c>
      <c r="O5" s="1079" t="s">
        <v>1261</v>
      </c>
      <c r="P5" s="1079" t="s">
        <v>201</v>
      </c>
      <c r="Q5" s="1079" t="s">
        <v>244</v>
      </c>
      <c r="R5" s="1079" t="s">
        <v>250</v>
      </c>
    </row>
    <row r="6" spans="1:19" s="441" customFormat="1" ht="26.25" customHeight="1">
      <c r="A6" s="1079"/>
      <c r="B6" s="1079"/>
      <c r="C6" s="1079"/>
      <c r="D6" s="1079"/>
      <c r="E6" s="769" t="s">
        <v>1262</v>
      </c>
      <c r="F6" s="769" t="s">
        <v>1263</v>
      </c>
      <c r="G6" s="769" t="s">
        <v>1264</v>
      </c>
      <c r="H6" s="437" t="s">
        <v>1265</v>
      </c>
      <c r="I6" s="1079"/>
      <c r="J6" s="1087"/>
      <c r="K6" s="1079"/>
      <c r="L6" s="440"/>
      <c r="M6" s="440"/>
      <c r="N6" s="1079"/>
      <c r="O6" s="1079"/>
      <c r="P6" s="1079"/>
      <c r="Q6" s="1079"/>
      <c r="R6" s="1079"/>
    </row>
    <row r="7" spans="1:19" ht="16.5" customHeight="1">
      <c r="A7" s="713">
        <v>1</v>
      </c>
      <c r="B7" s="296" t="s">
        <v>731</v>
      </c>
      <c r="C7" s="729">
        <v>41918</v>
      </c>
      <c r="D7" s="729" t="s">
        <v>732</v>
      </c>
      <c r="E7" s="25"/>
      <c r="F7" s="714"/>
      <c r="G7" s="714"/>
      <c r="H7" s="838">
        <f t="shared" ref="H7:H70" si="0">ROUND(((E7+F7)*2*0.01+1.2)*((F7+G7)*0.01+0.3),2)</f>
        <v>0.36</v>
      </c>
      <c r="I7" s="714">
        <v>218</v>
      </c>
      <c r="J7" s="714">
        <f t="shared" ref="J7" si="1">H7*I7</f>
        <v>78.48</v>
      </c>
      <c r="K7" s="714">
        <f>I7*$R$49</f>
        <v>0</v>
      </c>
      <c r="L7" s="629">
        <v>30000</v>
      </c>
      <c r="M7" s="629"/>
      <c r="N7" s="296"/>
      <c r="O7" s="184"/>
      <c r="P7" s="256"/>
      <c r="Q7" s="256"/>
      <c r="R7" s="8">
        <f t="shared" ref="R7:R25" si="2">ROUND(P7*Q7,0)</f>
        <v>0</v>
      </c>
      <c r="S7" s="709">
        <f t="shared" ref="S7:S70" si="3">I7*L7</f>
        <v>6540000</v>
      </c>
    </row>
    <row r="8" spans="1:19" ht="16.5" customHeight="1">
      <c r="A8" s="713">
        <f t="shared" ref="A8:A70" si="4">IF(B8&lt;&gt;"",A7+1,"")</f>
        <v>2</v>
      </c>
      <c r="B8" s="296" t="s">
        <v>755</v>
      </c>
      <c r="C8" s="729">
        <v>41918</v>
      </c>
      <c r="D8" s="729" t="s">
        <v>732</v>
      </c>
      <c r="E8" s="25"/>
      <c r="F8" s="714"/>
      <c r="G8" s="714"/>
      <c r="H8" s="838">
        <f t="shared" si="0"/>
        <v>0.36</v>
      </c>
      <c r="I8" s="714">
        <v>436</v>
      </c>
      <c r="J8" s="714">
        <f t="shared" ref="J8:J71" si="5">H8*I8</f>
        <v>156.96</v>
      </c>
      <c r="K8" s="714">
        <f t="shared" ref="K8:K71" si="6">I8*$R$49</f>
        <v>0</v>
      </c>
      <c r="L8" s="629">
        <v>1440</v>
      </c>
      <c r="M8" s="629"/>
      <c r="N8" s="192"/>
      <c r="O8" s="184"/>
      <c r="P8" s="256"/>
      <c r="Q8" s="256"/>
      <c r="R8" s="8">
        <f t="shared" si="2"/>
        <v>0</v>
      </c>
      <c r="S8" s="709">
        <f t="shared" si="3"/>
        <v>627840</v>
      </c>
    </row>
    <row r="9" spans="1:19" ht="16.5" customHeight="1">
      <c r="A9" s="713">
        <f t="shared" si="4"/>
        <v>3</v>
      </c>
      <c r="B9" s="296" t="s">
        <v>733</v>
      </c>
      <c r="C9" s="729">
        <v>41918</v>
      </c>
      <c r="D9" s="729" t="s">
        <v>734</v>
      </c>
      <c r="E9" s="25"/>
      <c r="F9" s="714"/>
      <c r="G9" s="714"/>
      <c r="H9" s="838">
        <f t="shared" si="0"/>
        <v>0.36</v>
      </c>
      <c r="I9" s="714">
        <v>267</v>
      </c>
      <c r="J9" s="714">
        <f t="shared" si="5"/>
        <v>96.11999999999999</v>
      </c>
      <c r="K9" s="714">
        <f t="shared" si="6"/>
        <v>0</v>
      </c>
      <c r="L9" s="629">
        <v>3700</v>
      </c>
      <c r="M9" s="629"/>
      <c r="N9" s="192"/>
      <c r="O9" s="184"/>
      <c r="P9" s="256"/>
      <c r="Q9" s="256"/>
      <c r="R9" s="8">
        <f t="shared" si="2"/>
        <v>0</v>
      </c>
      <c r="S9" s="709">
        <f t="shared" si="3"/>
        <v>987900</v>
      </c>
    </row>
    <row r="10" spans="1:19" ht="16.5" customHeight="1">
      <c r="A10" s="713">
        <f t="shared" si="4"/>
        <v>4</v>
      </c>
      <c r="B10" s="296" t="s">
        <v>735</v>
      </c>
      <c r="C10" s="729">
        <v>41918</v>
      </c>
      <c r="D10" s="729" t="s">
        <v>734</v>
      </c>
      <c r="E10" s="25"/>
      <c r="F10" s="714"/>
      <c r="G10" s="714"/>
      <c r="H10" s="838">
        <f t="shared" si="0"/>
        <v>0.36</v>
      </c>
      <c r="I10" s="714">
        <v>120</v>
      </c>
      <c r="J10" s="714">
        <f t="shared" si="5"/>
        <v>43.199999999999996</v>
      </c>
      <c r="K10" s="714">
        <f t="shared" si="6"/>
        <v>0</v>
      </c>
      <c r="L10" s="629">
        <v>6500</v>
      </c>
      <c r="M10" s="629"/>
      <c r="N10" s="192"/>
      <c r="O10" s="37"/>
      <c r="P10" s="256"/>
      <c r="Q10" s="256"/>
      <c r="R10" s="8">
        <f t="shared" si="2"/>
        <v>0</v>
      </c>
      <c r="S10" s="709">
        <f t="shared" si="3"/>
        <v>780000</v>
      </c>
    </row>
    <row r="11" spans="1:19" ht="16.5" customHeight="1">
      <c r="A11" s="713">
        <f t="shared" si="4"/>
        <v>5</v>
      </c>
      <c r="B11" s="296" t="s">
        <v>736</v>
      </c>
      <c r="C11" s="729">
        <v>41918</v>
      </c>
      <c r="D11" s="729" t="s">
        <v>734</v>
      </c>
      <c r="E11" s="25"/>
      <c r="F11" s="714"/>
      <c r="G11" s="714"/>
      <c r="H11" s="838">
        <f t="shared" si="0"/>
        <v>0.36</v>
      </c>
      <c r="I11" s="714">
        <v>230</v>
      </c>
      <c r="J11" s="714">
        <f t="shared" si="5"/>
        <v>82.8</v>
      </c>
      <c r="K11" s="714">
        <f t="shared" si="6"/>
        <v>0</v>
      </c>
      <c r="L11" s="629">
        <v>6500</v>
      </c>
      <c r="M11" s="629"/>
      <c r="N11" s="192"/>
      <c r="O11" s="184"/>
      <c r="P11" s="256"/>
      <c r="Q11" s="256"/>
      <c r="R11" s="8">
        <f t="shared" si="2"/>
        <v>0</v>
      </c>
      <c r="S11" s="709">
        <f t="shared" si="3"/>
        <v>1495000</v>
      </c>
    </row>
    <row r="12" spans="1:19" ht="16.5" customHeight="1">
      <c r="A12" s="713">
        <f t="shared" si="4"/>
        <v>6</v>
      </c>
      <c r="B12" s="296" t="s">
        <v>737</v>
      </c>
      <c r="C12" s="729">
        <v>41918</v>
      </c>
      <c r="D12" s="729" t="s">
        <v>734</v>
      </c>
      <c r="E12" s="25"/>
      <c r="F12" s="714"/>
      <c r="G12" s="714"/>
      <c r="H12" s="838">
        <f t="shared" si="0"/>
        <v>0.36</v>
      </c>
      <c r="I12" s="714">
        <v>230</v>
      </c>
      <c r="J12" s="714">
        <f t="shared" si="5"/>
        <v>82.8</v>
      </c>
      <c r="K12" s="714">
        <f t="shared" si="6"/>
        <v>0</v>
      </c>
      <c r="L12" s="629">
        <v>5500</v>
      </c>
      <c r="M12" s="629"/>
      <c r="N12" s="296"/>
      <c r="O12" s="184"/>
      <c r="P12" s="256"/>
      <c r="Q12" s="256"/>
      <c r="R12" s="8">
        <f t="shared" si="2"/>
        <v>0</v>
      </c>
      <c r="S12" s="709">
        <f t="shared" si="3"/>
        <v>1265000</v>
      </c>
    </row>
    <row r="13" spans="1:19" ht="16.5" customHeight="1">
      <c r="A13" s="713">
        <f t="shared" si="4"/>
        <v>7</v>
      </c>
      <c r="B13" s="296" t="s">
        <v>521</v>
      </c>
      <c r="C13" s="729">
        <v>41922</v>
      </c>
      <c r="D13" s="729" t="s">
        <v>739</v>
      </c>
      <c r="E13" s="25"/>
      <c r="F13" s="714"/>
      <c r="G13" s="714"/>
      <c r="H13" s="838">
        <f t="shared" si="0"/>
        <v>0.36</v>
      </c>
      <c r="I13" s="714">
        <v>1996</v>
      </c>
      <c r="J13" s="714">
        <f t="shared" si="5"/>
        <v>718.56</v>
      </c>
      <c r="K13" s="714">
        <f t="shared" si="6"/>
        <v>0</v>
      </c>
      <c r="L13" s="629">
        <v>12000</v>
      </c>
      <c r="M13" s="629"/>
      <c r="N13" s="192"/>
      <c r="O13" s="184"/>
      <c r="P13" s="256"/>
      <c r="Q13" s="256"/>
      <c r="R13" s="8">
        <f t="shared" si="2"/>
        <v>0</v>
      </c>
      <c r="S13" s="709">
        <f t="shared" si="3"/>
        <v>23952000</v>
      </c>
    </row>
    <row r="14" spans="1:19" ht="16.5" customHeight="1">
      <c r="A14" s="713">
        <f t="shared" si="4"/>
        <v>8</v>
      </c>
      <c r="B14" s="296" t="s">
        <v>740</v>
      </c>
      <c r="C14" s="729">
        <v>41922</v>
      </c>
      <c r="D14" s="729" t="s">
        <v>741</v>
      </c>
      <c r="E14" s="25"/>
      <c r="F14" s="714"/>
      <c r="G14" s="714"/>
      <c r="H14" s="838">
        <f t="shared" si="0"/>
        <v>0.36</v>
      </c>
      <c r="I14" s="714">
        <v>600</v>
      </c>
      <c r="J14" s="714">
        <f t="shared" si="5"/>
        <v>216</v>
      </c>
      <c r="K14" s="714">
        <f t="shared" si="6"/>
        <v>0</v>
      </c>
      <c r="L14" s="629">
        <v>11300</v>
      </c>
      <c r="M14" s="629"/>
      <c r="N14" s="192"/>
      <c r="O14" s="184"/>
      <c r="P14" s="256"/>
      <c r="Q14" s="256"/>
      <c r="R14" s="8">
        <f t="shared" si="2"/>
        <v>0</v>
      </c>
      <c r="S14" s="709">
        <f t="shared" si="3"/>
        <v>6780000</v>
      </c>
    </row>
    <row r="15" spans="1:19" ht="16.5" customHeight="1">
      <c r="A15" s="713">
        <f t="shared" si="4"/>
        <v>9</v>
      </c>
      <c r="B15" s="296" t="s">
        <v>670</v>
      </c>
      <c r="C15" s="729">
        <v>41922</v>
      </c>
      <c r="D15" s="729" t="s">
        <v>743</v>
      </c>
      <c r="E15" s="25"/>
      <c r="F15" s="714"/>
      <c r="G15" s="714"/>
      <c r="H15" s="838">
        <f t="shared" si="0"/>
        <v>0.36</v>
      </c>
      <c r="I15" s="714">
        <v>1932</v>
      </c>
      <c r="J15" s="714">
        <f t="shared" si="5"/>
        <v>695.52</v>
      </c>
      <c r="K15" s="714">
        <f t="shared" si="6"/>
        <v>0</v>
      </c>
      <c r="L15" s="629">
        <v>10050</v>
      </c>
      <c r="M15" s="629"/>
      <c r="N15" s="192"/>
      <c r="O15" s="184"/>
      <c r="P15" s="259"/>
      <c r="Q15" s="259"/>
      <c r="R15" s="8">
        <f t="shared" si="2"/>
        <v>0</v>
      </c>
      <c r="S15" s="709">
        <f t="shared" si="3"/>
        <v>19416600</v>
      </c>
    </row>
    <row r="16" spans="1:19" ht="16.5" customHeight="1">
      <c r="A16" s="713">
        <f t="shared" si="4"/>
        <v>10</v>
      </c>
      <c r="B16" s="296" t="s">
        <v>670</v>
      </c>
      <c r="C16" s="729">
        <v>41922</v>
      </c>
      <c r="D16" s="729" t="s">
        <v>743</v>
      </c>
      <c r="E16" s="25"/>
      <c r="F16" s="714"/>
      <c r="G16" s="714"/>
      <c r="H16" s="838">
        <f t="shared" si="0"/>
        <v>0.36</v>
      </c>
      <c r="I16" s="714">
        <v>593</v>
      </c>
      <c r="J16" s="714">
        <f t="shared" si="5"/>
        <v>213.48</v>
      </c>
      <c r="K16" s="714">
        <f t="shared" si="6"/>
        <v>0</v>
      </c>
      <c r="L16" s="629">
        <v>10050</v>
      </c>
      <c r="M16" s="629"/>
      <c r="N16" s="192"/>
      <c r="O16" s="184"/>
      <c r="P16" s="259"/>
      <c r="Q16" s="259"/>
      <c r="R16" s="8">
        <f t="shared" si="2"/>
        <v>0</v>
      </c>
      <c r="S16" s="709">
        <f t="shared" si="3"/>
        <v>5959650</v>
      </c>
    </row>
    <row r="17" spans="1:19" ht="16.5" customHeight="1">
      <c r="A17" s="713">
        <f t="shared" si="4"/>
        <v>11</v>
      </c>
      <c r="B17" s="296" t="s">
        <v>744</v>
      </c>
      <c r="C17" s="729">
        <v>41922</v>
      </c>
      <c r="D17" s="729" t="s">
        <v>743</v>
      </c>
      <c r="E17" s="25"/>
      <c r="F17" s="714"/>
      <c r="G17" s="714"/>
      <c r="H17" s="838">
        <f t="shared" si="0"/>
        <v>0.36</v>
      </c>
      <c r="I17" s="714">
        <v>314</v>
      </c>
      <c r="J17" s="714">
        <f t="shared" si="5"/>
        <v>113.03999999999999</v>
      </c>
      <c r="K17" s="714">
        <f t="shared" si="6"/>
        <v>0</v>
      </c>
      <c r="L17" s="629">
        <v>9450</v>
      </c>
      <c r="M17" s="629"/>
      <c r="N17" s="296"/>
      <c r="O17" s="191"/>
      <c r="P17" s="256"/>
      <c r="Q17" s="256"/>
      <c r="R17" s="8">
        <f t="shared" si="2"/>
        <v>0</v>
      </c>
      <c r="S17" s="709">
        <f t="shared" si="3"/>
        <v>2967300</v>
      </c>
    </row>
    <row r="18" spans="1:19" ht="16.5" customHeight="1">
      <c r="A18" s="713">
        <f t="shared" si="4"/>
        <v>12</v>
      </c>
      <c r="B18" s="296" t="s">
        <v>670</v>
      </c>
      <c r="C18" s="729">
        <v>41922</v>
      </c>
      <c r="D18" s="729" t="s">
        <v>743</v>
      </c>
      <c r="E18" s="25"/>
      <c r="F18" s="714"/>
      <c r="G18" s="714"/>
      <c r="H18" s="838">
        <f t="shared" si="0"/>
        <v>0.36</v>
      </c>
      <c r="I18" s="714">
        <v>173</v>
      </c>
      <c r="J18" s="714">
        <f t="shared" si="5"/>
        <v>62.28</v>
      </c>
      <c r="K18" s="714">
        <f t="shared" si="6"/>
        <v>0</v>
      </c>
      <c r="L18" s="629">
        <v>10050</v>
      </c>
      <c r="M18" s="629"/>
      <c r="N18" s="296"/>
      <c r="O18" s="191"/>
      <c r="P18" s="256"/>
      <c r="Q18" s="256"/>
      <c r="R18" s="8">
        <f t="shared" si="2"/>
        <v>0</v>
      </c>
      <c r="S18" s="709">
        <f t="shared" si="3"/>
        <v>1738650</v>
      </c>
    </row>
    <row r="19" spans="1:19" ht="16.5" customHeight="1">
      <c r="A19" s="713">
        <f t="shared" si="4"/>
        <v>13</v>
      </c>
      <c r="B19" s="296" t="s">
        <v>670</v>
      </c>
      <c r="C19" s="729">
        <v>41922</v>
      </c>
      <c r="D19" s="729" t="s">
        <v>743</v>
      </c>
      <c r="E19" s="25"/>
      <c r="F19" s="714"/>
      <c r="G19" s="714"/>
      <c r="H19" s="838">
        <f t="shared" si="0"/>
        <v>0.36</v>
      </c>
      <c r="I19" s="714">
        <v>287</v>
      </c>
      <c r="J19" s="714">
        <f t="shared" si="5"/>
        <v>103.32</v>
      </c>
      <c r="K19" s="714">
        <f t="shared" si="6"/>
        <v>0</v>
      </c>
      <c r="L19" s="629">
        <v>10050</v>
      </c>
      <c r="M19" s="629"/>
      <c r="N19" s="296"/>
      <c r="O19" s="191"/>
      <c r="P19" s="256"/>
      <c r="Q19" s="256"/>
      <c r="R19" s="8">
        <f t="shared" si="2"/>
        <v>0</v>
      </c>
      <c r="S19" s="709">
        <f t="shared" si="3"/>
        <v>2884350</v>
      </c>
    </row>
    <row r="20" spans="1:19" ht="16.5" customHeight="1">
      <c r="A20" s="713">
        <f t="shared" si="4"/>
        <v>14</v>
      </c>
      <c r="B20" s="296" t="s">
        <v>744</v>
      </c>
      <c r="C20" s="729">
        <v>41922</v>
      </c>
      <c r="D20" s="729" t="s">
        <v>743</v>
      </c>
      <c r="E20" s="25"/>
      <c r="F20" s="714"/>
      <c r="G20" s="714"/>
      <c r="H20" s="838">
        <f t="shared" si="0"/>
        <v>0.36</v>
      </c>
      <c r="I20" s="714">
        <v>454</v>
      </c>
      <c r="J20" s="714">
        <f t="shared" si="5"/>
        <v>163.44</v>
      </c>
      <c r="K20" s="714">
        <f t="shared" si="6"/>
        <v>0</v>
      </c>
      <c r="L20" s="629">
        <v>9450</v>
      </c>
      <c r="M20" s="629"/>
      <c r="N20" s="192"/>
      <c r="O20" s="191"/>
      <c r="P20" s="256"/>
      <c r="Q20" s="256"/>
      <c r="R20" s="8">
        <f t="shared" si="2"/>
        <v>0</v>
      </c>
      <c r="S20" s="709">
        <f t="shared" si="3"/>
        <v>4290300</v>
      </c>
    </row>
    <row r="21" spans="1:19" ht="16.5" customHeight="1">
      <c r="A21" s="713">
        <f t="shared" si="4"/>
        <v>15</v>
      </c>
      <c r="B21" s="296" t="s">
        <v>744</v>
      </c>
      <c r="C21" s="729">
        <v>41922</v>
      </c>
      <c r="D21" s="729" t="s">
        <v>743</v>
      </c>
      <c r="E21" s="25"/>
      <c r="F21" s="714"/>
      <c r="G21" s="714"/>
      <c r="H21" s="838">
        <f t="shared" si="0"/>
        <v>0.36</v>
      </c>
      <c r="I21" s="714">
        <v>160</v>
      </c>
      <c r="J21" s="714">
        <f t="shared" si="5"/>
        <v>57.599999999999994</v>
      </c>
      <c r="K21" s="714">
        <f t="shared" si="6"/>
        <v>0</v>
      </c>
      <c r="L21" s="629">
        <v>9450</v>
      </c>
      <c r="M21" s="629"/>
      <c r="N21" s="296"/>
      <c r="O21" s="731"/>
      <c r="P21" s="256"/>
      <c r="Q21" s="256"/>
      <c r="R21" s="8">
        <f t="shared" si="2"/>
        <v>0</v>
      </c>
      <c r="S21" s="709">
        <f t="shared" si="3"/>
        <v>1512000</v>
      </c>
    </row>
    <row r="22" spans="1:19" ht="16.5" customHeight="1">
      <c r="A22" s="713">
        <f t="shared" si="4"/>
        <v>16</v>
      </c>
      <c r="B22" s="296" t="s">
        <v>630</v>
      </c>
      <c r="C22" s="729">
        <v>41922</v>
      </c>
      <c r="D22" s="729" t="s">
        <v>743</v>
      </c>
      <c r="E22" s="25"/>
      <c r="F22" s="714"/>
      <c r="G22" s="714"/>
      <c r="H22" s="838">
        <f t="shared" si="0"/>
        <v>0.36</v>
      </c>
      <c r="I22" s="714">
        <v>4800</v>
      </c>
      <c r="J22" s="714">
        <f t="shared" si="5"/>
        <v>1728</v>
      </c>
      <c r="K22" s="714">
        <f t="shared" si="6"/>
        <v>0</v>
      </c>
      <c r="L22" s="629">
        <v>400</v>
      </c>
      <c r="M22" s="629"/>
      <c r="N22" s="192"/>
      <c r="O22" s="731"/>
      <c r="P22" s="256"/>
      <c r="Q22" s="256"/>
      <c r="R22" s="8">
        <f t="shared" si="2"/>
        <v>0</v>
      </c>
      <c r="S22" s="709">
        <f t="shared" si="3"/>
        <v>1920000</v>
      </c>
    </row>
    <row r="23" spans="1:19" ht="16.5" customHeight="1">
      <c r="A23" s="713">
        <f t="shared" si="4"/>
        <v>17</v>
      </c>
      <c r="B23" s="296" t="s">
        <v>714</v>
      </c>
      <c r="C23" s="729">
        <v>41926</v>
      </c>
      <c r="D23" s="729" t="s">
        <v>745</v>
      </c>
      <c r="E23" s="25"/>
      <c r="F23" s="714"/>
      <c r="G23" s="714"/>
      <c r="H23" s="838">
        <f t="shared" si="0"/>
        <v>0.36</v>
      </c>
      <c r="I23" s="714">
        <v>1635</v>
      </c>
      <c r="J23" s="714">
        <f t="shared" si="5"/>
        <v>588.6</v>
      </c>
      <c r="K23" s="714">
        <f t="shared" si="6"/>
        <v>0</v>
      </c>
      <c r="L23" s="629">
        <v>7000</v>
      </c>
      <c r="M23" s="629"/>
      <c r="N23" s="192"/>
      <c r="O23" s="731"/>
      <c r="P23" s="256"/>
      <c r="Q23" s="256"/>
      <c r="R23" s="8">
        <f t="shared" si="2"/>
        <v>0</v>
      </c>
      <c r="S23" s="709">
        <f t="shared" si="3"/>
        <v>11445000</v>
      </c>
    </row>
    <row r="24" spans="1:19" ht="16.5" customHeight="1">
      <c r="A24" s="713">
        <f t="shared" si="4"/>
        <v>18</v>
      </c>
      <c r="B24" s="296" t="s">
        <v>500</v>
      </c>
      <c r="C24" s="729">
        <v>41926</v>
      </c>
      <c r="D24" s="729" t="s">
        <v>746</v>
      </c>
      <c r="E24" s="25"/>
      <c r="F24" s="714"/>
      <c r="G24" s="714"/>
      <c r="H24" s="838">
        <f t="shared" si="0"/>
        <v>0.36</v>
      </c>
      <c r="I24" s="714">
        <v>197</v>
      </c>
      <c r="J24" s="714">
        <f t="shared" si="5"/>
        <v>70.92</v>
      </c>
      <c r="K24" s="714">
        <f t="shared" si="6"/>
        <v>0</v>
      </c>
      <c r="L24" s="629">
        <v>8600</v>
      </c>
      <c r="M24" s="629"/>
      <c r="N24" s="296"/>
      <c r="O24" s="731"/>
      <c r="P24" s="256"/>
      <c r="Q24" s="256"/>
      <c r="R24" s="8">
        <f t="shared" si="2"/>
        <v>0</v>
      </c>
      <c r="S24" s="709">
        <f t="shared" si="3"/>
        <v>1694200</v>
      </c>
    </row>
    <row r="25" spans="1:19" ht="16.5" customHeight="1">
      <c r="A25" s="713">
        <f t="shared" si="4"/>
        <v>19</v>
      </c>
      <c r="B25" s="296" t="s">
        <v>518</v>
      </c>
      <c r="C25" s="729">
        <v>41926</v>
      </c>
      <c r="D25" s="729" t="s">
        <v>746</v>
      </c>
      <c r="E25" s="25"/>
      <c r="F25" s="714"/>
      <c r="G25" s="714"/>
      <c r="H25" s="838">
        <f t="shared" si="0"/>
        <v>0.36</v>
      </c>
      <c r="I25" s="714">
        <v>300</v>
      </c>
      <c r="J25" s="714">
        <f t="shared" si="5"/>
        <v>108</v>
      </c>
      <c r="K25" s="714">
        <f t="shared" si="6"/>
        <v>0</v>
      </c>
      <c r="L25" s="629">
        <v>7000</v>
      </c>
      <c r="M25" s="629"/>
      <c r="N25" s="296"/>
      <c r="O25" s="37"/>
      <c r="P25" s="256"/>
      <c r="Q25" s="256"/>
      <c r="R25" s="8">
        <f t="shared" si="2"/>
        <v>0</v>
      </c>
      <c r="S25" s="709">
        <f t="shared" si="3"/>
        <v>2100000</v>
      </c>
    </row>
    <row r="26" spans="1:19" ht="16.5" customHeight="1">
      <c r="A26" s="713">
        <f t="shared" si="4"/>
        <v>20</v>
      </c>
      <c r="B26" s="296" t="s">
        <v>747</v>
      </c>
      <c r="C26" s="729">
        <v>41926</v>
      </c>
      <c r="D26" s="729" t="s">
        <v>746</v>
      </c>
      <c r="E26" s="25"/>
      <c r="F26" s="714"/>
      <c r="G26" s="714"/>
      <c r="H26" s="838">
        <f t="shared" si="0"/>
        <v>0.36</v>
      </c>
      <c r="I26" s="714">
        <v>42</v>
      </c>
      <c r="J26" s="714">
        <f t="shared" si="5"/>
        <v>15.12</v>
      </c>
      <c r="K26" s="714">
        <f t="shared" si="6"/>
        <v>0</v>
      </c>
      <c r="L26" s="629">
        <v>7400</v>
      </c>
      <c r="M26" s="629"/>
      <c r="N26" s="443"/>
      <c r="O26" s="729"/>
      <c r="P26" s="770"/>
      <c r="Q26" s="756"/>
      <c r="R26" s="8"/>
      <c r="S26" s="709">
        <f t="shared" si="3"/>
        <v>310800</v>
      </c>
    </row>
    <row r="27" spans="1:19" ht="16.5" customHeight="1">
      <c r="A27" s="713">
        <f t="shared" si="4"/>
        <v>21</v>
      </c>
      <c r="B27" s="296" t="s">
        <v>492</v>
      </c>
      <c r="C27" s="729">
        <v>41926</v>
      </c>
      <c r="D27" s="729" t="s">
        <v>746</v>
      </c>
      <c r="E27" s="25"/>
      <c r="F27" s="714"/>
      <c r="G27" s="714"/>
      <c r="H27" s="838">
        <f t="shared" si="0"/>
        <v>0.36</v>
      </c>
      <c r="I27" s="714">
        <v>297</v>
      </c>
      <c r="J27" s="714">
        <f t="shared" si="5"/>
        <v>106.92</v>
      </c>
      <c r="K27" s="714">
        <f t="shared" si="6"/>
        <v>0</v>
      </c>
      <c r="L27" s="629">
        <v>9300</v>
      </c>
      <c r="M27" s="629"/>
      <c r="N27" s="839" t="s">
        <v>1266</v>
      </c>
      <c r="O27" s="840"/>
      <c r="P27" s="841"/>
      <c r="Q27" s="516"/>
      <c r="R27" s="516">
        <f>SUM(R7:R26)</f>
        <v>0</v>
      </c>
      <c r="S27" s="709">
        <f t="shared" si="3"/>
        <v>2762100</v>
      </c>
    </row>
    <row r="28" spans="1:19" ht="16.5" customHeight="1">
      <c r="A28" s="713">
        <f t="shared" si="4"/>
        <v>22</v>
      </c>
      <c r="B28" s="296" t="s">
        <v>748</v>
      </c>
      <c r="C28" s="729">
        <v>41926</v>
      </c>
      <c r="D28" s="729" t="s">
        <v>749</v>
      </c>
      <c r="E28" s="25"/>
      <c r="F28" s="714"/>
      <c r="G28" s="714"/>
      <c r="H28" s="838">
        <f t="shared" si="0"/>
        <v>0.36</v>
      </c>
      <c r="I28" s="714">
        <v>135</v>
      </c>
      <c r="J28" s="714">
        <f t="shared" si="5"/>
        <v>48.6</v>
      </c>
      <c r="K28" s="714">
        <f t="shared" si="6"/>
        <v>0</v>
      </c>
      <c r="L28" s="629">
        <v>13000</v>
      </c>
      <c r="M28" s="629"/>
      <c r="N28" s="189"/>
      <c r="O28" s="37"/>
      <c r="P28" s="756"/>
      <c r="Q28" s="756"/>
      <c r="R28" s="8">
        <f t="shared" ref="R28:R36" si="7">ROUND(P28*Q28,0)</f>
        <v>0</v>
      </c>
      <c r="S28" s="709">
        <f t="shared" si="3"/>
        <v>1755000</v>
      </c>
    </row>
    <row r="29" spans="1:19" ht="16.5" customHeight="1">
      <c r="A29" s="713">
        <f t="shared" si="4"/>
        <v>23</v>
      </c>
      <c r="B29" s="296" t="s">
        <v>748</v>
      </c>
      <c r="C29" s="729">
        <v>41926</v>
      </c>
      <c r="D29" s="729" t="s">
        <v>749</v>
      </c>
      <c r="E29" s="25"/>
      <c r="F29" s="714"/>
      <c r="G29" s="714"/>
      <c r="H29" s="838">
        <f t="shared" si="0"/>
        <v>0.36</v>
      </c>
      <c r="I29" s="714">
        <v>280</v>
      </c>
      <c r="J29" s="714">
        <f t="shared" si="5"/>
        <v>100.8</v>
      </c>
      <c r="K29" s="714">
        <f t="shared" si="6"/>
        <v>0</v>
      </c>
      <c r="L29" s="629">
        <v>13500</v>
      </c>
      <c r="M29" s="629"/>
      <c r="N29" s="189"/>
      <c r="O29" s="37"/>
      <c r="P29" s="256"/>
      <c r="Q29" s="256"/>
      <c r="R29" s="8">
        <f t="shared" si="7"/>
        <v>0</v>
      </c>
      <c r="S29" s="709">
        <f t="shared" si="3"/>
        <v>3780000</v>
      </c>
    </row>
    <row r="30" spans="1:19" ht="16.5" customHeight="1">
      <c r="A30" s="713">
        <f t="shared" si="4"/>
        <v>24</v>
      </c>
      <c r="B30" s="296" t="s">
        <v>750</v>
      </c>
      <c r="C30" s="729">
        <v>41928</v>
      </c>
      <c r="D30" s="729" t="s">
        <v>751</v>
      </c>
      <c r="E30" s="25"/>
      <c r="F30" s="714"/>
      <c r="G30" s="714"/>
      <c r="H30" s="838">
        <f t="shared" si="0"/>
        <v>0.36</v>
      </c>
      <c r="I30" s="714">
        <v>2960</v>
      </c>
      <c r="J30" s="714">
        <f t="shared" si="5"/>
        <v>1065.5999999999999</v>
      </c>
      <c r="K30" s="714">
        <f t="shared" si="6"/>
        <v>0</v>
      </c>
      <c r="L30" s="629">
        <v>5800</v>
      </c>
      <c r="M30" s="629"/>
      <c r="N30" s="189"/>
      <c r="O30" s="37"/>
      <c r="P30" s="756"/>
      <c r="Q30" s="756"/>
      <c r="R30" s="8">
        <f t="shared" si="7"/>
        <v>0</v>
      </c>
      <c r="S30" s="709">
        <f t="shared" si="3"/>
        <v>17168000</v>
      </c>
    </row>
    <row r="31" spans="1:19" ht="16.5" customHeight="1">
      <c r="A31" s="713">
        <f t="shared" si="4"/>
        <v>25</v>
      </c>
      <c r="B31" s="296" t="s">
        <v>619</v>
      </c>
      <c r="C31" s="729">
        <v>41929</v>
      </c>
      <c r="D31" s="729" t="s">
        <v>752</v>
      </c>
      <c r="E31" s="25"/>
      <c r="F31" s="714"/>
      <c r="G31" s="714"/>
      <c r="H31" s="838">
        <f t="shared" si="0"/>
        <v>0.36</v>
      </c>
      <c r="I31" s="714">
        <v>500</v>
      </c>
      <c r="J31" s="714">
        <f t="shared" si="5"/>
        <v>180</v>
      </c>
      <c r="K31" s="714">
        <f t="shared" si="6"/>
        <v>0</v>
      </c>
      <c r="L31" s="629">
        <v>4500</v>
      </c>
      <c r="M31" s="629"/>
      <c r="N31" s="189"/>
      <c r="O31" s="37"/>
      <c r="P31" s="256"/>
      <c r="Q31" s="256"/>
      <c r="R31" s="8">
        <f t="shared" si="7"/>
        <v>0</v>
      </c>
      <c r="S31" s="709">
        <f t="shared" si="3"/>
        <v>2250000</v>
      </c>
    </row>
    <row r="32" spans="1:19" ht="16.5" customHeight="1">
      <c r="A32" s="713">
        <f t="shared" si="4"/>
        <v>26</v>
      </c>
      <c r="B32" s="296" t="s">
        <v>753</v>
      </c>
      <c r="C32" s="729">
        <v>41934</v>
      </c>
      <c r="D32" s="729" t="s">
        <v>754</v>
      </c>
      <c r="E32" s="25"/>
      <c r="F32" s="714"/>
      <c r="G32" s="714"/>
      <c r="H32" s="838">
        <f t="shared" si="0"/>
        <v>0.36</v>
      </c>
      <c r="I32" s="714">
        <v>164</v>
      </c>
      <c r="J32" s="714">
        <f t="shared" si="5"/>
        <v>59.04</v>
      </c>
      <c r="K32" s="714">
        <f t="shared" si="6"/>
        <v>0</v>
      </c>
      <c r="L32" s="629">
        <v>34000</v>
      </c>
      <c r="M32" s="629"/>
      <c r="N32" s="189"/>
      <c r="O32" s="191"/>
      <c r="P32" s="256"/>
      <c r="Q32" s="256"/>
      <c r="R32" s="8">
        <f t="shared" si="7"/>
        <v>0</v>
      </c>
      <c r="S32" s="709">
        <f t="shared" si="3"/>
        <v>5576000</v>
      </c>
    </row>
    <row r="33" spans="1:19" ht="16.5" customHeight="1">
      <c r="A33" s="713">
        <f t="shared" si="4"/>
        <v>27</v>
      </c>
      <c r="B33" s="296" t="s">
        <v>755</v>
      </c>
      <c r="C33" s="729">
        <v>41934</v>
      </c>
      <c r="D33" s="729" t="s">
        <v>754</v>
      </c>
      <c r="E33" s="25"/>
      <c r="F33" s="714"/>
      <c r="G33" s="714"/>
      <c r="H33" s="838">
        <f t="shared" si="0"/>
        <v>0.36</v>
      </c>
      <c r="I33" s="714">
        <v>328</v>
      </c>
      <c r="J33" s="714">
        <f t="shared" si="5"/>
        <v>118.08</v>
      </c>
      <c r="K33" s="714">
        <f t="shared" si="6"/>
        <v>0</v>
      </c>
      <c r="L33" s="629">
        <v>1440</v>
      </c>
      <c r="M33" s="629"/>
      <c r="N33" s="189"/>
      <c r="O33" s="37"/>
      <c r="P33" s="40"/>
      <c r="Q33" s="40"/>
      <c r="R33" s="8">
        <f t="shared" si="7"/>
        <v>0</v>
      </c>
      <c r="S33" s="709">
        <f t="shared" si="3"/>
        <v>472320</v>
      </c>
    </row>
    <row r="34" spans="1:19" ht="16.5" customHeight="1">
      <c r="A34" s="713">
        <f t="shared" si="4"/>
        <v>28</v>
      </c>
      <c r="B34" s="296" t="s">
        <v>756</v>
      </c>
      <c r="C34" s="729">
        <v>41934</v>
      </c>
      <c r="D34" s="729" t="s">
        <v>757</v>
      </c>
      <c r="E34" s="25"/>
      <c r="F34" s="714"/>
      <c r="G34" s="714"/>
      <c r="H34" s="838">
        <f t="shared" si="0"/>
        <v>0.36</v>
      </c>
      <c r="I34" s="714">
        <v>738</v>
      </c>
      <c r="J34" s="714">
        <f t="shared" si="5"/>
        <v>265.68</v>
      </c>
      <c r="K34" s="714">
        <f t="shared" si="6"/>
        <v>0</v>
      </c>
      <c r="L34" s="629">
        <v>24000</v>
      </c>
      <c r="M34" s="629"/>
      <c r="N34" s="40"/>
      <c r="O34" s="189"/>
      <c r="P34" s="189"/>
      <c r="Q34" s="189"/>
      <c r="R34" s="8">
        <f t="shared" si="7"/>
        <v>0</v>
      </c>
      <c r="S34" s="709">
        <f t="shared" si="3"/>
        <v>17712000</v>
      </c>
    </row>
    <row r="35" spans="1:19" ht="16.5" customHeight="1">
      <c r="A35" s="713">
        <f t="shared" si="4"/>
        <v>29</v>
      </c>
      <c r="B35" s="296" t="s">
        <v>720</v>
      </c>
      <c r="C35" s="729">
        <v>41934</v>
      </c>
      <c r="D35" s="729" t="s">
        <v>757</v>
      </c>
      <c r="E35" s="25"/>
      <c r="F35" s="714"/>
      <c r="G35" s="714"/>
      <c r="H35" s="838">
        <f t="shared" si="0"/>
        <v>0.36</v>
      </c>
      <c r="I35" s="714">
        <v>30</v>
      </c>
      <c r="J35" s="714">
        <f t="shared" si="5"/>
        <v>10.799999999999999</v>
      </c>
      <c r="K35" s="714">
        <f t="shared" si="6"/>
        <v>0</v>
      </c>
      <c r="L35" s="629">
        <v>13500</v>
      </c>
      <c r="M35" s="629"/>
      <c r="N35" s="40"/>
      <c r="O35" s="40"/>
      <c r="P35" s="40"/>
      <c r="Q35" s="40"/>
      <c r="R35" s="8">
        <f t="shared" si="7"/>
        <v>0</v>
      </c>
      <c r="S35" s="709">
        <f t="shared" si="3"/>
        <v>405000</v>
      </c>
    </row>
    <row r="36" spans="1:19" ht="16.5" customHeight="1">
      <c r="A36" s="713">
        <f t="shared" si="4"/>
        <v>30</v>
      </c>
      <c r="B36" s="296" t="s">
        <v>660</v>
      </c>
      <c r="C36" s="729">
        <v>41935</v>
      </c>
      <c r="D36" s="729" t="s">
        <v>758</v>
      </c>
      <c r="E36" s="25"/>
      <c r="F36" s="714"/>
      <c r="G36" s="714"/>
      <c r="H36" s="838">
        <f t="shared" si="0"/>
        <v>0.36</v>
      </c>
      <c r="I36" s="714">
        <v>4080</v>
      </c>
      <c r="J36" s="714">
        <f t="shared" si="5"/>
        <v>1468.8</v>
      </c>
      <c r="K36" s="714">
        <f t="shared" si="6"/>
        <v>0</v>
      </c>
      <c r="L36" s="629">
        <v>7400</v>
      </c>
      <c r="M36" s="629"/>
      <c r="N36" s="189"/>
      <c r="O36" s="189"/>
      <c r="P36" s="189"/>
      <c r="Q36" s="189"/>
      <c r="R36" s="8">
        <f t="shared" si="7"/>
        <v>0</v>
      </c>
      <c r="S36" s="709">
        <f t="shared" si="3"/>
        <v>30192000</v>
      </c>
    </row>
    <row r="37" spans="1:19" ht="16.5" customHeight="1">
      <c r="A37" s="713">
        <f t="shared" si="4"/>
        <v>31</v>
      </c>
      <c r="B37" s="296" t="s">
        <v>442</v>
      </c>
      <c r="C37" s="729">
        <v>41937</v>
      </c>
      <c r="D37" s="729" t="s">
        <v>759</v>
      </c>
      <c r="E37" s="25"/>
      <c r="F37" s="714"/>
      <c r="G37" s="714"/>
      <c r="H37" s="838">
        <f t="shared" si="0"/>
        <v>0.36</v>
      </c>
      <c r="I37" s="714">
        <v>388</v>
      </c>
      <c r="J37" s="714">
        <f t="shared" si="5"/>
        <v>139.68</v>
      </c>
      <c r="K37" s="714">
        <f t="shared" si="6"/>
        <v>0</v>
      </c>
      <c r="L37" s="629">
        <v>10500</v>
      </c>
      <c r="M37" s="629"/>
      <c r="N37" s="443"/>
      <c r="O37" s="729"/>
      <c r="P37" s="770"/>
      <c r="Q37" s="756"/>
      <c r="R37" s="8"/>
      <c r="S37" s="709">
        <f t="shared" si="3"/>
        <v>4074000</v>
      </c>
    </row>
    <row r="38" spans="1:19" ht="16.5" customHeight="1">
      <c r="A38" s="713">
        <f t="shared" si="4"/>
        <v>32</v>
      </c>
      <c r="B38" s="296" t="s">
        <v>572</v>
      </c>
      <c r="C38" s="729">
        <v>41937</v>
      </c>
      <c r="D38" s="729" t="s">
        <v>759</v>
      </c>
      <c r="E38" s="25"/>
      <c r="F38" s="714"/>
      <c r="G38" s="714"/>
      <c r="H38" s="838">
        <f t="shared" si="0"/>
        <v>0.36</v>
      </c>
      <c r="I38" s="714">
        <v>405</v>
      </c>
      <c r="J38" s="714">
        <f t="shared" si="5"/>
        <v>145.79999999999998</v>
      </c>
      <c r="K38" s="714">
        <f t="shared" si="6"/>
        <v>0</v>
      </c>
      <c r="L38" s="629">
        <v>10500</v>
      </c>
      <c r="M38" s="629"/>
      <c r="N38" s="839" t="s">
        <v>1267</v>
      </c>
      <c r="O38" s="840"/>
      <c r="P38" s="841"/>
      <c r="Q38" s="516"/>
      <c r="R38" s="516">
        <f>SUM(R28:R37)</f>
        <v>0</v>
      </c>
      <c r="S38" s="709">
        <f t="shared" si="3"/>
        <v>4252500</v>
      </c>
    </row>
    <row r="39" spans="1:19" ht="16.5" customHeight="1">
      <c r="A39" s="713">
        <f t="shared" si="4"/>
        <v>33</v>
      </c>
      <c r="B39" s="296" t="s">
        <v>760</v>
      </c>
      <c r="C39" s="729">
        <v>41940</v>
      </c>
      <c r="D39" s="729" t="s">
        <v>761</v>
      </c>
      <c r="E39" s="25"/>
      <c r="F39" s="714"/>
      <c r="G39" s="714"/>
      <c r="H39" s="838">
        <f t="shared" si="0"/>
        <v>0.36</v>
      </c>
      <c r="I39" s="714">
        <v>57</v>
      </c>
      <c r="J39" s="714">
        <f t="shared" si="5"/>
        <v>20.52</v>
      </c>
      <c r="K39" s="714">
        <f t="shared" si="6"/>
        <v>0</v>
      </c>
      <c r="L39" s="629">
        <v>34000</v>
      </c>
      <c r="M39" s="629"/>
      <c r="N39" s="443" t="s">
        <v>1268</v>
      </c>
      <c r="O39" s="729"/>
      <c r="P39" s="770"/>
      <c r="Q39" s="756"/>
      <c r="R39" s="8">
        <f>R27</f>
        <v>0</v>
      </c>
      <c r="S39" s="709">
        <f t="shared" si="3"/>
        <v>1938000</v>
      </c>
    </row>
    <row r="40" spans="1:19" ht="16.5" customHeight="1">
      <c r="A40" s="713">
        <f t="shared" si="4"/>
        <v>34</v>
      </c>
      <c r="B40" s="296" t="s">
        <v>762</v>
      </c>
      <c r="C40" s="729">
        <v>41940</v>
      </c>
      <c r="D40" s="729" t="s">
        <v>761</v>
      </c>
      <c r="E40" s="25"/>
      <c r="F40" s="714"/>
      <c r="G40" s="714"/>
      <c r="H40" s="838">
        <f t="shared" si="0"/>
        <v>0.36</v>
      </c>
      <c r="I40" s="714">
        <v>236</v>
      </c>
      <c r="J40" s="714">
        <f t="shared" si="5"/>
        <v>84.96</v>
      </c>
      <c r="K40" s="714">
        <f t="shared" si="6"/>
        <v>0</v>
      </c>
      <c r="L40" s="629">
        <v>32000</v>
      </c>
      <c r="M40" s="629"/>
      <c r="N40" s="443" t="s">
        <v>1269</v>
      </c>
      <c r="O40" s="729"/>
      <c r="P40" s="770"/>
      <c r="Q40" s="756"/>
      <c r="R40" s="8">
        <f>R38</f>
        <v>0</v>
      </c>
      <c r="S40" s="709">
        <f t="shared" si="3"/>
        <v>7552000</v>
      </c>
    </row>
    <row r="41" spans="1:19" ht="16.5" customHeight="1">
      <c r="A41" s="713">
        <f t="shared" si="4"/>
        <v>35</v>
      </c>
      <c r="B41" s="296" t="s">
        <v>755</v>
      </c>
      <c r="C41" s="729">
        <v>41940</v>
      </c>
      <c r="D41" s="729" t="s">
        <v>761</v>
      </c>
      <c r="E41" s="25"/>
      <c r="F41" s="714"/>
      <c r="G41" s="714"/>
      <c r="H41" s="838">
        <f t="shared" si="0"/>
        <v>0.36</v>
      </c>
      <c r="I41" s="714">
        <v>586</v>
      </c>
      <c r="J41" s="714">
        <f t="shared" si="5"/>
        <v>210.95999999999998</v>
      </c>
      <c r="K41" s="714">
        <f t="shared" si="6"/>
        <v>0</v>
      </c>
      <c r="L41" s="629">
        <v>1440</v>
      </c>
      <c r="M41" s="629"/>
      <c r="N41" s="443" t="s">
        <v>1270</v>
      </c>
      <c r="O41" s="729"/>
      <c r="P41" s="770"/>
      <c r="Q41" s="756"/>
      <c r="R41" s="8"/>
      <c r="S41" s="709">
        <f t="shared" si="3"/>
        <v>843840</v>
      </c>
    </row>
    <row r="42" spans="1:19" ht="16.5" customHeight="1">
      <c r="A42" s="713">
        <f t="shared" si="4"/>
        <v>36</v>
      </c>
      <c r="B42" s="296" t="s">
        <v>763</v>
      </c>
      <c r="C42" s="729">
        <v>41940</v>
      </c>
      <c r="D42" s="729" t="s">
        <v>764</v>
      </c>
      <c r="E42" s="25"/>
      <c r="F42" s="714"/>
      <c r="G42" s="714"/>
      <c r="H42" s="838">
        <f t="shared" si="0"/>
        <v>0.36</v>
      </c>
      <c r="I42" s="714">
        <v>1028</v>
      </c>
      <c r="J42" s="714">
        <f t="shared" si="5"/>
        <v>370.08</v>
      </c>
      <c r="K42" s="714">
        <f t="shared" si="6"/>
        <v>0</v>
      </c>
      <c r="L42" s="629">
        <v>5400</v>
      </c>
      <c r="M42" s="629"/>
      <c r="N42" s="443" t="s">
        <v>1271</v>
      </c>
      <c r="O42" s="729"/>
      <c r="P42" s="770"/>
      <c r="Q42" s="756"/>
      <c r="R42" s="8"/>
      <c r="S42" s="709">
        <f t="shared" si="3"/>
        <v>5551200</v>
      </c>
    </row>
    <row r="43" spans="1:19" ht="16.5" customHeight="1">
      <c r="A43" s="713">
        <f t="shared" si="4"/>
        <v>37</v>
      </c>
      <c r="B43" s="296" t="s">
        <v>1217</v>
      </c>
      <c r="C43" s="729">
        <v>41941</v>
      </c>
      <c r="D43" s="729" t="s">
        <v>765</v>
      </c>
      <c r="E43" s="25"/>
      <c r="F43" s="714"/>
      <c r="G43" s="714"/>
      <c r="H43" s="838">
        <f t="shared" si="0"/>
        <v>0.36</v>
      </c>
      <c r="I43" s="714">
        <v>500</v>
      </c>
      <c r="J43" s="714">
        <f t="shared" si="5"/>
        <v>180</v>
      </c>
      <c r="K43" s="714">
        <f t="shared" si="6"/>
        <v>0</v>
      </c>
      <c r="L43" s="629">
        <v>1000</v>
      </c>
      <c r="M43" s="629"/>
      <c r="N43" s="443" t="s">
        <v>1272</v>
      </c>
      <c r="O43" s="729"/>
      <c r="P43" s="770"/>
      <c r="Q43" s="756"/>
      <c r="R43" s="8"/>
      <c r="S43" s="709">
        <f t="shared" si="3"/>
        <v>500000</v>
      </c>
    </row>
    <row r="44" spans="1:19" ht="16.5" customHeight="1">
      <c r="A44" s="713">
        <f t="shared" si="4"/>
        <v>38</v>
      </c>
      <c r="B44" s="296" t="s">
        <v>1218</v>
      </c>
      <c r="C44" s="729">
        <v>41941</v>
      </c>
      <c r="D44" s="729" t="s">
        <v>765</v>
      </c>
      <c r="E44" s="25"/>
      <c r="F44" s="714"/>
      <c r="G44" s="714"/>
      <c r="H44" s="838">
        <f t="shared" si="0"/>
        <v>0.36</v>
      </c>
      <c r="I44" s="714">
        <v>500</v>
      </c>
      <c r="J44" s="714">
        <f t="shared" si="5"/>
        <v>180</v>
      </c>
      <c r="K44" s="714">
        <f t="shared" si="6"/>
        <v>0</v>
      </c>
      <c r="L44" s="629">
        <v>900</v>
      </c>
      <c r="M44" s="629"/>
      <c r="N44" s="40" t="s">
        <v>1141</v>
      </c>
      <c r="O44" s="729"/>
      <c r="P44" s="770"/>
      <c r="Q44" s="756"/>
      <c r="R44" s="8"/>
      <c r="S44" s="709">
        <f t="shared" si="3"/>
        <v>450000</v>
      </c>
    </row>
    <row r="45" spans="1:19" ht="16.5" customHeight="1">
      <c r="A45" s="713">
        <f t="shared" si="4"/>
        <v>39</v>
      </c>
      <c r="B45" s="296" t="s">
        <v>1219</v>
      </c>
      <c r="C45" s="729">
        <v>41941</v>
      </c>
      <c r="D45" s="729" t="s">
        <v>765</v>
      </c>
      <c r="E45" s="25"/>
      <c r="F45" s="714"/>
      <c r="G45" s="714"/>
      <c r="H45" s="838">
        <f t="shared" si="0"/>
        <v>0.36</v>
      </c>
      <c r="I45" s="714">
        <v>500</v>
      </c>
      <c r="J45" s="714">
        <f t="shared" si="5"/>
        <v>180</v>
      </c>
      <c r="K45" s="714">
        <f t="shared" si="6"/>
        <v>0</v>
      </c>
      <c r="L45" s="629">
        <v>1600</v>
      </c>
      <c r="M45" s="629"/>
      <c r="N45" s="443"/>
      <c r="O45" s="729"/>
      <c r="P45" s="770"/>
      <c r="Q45" s="756"/>
      <c r="R45" s="8"/>
      <c r="S45" s="709">
        <f t="shared" si="3"/>
        <v>800000</v>
      </c>
    </row>
    <row r="46" spans="1:19" ht="16.5" customHeight="1">
      <c r="A46" s="713">
        <f t="shared" si="4"/>
        <v>40</v>
      </c>
      <c r="B46" s="296" t="s">
        <v>1221</v>
      </c>
      <c r="C46" s="729">
        <v>41942</v>
      </c>
      <c r="D46" s="729" t="s">
        <v>766</v>
      </c>
      <c r="E46" s="25"/>
      <c r="F46" s="714"/>
      <c r="G46" s="714"/>
      <c r="H46" s="838">
        <f t="shared" si="0"/>
        <v>0.36</v>
      </c>
      <c r="I46" s="714">
        <v>595</v>
      </c>
      <c r="J46" s="714">
        <f t="shared" si="5"/>
        <v>214.2</v>
      </c>
      <c r="K46" s="714">
        <f t="shared" si="6"/>
        <v>0</v>
      </c>
      <c r="L46" s="629">
        <v>14300</v>
      </c>
      <c r="M46" s="629"/>
      <c r="N46" s="839" t="s">
        <v>1273</v>
      </c>
      <c r="O46" s="840"/>
      <c r="P46" s="841"/>
      <c r="Q46" s="516"/>
      <c r="R46" s="516">
        <f>SUM(R39:R45)</f>
        <v>0</v>
      </c>
      <c r="S46" s="709">
        <f t="shared" si="3"/>
        <v>8508500</v>
      </c>
    </row>
    <row r="47" spans="1:19" ht="16.5" customHeight="1">
      <c r="A47" s="713">
        <f t="shared" si="4"/>
        <v>41</v>
      </c>
      <c r="B47" s="296" t="s">
        <v>451</v>
      </c>
      <c r="C47" s="729">
        <v>41942</v>
      </c>
      <c r="D47" s="729" t="s">
        <v>766</v>
      </c>
      <c r="E47" s="25"/>
      <c r="F47" s="714"/>
      <c r="G47" s="714"/>
      <c r="H47" s="838">
        <f t="shared" si="0"/>
        <v>0.36</v>
      </c>
      <c r="I47" s="714">
        <v>1190</v>
      </c>
      <c r="J47" s="714">
        <f t="shared" si="5"/>
        <v>428.4</v>
      </c>
      <c r="K47" s="714">
        <f t="shared" si="6"/>
        <v>0</v>
      </c>
      <c r="L47" s="629">
        <v>1500</v>
      </c>
      <c r="M47" s="629"/>
      <c r="N47" s="444"/>
      <c r="O47" s="739"/>
      <c r="P47" s="773"/>
      <c r="Q47" s="727"/>
      <c r="R47" s="741"/>
      <c r="S47" s="709">
        <f t="shared" si="3"/>
        <v>1785000</v>
      </c>
    </row>
    <row r="48" spans="1:19" ht="16.5" customHeight="1">
      <c r="A48" s="713">
        <f t="shared" si="4"/>
        <v>42</v>
      </c>
      <c r="B48" s="296" t="s">
        <v>465</v>
      </c>
      <c r="C48" s="729">
        <v>41942</v>
      </c>
      <c r="D48" s="729" t="s">
        <v>767</v>
      </c>
      <c r="E48" s="25"/>
      <c r="F48" s="714"/>
      <c r="G48" s="714"/>
      <c r="H48" s="838">
        <f t="shared" si="0"/>
        <v>0.36</v>
      </c>
      <c r="I48" s="714">
        <v>1005</v>
      </c>
      <c r="J48" s="714">
        <f t="shared" si="5"/>
        <v>361.8</v>
      </c>
      <c r="K48" s="714">
        <f t="shared" si="6"/>
        <v>0</v>
      </c>
      <c r="L48" s="629">
        <v>8740</v>
      </c>
      <c r="M48" s="629"/>
      <c r="N48" s="444"/>
      <c r="O48" s="739"/>
      <c r="P48" s="773"/>
      <c r="Q48" s="727"/>
      <c r="R48" s="741"/>
      <c r="S48" s="709">
        <f t="shared" si="3"/>
        <v>8783700</v>
      </c>
    </row>
    <row r="49" spans="1:19" ht="16.5" customHeight="1">
      <c r="A49" s="713">
        <f t="shared" si="4"/>
        <v>43</v>
      </c>
      <c r="B49" s="296" t="s">
        <v>518</v>
      </c>
      <c r="C49" s="729">
        <v>41947</v>
      </c>
      <c r="D49" s="729" t="s">
        <v>768</v>
      </c>
      <c r="E49" s="25"/>
      <c r="F49" s="714"/>
      <c r="G49" s="714"/>
      <c r="H49" s="838">
        <f t="shared" si="0"/>
        <v>0.36</v>
      </c>
      <c r="I49" s="714">
        <v>300</v>
      </c>
      <c r="J49" s="714">
        <f t="shared" si="5"/>
        <v>108</v>
      </c>
      <c r="K49" s="714">
        <f t="shared" si="6"/>
        <v>0</v>
      </c>
      <c r="L49" s="629">
        <v>7000</v>
      </c>
      <c r="M49" s="629"/>
      <c r="N49" s="1080" t="s">
        <v>1274</v>
      </c>
      <c r="O49" s="1081"/>
      <c r="P49" s="1081"/>
      <c r="Q49" s="1082"/>
      <c r="R49" s="842">
        <f>R46/J183</f>
        <v>0</v>
      </c>
      <c r="S49" s="709">
        <f t="shared" si="3"/>
        <v>2100000</v>
      </c>
    </row>
    <row r="50" spans="1:19" ht="16.5" customHeight="1">
      <c r="A50" s="713">
        <f t="shared" si="4"/>
        <v>44</v>
      </c>
      <c r="B50" s="296" t="s">
        <v>492</v>
      </c>
      <c r="C50" s="729">
        <v>41947</v>
      </c>
      <c r="D50" s="729" t="s">
        <v>768</v>
      </c>
      <c r="E50" s="25"/>
      <c r="F50" s="714"/>
      <c r="G50" s="714"/>
      <c r="H50" s="838">
        <f t="shared" si="0"/>
        <v>0.36</v>
      </c>
      <c r="I50" s="714">
        <v>300</v>
      </c>
      <c r="J50" s="714">
        <f t="shared" si="5"/>
        <v>108</v>
      </c>
      <c r="K50" s="714">
        <f t="shared" si="6"/>
        <v>0</v>
      </c>
      <c r="L50" s="629">
        <v>9300</v>
      </c>
      <c r="M50" s="629"/>
      <c r="N50" s="444"/>
      <c r="O50" s="739"/>
      <c r="P50" s="773"/>
      <c r="Q50" s="727"/>
      <c r="R50" s="741"/>
      <c r="S50" s="709">
        <f t="shared" si="3"/>
        <v>2790000</v>
      </c>
    </row>
    <row r="51" spans="1:19" ht="16.5" customHeight="1">
      <c r="A51" s="713">
        <f t="shared" si="4"/>
        <v>45</v>
      </c>
      <c r="B51" s="296" t="s">
        <v>769</v>
      </c>
      <c r="C51" s="729">
        <v>41947</v>
      </c>
      <c r="D51" s="729" t="s">
        <v>770</v>
      </c>
      <c r="E51" s="25"/>
      <c r="F51" s="714"/>
      <c r="G51" s="714"/>
      <c r="H51" s="838">
        <f t="shared" si="0"/>
        <v>0.36</v>
      </c>
      <c r="I51" s="714">
        <v>224</v>
      </c>
      <c r="J51" s="714">
        <f t="shared" si="5"/>
        <v>80.64</v>
      </c>
      <c r="K51" s="714">
        <f t="shared" si="6"/>
        <v>0</v>
      </c>
      <c r="L51" s="629">
        <v>32500</v>
      </c>
      <c r="M51" s="629"/>
      <c r="N51" s="444"/>
      <c r="O51" s="739"/>
      <c r="P51" s="773"/>
      <c r="Q51" s="727"/>
      <c r="R51" s="741"/>
      <c r="S51" s="709">
        <f t="shared" si="3"/>
        <v>7280000</v>
      </c>
    </row>
    <row r="52" spans="1:19" ht="16.5" customHeight="1">
      <c r="A52" s="713">
        <f t="shared" si="4"/>
        <v>46</v>
      </c>
      <c r="B52" s="296" t="s">
        <v>755</v>
      </c>
      <c r="C52" s="729">
        <v>41947</v>
      </c>
      <c r="D52" s="729" t="s">
        <v>770</v>
      </c>
      <c r="E52" s="25"/>
      <c r="F52" s="714"/>
      <c r="G52" s="714"/>
      <c r="H52" s="838">
        <f t="shared" si="0"/>
        <v>0.36</v>
      </c>
      <c r="I52" s="714">
        <v>448</v>
      </c>
      <c r="J52" s="714">
        <f t="shared" si="5"/>
        <v>161.28</v>
      </c>
      <c r="K52" s="714">
        <f t="shared" si="6"/>
        <v>0</v>
      </c>
      <c r="L52" s="629">
        <v>1440</v>
      </c>
      <c r="M52" s="629"/>
      <c r="N52" s="444"/>
      <c r="O52" s="739"/>
      <c r="P52" s="773"/>
      <c r="Q52" s="727"/>
      <c r="R52" s="741"/>
      <c r="S52" s="709">
        <f t="shared" si="3"/>
        <v>645120</v>
      </c>
    </row>
    <row r="53" spans="1:19" ht="16.5" customHeight="1">
      <c r="A53" s="713">
        <f t="shared" si="4"/>
        <v>47</v>
      </c>
      <c r="B53" s="296" t="s">
        <v>472</v>
      </c>
      <c r="C53" s="729">
        <v>41947</v>
      </c>
      <c r="D53" s="729" t="s">
        <v>771</v>
      </c>
      <c r="E53" s="25"/>
      <c r="F53" s="714"/>
      <c r="G53" s="714"/>
      <c r="H53" s="838">
        <f t="shared" si="0"/>
        <v>0.36</v>
      </c>
      <c r="I53" s="714">
        <v>1529</v>
      </c>
      <c r="J53" s="714">
        <f t="shared" si="5"/>
        <v>550.43999999999994</v>
      </c>
      <c r="K53" s="714">
        <f t="shared" si="6"/>
        <v>0</v>
      </c>
      <c r="L53" s="629">
        <v>4650</v>
      </c>
      <c r="M53" s="629"/>
      <c r="N53" s="444"/>
      <c r="O53" s="739"/>
      <c r="P53" s="773"/>
      <c r="Q53" s="727"/>
      <c r="R53" s="741"/>
      <c r="S53" s="709">
        <f t="shared" si="3"/>
        <v>7109850</v>
      </c>
    </row>
    <row r="54" spans="1:19" ht="16.5" customHeight="1">
      <c r="A54" s="713">
        <f t="shared" si="4"/>
        <v>48</v>
      </c>
      <c r="B54" s="296" t="s">
        <v>590</v>
      </c>
      <c r="C54" s="729">
        <v>41948</v>
      </c>
      <c r="D54" s="729" t="s">
        <v>772</v>
      </c>
      <c r="E54" s="25"/>
      <c r="F54" s="714"/>
      <c r="G54" s="714"/>
      <c r="H54" s="838">
        <f t="shared" si="0"/>
        <v>0.36</v>
      </c>
      <c r="I54" s="714">
        <v>11</v>
      </c>
      <c r="J54" s="714">
        <f t="shared" si="5"/>
        <v>3.96</v>
      </c>
      <c r="K54" s="714">
        <f t="shared" si="6"/>
        <v>0</v>
      </c>
      <c r="L54" s="629">
        <v>15000</v>
      </c>
      <c r="M54" s="629"/>
      <c r="N54" s="444"/>
      <c r="O54" s="739"/>
      <c r="P54" s="773"/>
      <c r="Q54" s="727"/>
      <c r="R54" s="741"/>
      <c r="S54" s="709">
        <f t="shared" si="3"/>
        <v>165000</v>
      </c>
    </row>
    <row r="55" spans="1:19" ht="16.5" customHeight="1">
      <c r="A55" s="713">
        <f t="shared" si="4"/>
        <v>49</v>
      </c>
      <c r="B55" s="296" t="s">
        <v>715</v>
      </c>
      <c r="C55" s="729">
        <v>41948</v>
      </c>
      <c r="D55" s="729" t="s">
        <v>772</v>
      </c>
      <c r="E55" s="25"/>
      <c r="F55" s="714"/>
      <c r="G55" s="714"/>
      <c r="H55" s="838">
        <f t="shared" si="0"/>
        <v>0.36</v>
      </c>
      <c r="I55" s="714">
        <v>126</v>
      </c>
      <c r="J55" s="714">
        <f t="shared" si="5"/>
        <v>45.36</v>
      </c>
      <c r="K55" s="714">
        <f t="shared" si="6"/>
        <v>0</v>
      </c>
      <c r="L55" s="629">
        <v>9550</v>
      </c>
      <c r="M55" s="629"/>
      <c r="N55" s="444"/>
      <c r="O55" s="739"/>
      <c r="P55" s="773"/>
      <c r="Q55" s="727"/>
      <c r="R55" s="741"/>
      <c r="S55" s="709">
        <f t="shared" si="3"/>
        <v>1203300</v>
      </c>
    </row>
    <row r="56" spans="1:19" ht="16.5" customHeight="1">
      <c r="A56" s="713">
        <f t="shared" si="4"/>
        <v>50</v>
      </c>
      <c r="B56" s="296" t="s">
        <v>613</v>
      </c>
      <c r="C56" s="729">
        <v>41948</v>
      </c>
      <c r="D56" s="729" t="s">
        <v>772</v>
      </c>
      <c r="E56" s="25"/>
      <c r="F56" s="714"/>
      <c r="G56" s="714"/>
      <c r="H56" s="838">
        <f t="shared" si="0"/>
        <v>0.36</v>
      </c>
      <c r="I56" s="714">
        <v>150</v>
      </c>
      <c r="J56" s="714">
        <f t="shared" si="5"/>
        <v>54</v>
      </c>
      <c r="K56" s="714">
        <f t="shared" si="6"/>
        <v>0</v>
      </c>
      <c r="L56" s="629">
        <v>9050</v>
      </c>
      <c r="M56" s="629"/>
      <c r="N56" s="444"/>
      <c r="O56" s="739"/>
      <c r="P56" s="773"/>
      <c r="Q56" s="727"/>
      <c r="R56" s="741"/>
      <c r="S56" s="709">
        <f t="shared" si="3"/>
        <v>1357500</v>
      </c>
    </row>
    <row r="57" spans="1:19" ht="16.5" customHeight="1">
      <c r="A57" s="713">
        <f t="shared" si="4"/>
        <v>51</v>
      </c>
      <c r="B57" s="296" t="s">
        <v>715</v>
      </c>
      <c r="C57" s="729">
        <v>41948</v>
      </c>
      <c r="D57" s="729" t="s">
        <v>772</v>
      </c>
      <c r="E57" s="25"/>
      <c r="F57" s="714"/>
      <c r="G57" s="714"/>
      <c r="H57" s="838">
        <f t="shared" si="0"/>
        <v>0.36</v>
      </c>
      <c r="I57" s="714">
        <v>221</v>
      </c>
      <c r="J57" s="714">
        <f t="shared" si="5"/>
        <v>79.56</v>
      </c>
      <c r="K57" s="714">
        <f t="shared" si="6"/>
        <v>0</v>
      </c>
      <c r="L57" s="629">
        <v>9550</v>
      </c>
      <c r="M57" s="629"/>
      <c r="N57" s="444"/>
      <c r="O57" s="739"/>
      <c r="P57" s="773"/>
      <c r="Q57" s="727"/>
      <c r="R57" s="741"/>
      <c r="S57" s="709">
        <f t="shared" si="3"/>
        <v>2110550</v>
      </c>
    </row>
    <row r="58" spans="1:19" ht="16.5" customHeight="1">
      <c r="A58" s="713">
        <f t="shared" si="4"/>
        <v>52</v>
      </c>
      <c r="B58" s="296" t="s">
        <v>590</v>
      </c>
      <c r="C58" s="729">
        <v>41948</v>
      </c>
      <c r="D58" s="729" t="s">
        <v>772</v>
      </c>
      <c r="E58" s="25"/>
      <c r="F58" s="714"/>
      <c r="G58" s="714"/>
      <c r="H58" s="838">
        <f t="shared" si="0"/>
        <v>0.36</v>
      </c>
      <c r="I58" s="714">
        <v>25</v>
      </c>
      <c r="J58" s="714">
        <f t="shared" si="5"/>
        <v>9</v>
      </c>
      <c r="K58" s="714">
        <f t="shared" si="6"/>
        <v>0</v>
      </c>
      <c r="L58" s="629">
        <v>13920</v>
      </c>
      <c r="M58" s="629"/>
      <c r="N58" s="444"/>
      <c r="O58" s="739"/>
      <c r="P58" s="773"/>
      <c r="Q58" s="727"/>
      <c r="R58" s="741"/>
      <c r="S58" s="709">
        <f t="shared" si="3"/>
        <v>348000</v>
      </c>
    </row>
    <row r="59" spans="1:19" ht="16.5" customHeight="1">
      <c r="A59" s="713">
        <f t="shared" si="4"/>
        <v>53</v>
      </c>
      <c r="B59" s="296" t="s">
        <v>615</v>
      </c>
      <c r="C59" s="729">
        <v>41948</v>
      </c>
      <c r="D59" s="729" t="s">
        <v>772</v>
      </c>
      <c r="E59" s="25"/>
      <c r="F59" s="714"/>
      <c r="G59" s="714"/>
      <c r="H59" s="838">
        <f t="shared" si="0"/>
        <v>0.36</v>
      </c>
      <c r="I59" s="714">
        <v>55</v>
      </c>
      <c r="J59" s="714">
        <f t="shared" si="5"/>
        <v>19.8</v>
      </c>
      <c r="K59" s="714">
        <f t="shared" si="6"/>
        <v>0</v>
      </c>
      <c r="L59" s="629">
        <v>12320</v>
      </c>
      <c r="M59" s="629"/>
      <c r="N59" s="444"/>
      <c r="O59" s="739"/>
      <c r="P59" s="773"/>
      <c r="Q59" s="727"/>
      <c r="R59" s="741"/>
      <c r="S59" s="709">
        <f t="shared" si="3"/>
        <v>677600</v>
      </c>
    </row>
    <row r="60" spans="1:19" ht="16.5" customHeight="1">
      <c r="A60" s="713">
        <f t="shared" si="4"/>
        <v>54</v>
      </c>
      <c r="B60" s="296" t="s">
        <v>715</v>
      </c>
      <c r="C60" s="729">
        <v>41948</v>
      </c>
      <c r="D60" s="729" t="s">
        <v>772</v>
      </c>
      <c r="E60" s="25"/>
      <c r="F60" s="714"/>
      <c r="G60" s="714"/>
      <c r="H60" s="838">
        <f t="shared" si="0"/>
        <v>0.36</v>
      </c>
      <c r="I60" s="714">
        <v>70</v>
      </c>
      <c r="J60" s="714">
        <f t="shared" si="5"/>
        <v>25.2</v>
      </c>
      <c r="K60" s="714">
        <f t="shared" si="6"/>
        <v>0</v>
      </c>
      <c r="L60" s="629">
        <v>9500</v>
      </c>
      <c r="M60" s="629"/>
      <c r="N60" s="444"/>
      <c r="O60" s="739"/>
      <c r="P60" s="773"/>
      <c r="Q60" s="727"/>
      <c r="R60" s="741"/>
      <c r="S60" s="709">
        <f t="shared" si="3"/>
        <v>665000</v>
      </c>
    </row>
    <row r="61" spans="1:19" ht="16.5" customHeight="1">
      <c r="A61" s="713">
        <f t="shared" si="4"/>
        <v>55</v>
      </c>
      <c r="B61" s="296" t="s">
        <v>716</v>
      </c>
      <c r="C61" s="729">
        <v>41948</v>
      </c>
      <c r="D61" s="729" t="s">
        <v>772</v>
      </c>
      <c r="E61" s="25"/>
      <c r="F61" s="714"/>
      <c r="G61" s="714"/>
      <c r="H61" s="838">
        <f t="shared" si="0"/>
        <v>0.36</v>
      </c>
      <c r="I61" s="714">
        <v>101</v>
      </c>
      <c r="J61" s="714">
        <f t="shared" si="5"/>
        <v>36.36</v>
      </c>
      <c r="K61" s="714">
        <f t="shared" si="6"/>
        <v>0</v>
      </c>
      <c r="L61" s="629">
        <v>8760</v>
      </c>
      <c r="M61" s="629"/>
      <c r="N61" s="444"/>
      <c r="O61" s="739"/>
      <c r="P61" s="773"/>
      <c r="Q61" s="727"/>
      <c r="R61" s="741"/>
      <c r="S61" s="709">
        <f t="shared" si="3"/>
        <v>884760</v>
      </c>
    </row>
    <row r="62" spans="1:19" ht="16.5" customHeight="1">
      <c r="A62" s="713">
        <f t="shared" si="4"/>
        <v>56</v>
      </c>
      <c r="B62" s="296" t="s">
        <v>798</v>
      </c>
      <c r="C62" s="729">
        <v>41948</v>
      </c>
      <c r="D62" s="729" t="s">
        <v>772</v>
      </c>
      <c r="E62" s="25"/>
      <c r="F62" s="714"/>
      <c r="G62" s="714"/>
      <c r="H62" s="838">
        <f t="shared" si="0"/>
        <v>0.36</v>
      </c>
      <c r="I62" s="714">
        <v>3030</v>
      </c>
      <c r="J62" s="714">
        <f t="shared" si="5"/>
        <v>1090.8</v>
      </c>
      <c r="K62" s="714">
        <f t="shared" si="6"/>
        <v>0</v>
      </c>
      <c r="L62" s="629">
        <v>7450</v>
      </c>
      <c r="M62" s="629"/>
      <c r="N62" s="444"/>
      <c r="O62" s="739"/>
      <c r="P62" s="773"/>
      <c r="Q62" s="727"/>
      <c r="R62" s="741"/>
      <c r="S62" s="709">
        <f t="shared" si="3"/>
        <v>22573500</v>
      </c>
    </row>
    <row r="63" spans="1:19" ht="16.5" customHeight="1">
      <c r="A63" s="713">
        <f t="shared" si="4"/>
        <v>57</v>
      </c>
      <c r="B63" s="296" t="s">
        <v>773</v>
      </c>
      <c r="C63" s="729">
        <v>41950</v>
      </c>
      <c r="D63" s="729" t="s">
        <v>774</v>
      </c>
      <c r="E63" s="25"/>
      <c r="F63" s="714"/>
      <c r="G63" s="714"/>
      <c r="H63" s="838">
        <f t="shared" si="0"/>
        <v>0.36</v>
      </c>
      <c r="I63" s="714">
        <v>100</v>
      </c>
      <c r="J63" s="714">
        <f t="shared" si="5"/>
        <v>36</v>
      </c>
      <c r="K63" s="714">
        <f t="shared" si="6"/>
        <v>0</v>
      </c>
      <c r="L63" s="629">
        <v>2000</v>
      </c>
      <c r="M63" s="629"/>
      <c r="N63" s="444"/>
      <c r="O63" s="739"/>
      <c r="P63" s="773"/>
      <c r="Q63" s="727"/>
      <c r="R63" s="741"/>
      <c r="S63" s="709">
        <f t="shared" si="3"/>
        <v>200000</v>
      </c>
    </row>
    <row r="64" spans="1:19" ht="16.5" customHeight="1">
      <c r="A64" s="713">
        <f t="shared" si="4"/>
        <v>58</v>
      </c>
      <c r="B64" s="296" t="s">
        <v>775</v>
      </c>
      <c r="C64" s="729">
        <v>41950</v>
      </c>
      <c r="D64" s="729" t="s">
        <v>774</v>
      </c>
      <c r="E64" s="25"/>
      <c r="F64" s="714"/>
      <c r="G64" s="714"/>
      <c r="H64" s="838">
        <f t="shared" si="0"/>
        <v>0.36</v>
      </c>
      <c r="I64" s="714">
        <v>100</v>
      </c>
      <c r="J64" s="714">
        <f t="shared" si="5"/>
        <v>36</v>
      </c>
      <c r="K64" s="714">
        <f t="shared" si="6"/>
        <v>0</v>
      </c>
      <c r="L64" s="629">
        <v>20000</v>
      </c>
      <c r="M64" s="629"/>
      <c r="N64" s="444"/>
      <c r="O64" s="739"/>
      <c r="P64" s="773"/>
      <c r="Q64" s="727"/>
      <c r="R64" s="741"/>
      <c r="S64" s="709">
        <f t="shared" si="3"/>
        <v>2000000</v>
      </c>
    </row>
    <row r="65" spans="1:19" ht="16.5" customHeight="1">
      <c r="A65" s="713">
        <f t="shared" si="4"/>
        <v>59</v>
      </c>
      <c r="B65" s="296" t="s">
        <v>776</v>
      </c>
      <c r="C65" s="729">
        <v>41950</v>
      </c>
      <c r="D65" s="729" t="s">
        <v>774</v>
      </c>
      <c r="E65" s="25"/>
      <c r="F65" s="714"/>
      <c r="G65" s="714"/>
      <c r="H65" s="838">
        <f t="shared" si="0"/>
        <v>0.36</v>
      </c>
      <c r="I65" s="714">
        <v>209</v>
      </c>
      <c r="J65" s="714">
        <f t="shared" si="5"/>
        <v>75.239999999999995</v>
      </c>
      <c r="K65" s="714">
        <f t="shared" si="6"/>
        <v>0</v>
      </c>
      <c r="L65" s="629">
        <v>11000</v>
      </c>
      <c r="M65" s="629"/>
      <c r="N65" s="444"/>
      <c r="O65" s="739"/>
      <c r="P65" s="773"/>
      <c r="Q65" s="727"/>
      <c r="R65" s="741"/>
      <c r="S65" s="709">
        <f t="shared" si="3"/>
        <v>2299000</v>
      </c>
    </row>
    <row r="66" spans="1:19" ht="16.5" customHeight="1">
      <c r="A66" s="713">
        <f t="shared" si="4"/>
        <v>60</v>
      </c>
      <c r="B66" s="296" t="s">
        <v>600</v>
      </c>
      <c r="C66" s="729">
        <v>41950</v>
      </c>
      <c r="D66" s="729" t="s">
        <v>777</v>
      </c>
      <c r="E66" s="25"/>
      <c r="F66" s="714"/>
      <c r="G66" s="714"/>
      <c r="H66" s="838">
        <f t="shared" si="0"/>
        <v>0.36</v>
      </c>
      <c r="I66" s="714">
        <v>206</v>
      </c>
      <c r="J66" s="714">
        <f t="shared" si="5"/>
        <v>74.16</v>
      </c>
      <c r="K66" s="714">
        <f t="shared" si="6"/>
        <v>0</v>
      </c>
      <c r="L66" s="629">
        <v>19000</v>
      </c>
      <c r="M66" s="629"/>
      <c r="N66" s="444"/>
      <c r="O66" s="739"/>
      <c r="P66" s="773"/>
      <c r="Q66" s="727"/>
      <c r="R66" s="741"/>
      <c r="S66" s="709">
        <f t="shared" si="3"/>
        <v>3914000</v>
      </c>
    </row>
    <row r="67" spans="1:19" ht="16.5" customHeight="1">
      <c r="A67" s="713">
        <f t="shared" si="4"/>
        <v>61</v>
      </c>
      <c r="B67" s="296" t="s">
        <v>442</v>
      </c>
      <c r="C67" s="729">
        <v>41955</v>
      </c>
      <c r="D67" s="729" t="s">
        <v>778</v>
      </c>
      <c r="E67" s="25"/>
      <c r="F67" s="714"/>
      <c r="G67" s="714"/>
      <c r="H67" s="838">
        <f t="shared" si="0"/>
        <v>0.36</v>
      </c>
      <c r="I67" s="714">
        <v>504</v>
      </c>
      <c r="J67" s="714">
        <f t="shared" si="5"/>
        <v>181.44</v>
      </c>
      <c r="K67" s="714">
        <f t="shared" si="6"/>
        <v>0</v>
      </c>
      <c r="L67" s="629">
        <v>10500</v>
      </c>
      <c r="M67" s="629"/>
      <c r="N67" s="444"/>
      <c r="O67" s="739"/>
      <c r="P67" s="773"/>
      <c r="Q67" s="727"/>
      <c r="R67" s="741"/>
      <c r="S67" s="709">
        <f t="shared" si="3"/>
        <v>5292000</v>
      </c>
    </row>
    <row r="68" spans="1:19" ht="16.5" customHeight="1">
      <c r="A68" s="713">
        <f t="shared" si="4"/>
        <v>62</v>
      </c>
      <c r="B68" s="296" t="s">
        <v>442</v>
      </c>
      <c r="C68" s="729">
        <v>41955</v>
      </c>
      <c r="D68" s="729" t="s">
        <v>778</v>
      </c>
      <c r="E68" s="25"/>
      <c r="F68" s="714"/>
      <c r="G68" s="714"/>
      <c r="H68" s="838">
        <f t="shared" si="0"/>
        <v>0.36</v>
      </c>
      <c r="I68" s="714">
        <v>318</v>
      </c>
      <c r="J68" s="714">
        <f t="shared" si="5"/>
        <v>114.47999999999999</v>
      </c>
      <c r="K68" s="714">
        <f t="shared" si="6"/>
        <v>0</v>
      </c>
      <c r="L68" s="629">
        <v>10500</v>
      </c>
      <c r="M68" s="629"/>
      <c r="N68" s="444"/>
      <c r="O68" s="739"/>
      <c r="P68" s="773"/>
      <c r="Q68" s="727"/>
      <c r="R68" s="741"/>
      <c r="S68" s="709">
        <f t="shared" si="3"/>
        <v>3339000</v>
      </c>
    </row>
    <row r="69" spans="1:19" ht="16.5" customHeight="1">
      <c r="A69" s="713">
        <f t="shared" si="4"/>
        <v>63</v>
      </c>
      <c r="B69" s="296" t="s">
        <v>780</v>
      </c>
      <c r="C69" s="729">
        <v>41955</v>
      </c>
      <c r="D69" s="729" t="s">
        <v>779</v>
      </c>
      <c r="E69" s="25"/>
      <c r="F69" s="714"/>
      <c r="G69" s="714"/>
      <c r="H69" s="838">
        <f t="shared" si="0"/>
        <v>0.36</v>
      </c>
      <c r="I69" s="714">
        <v>347</v>
      </c>
      <c r="J69" s="714">
        <f t="shared" si="5"/>
        <v>124.92</v>
      </c>
      <c r="K69" s="714">
        <f t="shared" si="6"/>
        <v>0</v>
      </c>
      <c r="L69" s="629">
        <v>31500</v>
      </c>
      <c r="M69" s="629"/>
      <c r="N69" s="444"/>
      <c r="O69" s="739"/>
      <c r="P69" s="773"/>
      <c r="Q69" s="727"/>
      <c r="R69" s="741"/>
      <c r="S69" s="709">
        <f t="shared" si="3"/>
        <v>10930500</v>
      </c>
    </row>
    <row r="70" spans="1:19" ht="16.5" customHeight="1">
      <c r="A70" s="713">
        <f t="shared" si="4"/>
        <v>64</v>
      </c>
      <c r="B70" s="296" t="s">
        <v>781</v>
      </c>
      <c r="C70" s="729">
        <v>41955</v>
      </c>
      <c r="D70" s="729" t="s">
        <v>779</v>
      </c>
      <c r="E70" s="25"/>
      <c r="F70" s="714"/>
      <c r="G70" s="714"/>
      <c r="H70" s="838">
        <f t="shared" si="0"/>
        <v>0.36</v>
      </c>
      <c r="I70" s="714">
        <v>593</v>
      </c>
      <c r="J70" s="714">
        <f t="shared" si="5"/>
        <v>213.48</v>
      </c>
      <c r="K70" s="714">
        <f t="shared" si="6"/>
        <v>0</v>
      </c>
      <c r="L70" s="629">
        <v>39900</v>
      </c>
      <c r="M70" s="629"/>
      <c r="N70" s="444"/>
      <c r="O70" s="739"/>
      <c r="P70" s="773"/>
      <c r="Q70" s="727"/>
      <c r="R70" s="741"/>
      <c r="S70" s="709">
        <f t="shared" si="3"/>
        <v>23660700</v>
      </c>
    </row>
    <row r="71" spans="1:19" ht="16.5" customHeight="1">
      <c r="A71" s="713">
        <f t="shared" ref="A71:A134" si="8">IF(B71&lt;&gt;"",A70+1,"")</f>
        <v>65</v>
      </c>
      <c r="B71" s="296" t="s">
        <v>755</v>
      </c>
      <c r="C71" s="729">
        <v>41955</v>
      </c>
      <c r="D71" s="729" t="s">
        <v>779</v>
      </c>
      <c r="E71" s="25"/>
      <c r="F71" s="714"/>
      <c r="G71" s="714"/>
      <c r="H71" s="838">
        <f t="shared" ref="H71:H134" si="9">ROUND(((E71+F71)*2*0.01+1.2)*((F71+G71)*0.01+0.3),2)</f>
        <v>0.36</v>
      </c>
      <c r="I71" s="714">
        <v>1880</v>
      </c>
      <c r="J71" s="714">
        <f t="shared" si="5"/>
        <v>676.8</v>
      </c>
      <c r="K71" s="714">
        <f t="shared" si="6"/>
        <v>0</v>
      </c>
      <c r="L71" s="629">
        <v>1440</v>
      </c>
      <c r="M71" s="629"/>
      <c r="N71" s="444"/>
      <c r="O71" s="739"/>
      <c r="P71" s="773"/>
      <c r="Q71" s="727"/>
      <c r="R71" s="741"/>
      <c r="S71" s="709">
        <f t="shared" ref="S71:S134" si="10">I71*L71</f>
        <v>2707200</v>
      </c>
    </row>
    <row r="72" spans="1:19" ht="16.5" customHeight="1">
      <c r="A72" s="713">
        <f t="shared" si="8"/>
        <v>66</v>
      </c>
      <c r="B72" s="296" t="s">
        <v>678</v>
      </c>
      <c r="C72" s="729">
        <v>41956</v>
      </c>
      <c r="D72" s="729" t="s">
        <v>782</v>
      </c>
      <c r="E72" s="25"/>
      <c r="F72" s="714"/>
      <c r="G72" s="714"/>
      <c r="H72" s="838">
        <f t="shared" si="9"/>
        <v>0.36</v>
      </c>
      <c r="I72" s="714">
        <v>1010</v>
      </c>
      <c r="J72" s="714">
        <f t="shared" ref="J72:J135" si="11">H72*I72</f>
        <v>363.59999999999997</v>
      </c>
      <c r="K72" s="714">
        <f t="shared" ref="K72:K135" si="12">I72*$R$49</f>
        <v>0</v>
      </c>
      <c r="L72" s="629">
        <v>9500</v>
      </c>
      <c r="M72" s="629"/>
      <c r="N72" s="444"/>
      <c r="O72" s="739"/>
      <c r="P72" s="773"/>
      <c r="Q72" s="727"/>
      <c r="R72" s="741"/>
      <c r="S72" s="709">
        <f t="shared" si="10"/>
        <v>9595000</v>
      </c>
    </row>
    <row r="73" spans="1:19" ht="16.5" customHeight="1">
      <c r="A73" s="713">
        <f t="shared" si="8"/>
        <v>67</v>
      </c>
      <c r="B73" s="296" t="s">
        <v>521</v>
      </c>
      <c r="C73" s="729">
        <v>41958</v>
      </c>
      <c r="D73" s="729" t="s">
        <v>783</v>
      </c>
      <c r="E73" s="25"/>
      <c r="F73" s="714"/>
      <c r="G73" s="714"/>
      <c r="H73" s="838">
        <f t="shared" si="9"/>
        <v>0.36</v>
      </c>
      <c r="I73" s="714">
        <v>1012</v>
      </c>
      <c r="J73" s="714">
        <f t="shared" si="11"/>
        <v>364.32</v>
      </c>
      <c r="K73" s="714">
        <f t="shared" si="12"/>
        <v>0</v>
      </c>
      <c r="L73" s="629">
        <v>12000</v>
      </c>
      <c r="M73" s="629"/>
      <c r="N73" s="444"/>
      <c r="O73" s="739"/>
      <c r="P73" s="773"/>
      <c r="Q73" s="727"/>
      <c r="R73" s="741"/>
      <c r="S73" s="709">
        <f t="shared" si="10"/>
        <v>12144000</v>
      </c>
    </row>
    <row r="74" spans="1:19" ht="16.5" customHeight="1">
      <c r="A74" s="713">
        <f t="shared" si="8"/>
        <v>68</v>
      </c>
      <c r="B74" s="296" t="s">
        <v>784</v>
      </c>
      <c r="C74" s="729">
        <v>41960</v>
      </c>
      <c r="D74" s="729" t="s">
        <v>785</v>
      </c>
      <c r="E74" s="25"/>
      <c r="F74" s="714"/>
      <c r="G74" s="714"/>
      <c r="H74" s="838">
        <f t="shared" si="9"/>
        <v>0.36</v>
      </c>
      <c r="I74" s="714">
        <v>1990</v>
      </c>
      <c r="J74" s="714">
        <f t="shared" si="11"/>
        <v>716.4</v>
      </c>
      <c r="K74" s="714">
        <f t="shared" si="12"/>
        <v>0</v>
      </c>
      <c r="L74" s="629">
        <v>6100</v>
      </c>
      <c r="M74" s="629"/>
      <c r="N74" s="444"/>
      <c r="O74" s="739"/>
      <c r="P74" s="773"/>
      <c r="Q74" s="727"/>
      <c r="R74" s="741"/>
      <c r="S74" s="709">
        <f t="shared" si="10"/>
        <v>12139000</v>
      </c>
    </row>
    <row r="75" spans="1:19" ht="16.5" customHeight="1">
      <c r="A75" s="713">
        <f t="shared" si="8"/>
        <v>69</v>
      </c>
      <c r="B75" s="296" t="s">
        <v>509</v>
      </c>
      <c r="C75" s="729">
        <v>41962</v>
      </c>
      <c r="D75" s="729" t="s">
        <v>787</v>
      </c>
      <c r="E75" s="25"/>
      <c r="F75" s="714"/>
      <c r="G75" s="714"/>
      <c r="H75" s="838">
        <f t="shared" si="9"/>
        <v>0.36</v>
      </c>
      <c r="I75" s="714">
        <v>609</v>
      </c>
      <c r="J75" s="714">
        <f t="shared" si="11"/>
        <v>219.23999999999998</v>
      </c>
      <c r="K75" s="714">
        <f t="shared" si="12"/>
        <v>0</v>
      </c>
      <c r="L75" s="629">
        <v>6250</v>
      </c>
      <c r="M75" s="629"/>
      <c r="N75" s="444"/>
      <c r="O75" s="739"/>
      <c r="P75" s="773"/>
      <c r="Q75" s="727"/>
      <c r="R75" s="741"/>
      <c r="S75" s="709">
        <f t="shared" si="10"/>
        <v>3806250</v>
      </c>
    </row>
    <row r="76" spans="1:19" ht="16.5" customHeight="1">
      <c r="A76" s="713">
        <f t="shared" si="8"/>
        <v>70</v>
      </c>
      <c r="B76" s="296" t="s">
        <v>510</v>
      </c>
      <c r="C76" s="729">
        <v>41962</v>
      </c>
      <c r="D76" s="729" t="s">
        <v>787</v>
      </c>
      <c r="E76" s="25"/>
      <c r="F76" s="714"/>
      <c r="G76" s="714"/>
      <c r="H76" s="838">
        <f t="shared" si="9"/>
        <v>0.36</v>
      </c>
      <c r="I76" s="714">
        <v>213</v>
      </c>
      <c r="J76" s="714">
        <f t="shared" si="11"/>
        <v>76.679999999999993</v>
      </c>
      <c r="K76" s="714">
        <f t="shared" si="12"/>
        <v>0</v>
      </c>
      <c r="L76" s="629">
        <v>6550</v>
      </c>
      <c r="M76" s="629"/>
      <c r="N76" s="444"/>
      <c r="O76" s="739"/>
      <c r="P76" s="773"/>
      <c r="Q76" s="727"/>
      <c r="R76" s="741"/>
      <c r="S76" s="709">
        <f t="shared" si="10"/>
        <v>1395150</v>
      </c>
    </row>
    <row r="77" spans="1:19" ht="16.5" customHeight="1">
      <c r="A77" s="713">
        <f t="shared" si="8"/>
        <v>71</v>
      </c>
      <c r="B77" s="296" t="s">
        <v>788</v>
      </c>
      <c r="C77" s="729">
        <v>41962</v>
      </c>
      <c r="D77" s="729" t="s">
        <v>787</v>
      </c>
      <c r="E77" s="25"/>
      <c r="F77" s="714"/>
      <c r="G77" s="714"/>
      <c r="H77" s="838">
        <f t="shared" si="9"/>
        <v>0.36</v>
      </c>
      <c r="I77" s="714">
        <v>796</v>
      </c>
      <c r="J77" s="714">
        <f t="shared" si="11"/>
        <v>286.56</v>
      </c>
      <c r="K77" s="714">
        <f t="shared" si="12"/>
        <v>0</v>
      </c>
      <c r="L77" s="629">
        <v>5900</v>
      </c>
      <c r="M77" s="629"/>
      <c r="N77" s="444"/>
      <c r="O77" s="739"/>
      <c r="P77" s="773"/>
      <c r="Q77" s="727"/>
      <c r="R77" s="741"/>
      <c r="S77" s="709">
        <f t="shared" si="10"/>
        <v>4696400</v>
      </c>
    </row>
    <row r="78" spans="1:19" ht="16.5" customHeight="1">
      <c r="A78" s="713">
        <f t="shared" si="8"/>
        <v>72</v>
      </c>
      <c r="B78" s="296" t="s">
        <v>411</v>
      </c>
      <c r="C78" s="729">
        <v>41962</v>
      </c>
      <c r="D78" s="729" t="s">
        <v>787</v>
      </c>
      <c r="E78" s="25"/>
      <c r="F78" s="714"/>
      <c r="G78" s="714"/>
      <c r="H78" s="838">
        <f t="shared" si="9"/>
        <v>0.36</v>
      </c>
      <c r="I78" s="714">
        <v>402</v>
      </c>
      <c r="J78" s="714">
        <f t="shared" si="11"/>
        <v>144.72</v>
      </c>
      <c r="K78" s="714">
        <f t="shared" si="12"/>
        <v>0</v>
      </c>
      <c r="L78" s="629">
        <v>6800</v>
      </c>
      <c r="M78" s="629"/>
      <c r="N78" s="444"/>
      <c r="O78" s="739"/>
      <c r="P78" s="773"/>
      <c r="Q78" s="727"/>
      <c r="R78" s="741"/>
      <c r="S78" s="709">
        <f t="shared" si="10"/>
        <v>2733600</v>
      </c>
    </row>
    <row r="79" spans="1:19" ht="16.5" customHeight="1">
      <c r="A79" s="713">
        <f t="shared" si="8"/>
        <v>73</v>
      </c>
      <c r="B79" s="296" t="s">
        <v>789</v>
      </c>
      <c r="C79" s="729">
        <v>41962</v>
      </c>
      <c r="D79" s="729" t="s">
        <v>790</v>
      </c>
      <c r="E79" s="25"/>
      <c r="F79" s="714"/>
      <c r="G79" s="714"/>
      <c r="H79" s="838">
        <f t="shared" si="9"/>
        <v>0.36</v>
      </c>
      <c r="I79" s="714">
        <v>975</v>
      </c>
      <c r="J79" s="714">
        <f t="shared" si="11"/>
        <v>351</v>
      </c>
      <c r="K79" s="714">
        <f t="shared" si="12"/>
        <v>0</v>
      </c>
      <c r="L79" s="629">
        <v>5130</v>
      </c>
      <c r="M79" s="629"/>
      <c r="N79" s="444"/>
      <c r="O79" s="739"/>
      <c r="P79" s="773"/>
      <c r="Q79" s="727"/>
      <c r="R79" s="741"/>
      <c r="S79" s="709">
        <f t="shared" si="10"/>
        <v>5001750</v>
      </c>
    </row>
    <row r="80" spans="1:19" ht="16.5" customHeight="1">
      <c r="A80" s="713">
        <f t="shared" si="8"/>
        <v>74</v>
      </c>
      <c r="B80" s="296" t="s">
        <v>792</v>
      </c>
      <c r="C80" s="729">
        <v>41962</v>
      </c>
      <c r="D80" s="729" t="s">
        <v>790</v>
      </c>
      <c r="E80" s="25"/>
      <c r="F80" s="714"/>
      <c r="G80" s="714"/>
      <c r="H80" s="838">
        <f t="shared" si="9"/>
        <v>0.36</v>
      </c>
      <c r="I80" s="714">
        <v>1000</v>
      </c>
      <c r="J80" s="714">
        <f t="shared" si="11"/>
        <v>360</v>
      </c>
      <c r="K80" s="714">
        <f t="shared" si="12"/>
        <v>0</v>
      </c>
      <c r="L80" s="629">
        <v>2798</v>
      </c>
      <c r="M80" s="629"/>
      <c r="N80" s="444"/>
      <c r="O80" s="739"/>
      <c r="P80" s="773"/>
      <c r="Q80" s="727"/>
      <c r="R80" s="741"/>
      <c r="S80" s="709">
        <f t="shared" si="10"/>
        <v>2798000</v>
      </c>
    </row>
    <row r="81" spans="1:19" ht="16.5" customHeight="1">
      <c r="A81" s="713">
        <f t="shared" si="8"/>
        <v>75</v>
      </c>
      <c r="B81" s="296" t="s">
        <v>793</v>
      </c>
      <c r="C81" s="729">
        <v>41962</v>
      </c>
      <c r="D81" s="729" t="s">
        <v>790</v>
      </c>
      <c r="E81" s="25"/>
      <c r="F81" s="714"/>
      <c r="G81" s="714"/>
      <c r="H81" s="838">
        <f t="shared" si="9"/>
        <v>0.36</v>
      </c>
      <c r="I81" s="714">
        <v>1000</v>
      </c>
      <c r="J81" s="714">
        <f t="shared" si="11"/>
        <v>360</v>
      </c>
      <c r="K81" s="714">
        <f t="shared" si="12"/>
        <v>0</v>
      </c>
      <c r="L81" s="629">
        <v>2798</v>
      </c>
      <c r="M81" s="629"/>
      <c r="N81" s="444"/>
      <c r="O81" s="739"/>
      <c r="P81" s="773"/>
      <c r="Q81" s="727"/>
      <c r="R81" s="741"/>
      <c r="S81" s="709">
        <f t="shared" si="10"/>
        <v>2798000</v>
      </c>
    </row>
    <row r="82" spans="1:19" ht="16.5" customHeight="1">
      <c r="A82" s="713">
        <f t="shared" si="8"/>
        <v>76</v>
      </c>
      <c r="B82" s="296" t="s">
        <v>794</v>
      </c>
      <c r="C82" s="729">
        <v>41962</v>
      </c>
      <c r="D82" s="729" t="s">
        <v>790</v>
      </c>
      <c r="E82" s="25"/>
      <c r="F82" s="714"/>
      <c r="G82" s="714"/>
      <c r="H82" s="838">
        <f t="shared" si="9"/>
        <v>0.36</v>
      </c>
      <c r="I82" s="714">
        <v>978</v>
      </c>
      <c r="J82" s="714">
        <f t="shared" si="11"/>
        <v>352.08</v>
      </c>
      <c r="K82" s="714">
        <f t="shared" si="12"/>
        <v>0</v>
      </c>
      <c r="L82" s="629">
        <v>4230</v>
      </c>
      <c r="M82" s="629"/>
      <c r="N82" s="444"/>
      <c r="O82" s="739"/>
      <c r="P82" s="773"/>
      <c r="Q82" s="727"/>
      <c r="R82" s="741"/>
      <c r="S82" s="709">
        <f t="shared" si="10"/>
        <v>4136940</v>
      </c>
    </row>
    <row r="83" spans="1:19" ht="16.5" customHeight="1">
      <c r="A83" s="713">
        <f t="shared" si="8"/>
        <v>77</v>
      </c>
      <c r="B83" s="296" t="s">
        <v>795</v>
      </c>
      <c r="C83" s="729">
        <v>41962</v>
      </c>
      <c r="D83" s="729" t="s">
        <v>790</v>
      </c>
      <c r="E83" s="25"/>
      <c r="F83" s="714"/>
      <c r="G83" s="714"/>
      <c r="H83" s="838">
        <f t="shared" si="9"/>
        <v>0.36</v>
      </c>
      <c r="I83" s="714">
        <v>1000</v>
      </c>
      <c r="J83" s="714">
        <f t="shared" si="11"/>
        <v>360</v>
      </c>
      <c r="K83" s="714">
        <f t="shared" si="12"/>
        <v>0</v>
      </c>
      <c r="L83" s="629">
        <v>1568</v>
      </c>
      <c r="M83" s="629"/>
      <c r="N83" s="444"/>
      <c r="O83" s="739"/>
      <c r="P83" s="773"/>
      <c r="Q83" s="727"/>
      <c r="R83" s="741"/>
      <c r="S83" s="709">
        <f t="shared" si="10"/>
        <v>1568000</v>
      </c>
    </row>
    <row r="84" spans="1:19" ht="16.5" customHeight="1">
      <c r="A84" s="713">
        <f t="shared" si="8"/>
        <v>78</v>
      </c>
      <c r="B84" s="296" t="s">
        <v>796</v>
      </c>
      <c r="C84" s="729">
        <v>41962</v>
      </c>
      <c r="D84" s="729" t="s">
        <v>790</v>
      </c>
      <c r="E84" s="25"/>
      <c r="F84" s="714"/>
      <c r="G84" s="714"/>
      <c r="H84" s="838">
        <f t="shared" si="9"/>
        <v>0.36</v>
      </c>
      <c r="I84" s="714">
        <v>1000</v>
      </c>
      <c r="J84" s="714">
        <f t="shared" si="11"/>
        <v>360</v>
      </c>
      <c r="K84" s="714">
        <f t="shared" si="12"/>
        <v>0</v>
      </c>
      <c r="L84" s="629">
        <v>1568</v>
      </c>
      <c r="M84" s="629"/>
      <c r="N84" s="444"/>
      <c r="O84" s="739"/>
      <c r="P84" s="773"/>
      <c r="Q84" s="727"/>
      <c r="R84" s="741"/>
      <c r="S84" s="709">
        <f t="shared" si="10"/>
        <v>1568000</v>
      </c>
    </row>
    <row r="85" spans="1:19" ht="16.5" customHeight="1">
      <c r="A85" s="713">
        <f t="shared" si="8"/>
        <v>79</v>
      </c>
      <c r="B85" s="296" t="s">
        <v>465</v>
      </c>
      <c r="C85" s="729">
        <v>41963</v>
      </c>
      <c r="D85" s="729" t="s">
        <v>797</v>
      </c>
      <c r="E85" s="25"/>
      <c r="F85" s="714"/>
      <c r="G85" s="714"/>
      <c r="H85" s="838">
        <f t="shared" si="9"/>
        <v>0.36</v>
      </c>
      <c r="I85" s="714">
        <v>993</v>
      </c>
      <c r="J85" s="714">
        <f t="shared" si="11"/>
        <v>357.47999999999996</v>
      </c>
      <c r="K85" s="714">
        <f t="shared" si="12"/>
        <v>0</v>
      </c>
      <c r="L85" s="629">
        <v>8740</v>
      </c>
      <c r="M85" s="629"/>
      <c r="N85" s="444"/>
      <c r="O85" s="739"/>
      <c r="P85" s="773"/>
      <c r="Q85" s="727"/>
      <c r="R85" s="741"/>
      <c r="S85" s="709">
        <f t="shared" si="10"/>
        <v>8678820</v>
      </c>
    </row>
    <row r="86" spans="1:19" ht="16.5" customHeight="1">
      <c r="A86" s="713">
        <f t="shared" si="8"/>
        <v>80</v>
      </c>
      <c r="B86" s="296" t="s">
        <v>798</v>
      </c>
      <c r="C86" s="729">
        <v>41963</v>
      </c>
      <c r="D86" s="729" t="s">
        <v>799</v>
      </c>
      <c r="E86" s="25"/>
      <c r="F86" s="714"/>
      <c r="G86" s="714"/>
      <c r="H86" s="838">
        <f t="shared" si="9"/>
        <v>0.36</v>
      </c>
      <c r="I86" s="714">
        <v>3030</v>
      </c>
      <c r="J86" s="714">
        <f t="shared" si="11"/>
        <v>1090.8</v>
      </c>
      <c r="K86" s="714">
        <f t="shared" si="12"/>
        <v>0</v>
      </c>
      <c r="L86" s="629">
        <v>7450</v>
      </c>
      <c r="M86" s="629"/>
      <c r="N86" s="444"/>
      <c r="O86" s="739"/>
      <c r="P86" s="773"/>
      <c r="Q86" s="727"/>
      <c r="R86" s="741"/>
      <c r="S86" s="709">
        <f t="shared" si="10"/>
        <v>22573500</v>
      </c>
    </row>
    <row r="87" spans="1:19" ht="16.5" customHeight="1">
      <c r="A87" s="713">
        <f t="shared" si="8"/>
        <v>81</v>
      </c>
      <c r="B87" s="296" t="s">
        <v>798</v>
      </c>
      <c r="C87" s="729">
        <v>41963</v>
      </c>
      <c r="D87" s="729" t="s">
        <v>799</v>
      </c>
      <c r="E87" s="25"/>
      <c r="F87" s="714"/>
      <c r="G87" s="714"/>
      <c r="H87" s="838">
        <f t="shared" si="9"/>
        <v>0.36</v>
      </c>
      <c r="I87" s="714">
        <v>219</v>
      </c>
      <c r="J87" s="714">
        <f t="shared" si="11"/>
        <v>78.84</v>
      </c>
      <c r="K87" s="714">
        <f t="shared" si="12"/>
        <v>0</v>
      </c>
      <c r="L87" s="629">
        <v>7450</v>
      </c>
      <c r="M87" s="629"/>
      <c r="N87" s="444"/>
      <c r="O87" s="739"/>
      <c r="P87" s="773"/>
      <c r="Q87" s="727"/>
      <c r="R87" s="741"/>
      <c r="S87" s="709">
        <f t="shared" si="10"/>
        <v>1631550</v>
      </c>
    </row>
    <row r="88" spans="1:19" ht="16.5" customHeight="1">
      <c r="A88" s="713">
        <f t="shared" si="8"/>
        <v>82</v>
      </c>
      <c r="B88" s="296" t="s">
        <v>798</v>
      </c>
      <c r="C88" s="729">
        <v>41963</v>
      </c>
      <c r="D88" s="729" t="s">
        <v>799</v>
      </c>
      <c r="E88" s="25"/>
      <c r="F88" s="714"/>
      <c r="G88" s="714"/>
      <c r="H88" s="838">
        <f t="shared" si="9"/>
        <v>0.36</v>
      </c>
      <c r="I88" s="714">
        <v>3167</v>
      </c>
      <c r="J88" s="714">
        <f t="shared" si="11"/>
        <v>1140.1199999999999</v>
      </c>
      <c r="K88" s="714">
        <f t="shared" si="12"/>
        <v>0</v>
      </c>
      <c r="L88" s="629">
        <v>7450</v>
      </c>
      <c r="M88" s="629"/>
      <c r="N88" s="444"/>
      <c r="O88" s="739"/>
      <c r="P88" s="773"/>
      <c r="Q88" s="727"/>
      <c r="R88" s="741"/>
      <c r="S88" s="709">
        <f t="shared" si="10"/>
        <v>23594150</v>
      </c>
    </row>
    <row r="89" spans="1:19" ht="16.5" customHeight="1">
      <c r="A89" s="713">
        <f t="shared" si="8"/>
        <v>83</v>
      </c>
      <c r="B89" s="296" t="s">
        <v>1221</v>
      </c>
      <c r="C89" s="729">
        <v>41964</v>
      </c>
      <c r="D89" s="729" t="s">
        <v>800</v>
      </c>
      <c r="E89" s="25"/>
      <c r="F89" s="714"/>
      <c r="G89" s="714"/>
      <c r="H89" s="838">
        <f t="shared" si="9"/>
        <v>0.36</v>
      </c>
      <c r="I89" s="714">
        <v>780</v>
      </c>
      <c r="J89" s="714">
        <f t="shared" si="11"/>
        <v>280.8</v>
      </c>
      <c r="K89" s="714">
        <f t="shared" si="12"/>
        <v>0</v>
      </c>
      <c r="L89" s="629">
        <v>14300</v>
      </c>
      <c r="M89" s="629"/>
      <c r="N89" s="444"/>
      <c r="O89" s="739"/>
      <c r="P89" s="773"/>
      <c r="Q89" s="727"/>
      <c r="R89" s="741"/>
      <c r="S89" s="709">
        <f t="shared" si="10"/>
        <v>11154000</v>
      </c>
    </row>
    <row r="90" spans="1:19" ht="16.5" customHeight="1">
      <c r="A90" s="713">
        <f t="shared" si="8"/>
        <v>84</v>
      </c>
      <c r="B90" s="296" t="s">
        <v>451</v>
      </c>
      <c r="C90" s="729">
        <v>41964</v>
      </c>
      <c r="D90" s="729" t="s">
        <v>800</v>
      </c>
      <c r="E90" s="25"/>
      <c r="F90" s="714"/>
      <c r="G90" s="714"/>
      <c r="H90" s="838">
        <f t="shared" si="9"/>
        <v>0.36</v>
      </c>
      <c r="I90" s="714">
        <v>1600</v>
      </c>
      <c r="J90" s="714">
        <f t="shared" si="11"/>
        <v>576</v>
      </c>
      <c r="K90" s="714">
        <f t="shared" si="12"/>
        <v>0</v>
      </c>
      <c r="L90" s="629">
        <v>1500</v>
      </c>
      <c r="M90" s="629"/>
      <c r="N90" s="444"/>
      <c r="O90" s="739"/>
      <c r="P90" s="773"/>
      <c r="Q90" s="727"/>
      <c r="R90" s="741"/>
      <c r="S90" s="709">
        <f t="shared" si="10"/>
        <v>2400000</v>
      </c>
    </row>
    <row r="91" spans="1:19" ht="16.5" customHeight="1">
      <c r="A91" s="713">
        <f t="shared" si="8"/>
        <v>85</v>
      </c>
      <c r="B91" s="296" t="s">
        <v>572</v>
      </c>
      <c r="C91" s="729">
        <v>41967</v>
      </c>
      <c r="D91" s="729" t="s">
        <v>801</v>
      </c>
      <c r="E91" s="25"/>
      <c r="F91" s="714"/>
      <c r="G91" s="714"/>
      <c r="H91" s="838">
        <f t="shared" si="9"/>
        <v>0.36</v>
      </c>
      <c r="I91" s="714">
        <v>511</v>
      </c>
      <c r="J91" s="714">
        <f t="shared" si="11"/>
        <v>183.95999999999998</v>
      </c>
      <c r="K91" s="714">
        <f t="shared" si="12"/>
        <v>0</v>
      </c>
      <c r="L91" s="629">
        <v>10500</v>
      </c>
      <c r="M91" s="629"/>
      <c r="N91" s="444"/>
      <c r="O91" s="739"/>
      <c r="P91" s="773"/>
      <c r="Q91" s="727"/>
      <c r="R91" s="741"/>
      <c r="S91" s="709">
        <f t="shared" si="10"/>
        <v>5365500</v>
      </c>
    </row>
    <row r="92" spans="1:19" ht="16.5" customHeight="1">
      <c r="A92" s="713">
        <f t="shared" si="8"/>
        <v>86</v>
      </c>
      <c r="B92" s="296" t="s">
        <v>802</v>
      </c>
      <c r="C92" s="729">
        <v>41968</v>
      </c>
      <c r="D92" s="729" t="s">
        <v>803</v>
      </c>
      <c r="E92" s="25"/>
      <c r="F92" s="714"/>
      <c r="G92" s="714"/>
      <c r="H92" s="838">
        <f t="shared" si="9"/>
        <v>0.36</v>
      </c>
      <c r="I92" s="714">
        <v>3160</v>
      </c>
      <c r="J92" s="714">
        <f t="shared" si="11"/>
        <v>1137.5999999999999</v>
      </c>
      <c r="K92" s="714">
        <f t="shared" si="12"/>
        <v>0</v>
      </c>
      <c r="L92" s="629">
        <v>7450</v>
      </c>
      <c r="M92" s="629"/>
      <c r="N92" s="444"/>
      <c r="O92" s="739"/>
      <c r="P92" s="773"/>
      <c r="Q92" s="727"/>
      <c r="R92" s="741"/>
      <c r="S92" s="709">
        <f t="shared" si="10"/>
        <v>23542000</v>
      </c>
    </row>
    <row r="93" spans="1:19" ht="16.5" customHeight="1">
      <c r="A93" s="713">
        <f t="shared" si="8"/>
        <v>87</v>
      </c>
      <c r="B93" s="296" t="s">
        <v>731</v>
      </c>
      <c r="C93" s="729">
        <v>41968</v>
      </c>
      <c r="D93" s="729" t="s">
        <v>804</v>
      </c>
      <c r="E93" s="25"/>
      <c r="F93" s="714"/>
      <c r="G93" s="714"/>
      <c r="H93" s="838">
        <f t="shared" si="9"/>
        <v>0.36</v>
      </c>
      <c r="I93" s="714">
        <v>33</v>
      </c>
      <c r="J93" s="714">
        <f t="shared" si="11"/>
        <v>11.879999999999999</v>
      </c>
      <c r="K93" s="714">
        <f t="shared" si="12"/>
        <v>0</v>
      </c>
      <c r="L93" s="629">
        <v>30000</v>
      </c>
      <c r="M93" s="629"/>
      <c r="N93" s="444"/>
      <c r="O93" s="739"/>
      <c r="P93" s="773"/>
      <c r="Q93" s="727"/>
      <c r="R93" s="741"/>
      <c r="S93" s="709">
        <f t="shared" si="10"/>
        <v>990000</v>
      </c>
    </row>
    <row r="94" spans="1:19" ht="16.5" customHeight="1">
      <c r="A94" s="713">
        <f t="shared" si="8"/>
        <v>88</v>
      </c>
      <c r="B94" s="296" t="s">
        <v>780</v>
      </c>
      <c r="C94" s="729">
        <v>41968</v>
      </c>
      <c r="D94" s="729" t="s">
        <v>804</v>
      </c>
      <c r="E94" s="25"/>
      <c r="F94" s="714"/>
      <c r="G94" s="714"/>
      <c r="H94" s="838">
        <f t="shared" si="9"/>
        <v>0.36</v>
      </c>
      <c r="I94" s="714">
        <v>56</v>
      </c>
      <c r="J94" s="714">
        <f t="shared" si="11"/>
        <v>20.16</v>
      </c>
      <c r="K94" s="714">
        <f t="shared" si="12"/>
        <v>0</v>
      </c>
      <c r="L94" s="629">
        <v>31500</v>
      </c>
      <c r="M94" s="629"/>
      <c r="N94" s="444"/>
      <c r="O94" s="739"/>
      <c r="P94" s="773"/>
      <c r="Q94" s="727"/>
      <c r="R94" s="741"/>
      <c r="S94" s="709">
        <f t="shared" si="10"/>
        <v>1764000</v>
      </c>
    </row>
    <row r="95" spans="1:19" ht="16.5" customHeight="1">
      <c r="A95" s="713">
        <f t="shared" si="8"/>
        <v>89</v>
      </c>
      <c r="B95" s="296" t="s">
        <v>755</v>
      </c>
      <c r="C95" s="729">
        <v>41968</v>
      </c>
      <c r="D95" s="729" t="s">
        <v>804</v>
      </c>
      <c r="E95" s="25"/>
      <c r="F95" s="714"/>
      <c r="G95" s="714"/>
      <c r="H95" s="838">
        <f t="shared" si="9"/>
        <v>0.36</v>
      </c>
      <c r="I95" s="714">
        <v>178</v>
      </c>
      <c r="J95" s="714">
        <f t="shared" si="11"/>
        <v>64.08</v>
      </c>
      <c r="K95" s="714">
        <f t="shared" si="12"/>
        <v>0</v>
      </c>
      <c r="L95" s="629">
        <v>1440</v>
      </c>
      <c r="M95" s="629"/>
      <c r="N95" s="444"/>
      <c r="O95" s="739"/>
      <c r="P95" s="773"/>
      <c r="Q95" s="727"/>
      <c r="R95" s="741"/>
      <c r="S95" s="709">
        <f t="shared" si="10"/>
        <v>256320</v>
      </c>
    </row>
    <row r="96" spans="1:19" ht="16.5" customHeight="1">
      <c r="A96" s="713">
        <f t="shared" si="8"/>
        <v>90</v>
      </c>
      <c r="B96" s="296" t="s">
        <v>805</v>
      </c>
      <c r="C96" s="729">
        <v>41970</v>
      </c>
      <c r="D96" s="729" t="s">
        <v>806</v>
      </c>
      <c r="E96" s="25"/>
      <c r="F96" s="714"/>
      <c r="G96" s="714"/>
      <c r="H96" s="838">
        <f t="shared" si="9"/>
        <v>0.36</v>
      </c>
      <c r="I96" s="714">
        <v>100</v>
      </c>
      <c r="J96" s="714">
        <f t="shared" si="11"/>
        <v>36</v>
      </c>
      <c r="K96" s="714">
        <f t="shared" si="12"/>
        <v>0</v>
      </c>
      <c r="L96" s="629">
        <v>9173</v>
      </c>
      <c r="M96" s="629"/>
      <c r="N96" s="444"/>
      <c r="O96" s="739"/>
      <c r="P96" s="773"/>
      <c r="Q96" s="727"/>
      <c r="R96" s="741"/>
      <c r="S96" s="709">
        <f t="shared" si="10"/>
        <v>917300</v>
      </c>
    </row>
    <row r="97" spans="1:19" ht="16.5" customHeight="1">
      <c r="A97" s="713">
        <f t="shared" si="8"/>
        <v>91</v>
      </c>
      <c r="B97" s="296" t="s">
        <v>514</v>
      </c>
      <c r="C97" s="729">
        <v>41970</v>
      </c>
      <c r="D97" s="729" t="s">
        <v>808</v>
      </c>
      <c r="E97" s="25"/>
      <c r="F97" s="714"/>
      <c r="G97" s="714"/>
      <c r="H97" s="838">
        <f t="shared" si="9"/>
        <v>0.36</v>
      </c>
      <c r="I97" s="714">
        <v>333</v>
      </c>
      <c r="J97" s="714">
        <f t="shared" si="11"/>
        <v>119.88</v>
      </c>
      <c r="K97" s="714">
        <f t="shared" si="12"/>
        <v>0</v>
      </c>
      <c r="L97" s="629">
        <v>9400</v>
      </c>
      <c r="M97" s="629"/>
      <c r="N97" s="444"/>
      <c r="O97" s="739"/>
      <c r="P97" s="773"/>
      <c r="Q97" s="727"/>
      <c r="R97" s="741"/>
      <c r="S97" s="709">
        <f t="shared" si="10"/>
        <v>3130200</v>
      </c>
    </row>
    <row r="98" spans="1:19" ht="16.5" customHeight="1">
      <c r="A98" s="713">
        <f t="shared" si="8"/>
        <v>92</v>
      </c>
      <c r="B98" s="296" t="s">
        <v>493</v>
      </c>
      <c r="C98" s="729">
        <v>41970</v>
      </c>
      <c r="D98" s="729" t="s">
        <v>808</v>
      </c>
      <c r="E98" s="25"/>
      <c r="F98" s="714"/>
      <c r="G98" s="714"/>
      <c r="H98" s="838">
        <f t="shared" si="9"/>
        <v>0.36</v>
      </c>
      <c r="I98" s="714">
        <v>219</v>
      </c>
      <c r="J98" s="714">
        <f t="shared" si="11"/>
        <v>78.84</v>
      </c>
      <c r="K98" s="714">
        <f t="shared" si="12"/>
        <v>0</v>
      </c>
      <c r="L98" s="629">
        <v>6400</v>
      </c>
      <c r="M98" s="629"/>
      <c r="N98" s="444"/>
      <c r="O98" s="739"/>
      <c r="P98" s="773"/>
      <c r="Q98" s="727"/>
      <c r="R98" s="741"/>
      <c r="S98" s="709">
        <f t="shared" si="10"/>
        <v>1401600</v>
      </c>
    </row>
    <row r="99" spans="1:19" ht="16.5" customHeight="1">
      <c r="A99" s="713">
        <f t="shared" si="8"/>
        <v>93</v>
      </c>
      <c r="B99" s="296" t="s">
        <v>492</v>
      </c>
      <c r="C99" s="729">
        <v>41970</v>
      </c>
      <c r="D99" s="729" t="s">
        <v>808</v>
      </c>
      <c r="E99" s="25"/>
      <c r="F99" s="714"/>
      <c r="G99" s="714"/>
      <c r="H99" s="838">
        <f t="shared" si="9"/>
        <v>0.36</v>
      </c>
      <c r="I99" s="714">
        <v>112</v>
      </c>
      <c r="J99" s="714">
        <f t="shared" si="11"/>
        <v>40.32</v>
      </c>
      <c r="K99" s="714">
        <f t="shared" si="12"/>
        <v>0</v>
      </c>
      <c r="L99" s="629">
        <v>9300</v>
      </c>
      <c r="M99" s="629"/>
      <c r="N99" s="444"/>
      <c r="O99" s="739"/>
      <c r="P99" s="773"/>
      <c r="Q99" s="727"/>
      <c r="R99" s="741"/>
      <c r="S99" s="709">
        <f t="shared" si="10"/>
        <v>1041600</v>
      </c>
    </row>
    <row r="100" spans="1:19" ht="16.5" customHeight="1">
      <c r="A100" s="713">
        <f t="shared" si="8"/>
        <v>94</v>
      </c>
      <c r="B100" s="296" t="s">
        <v>638</v>
      </c>
      <c r="C100" s="729">
        <v>41970</v>
      </c>
      <c r="D100" s="729" t="s">
        <v>809</v>
      </c>
      <c r="E100" s="25"/>
      <c r="F100" s="714"/>
      <c r="G100" s="714"/>
      <c r="H100" s="838">
        <f t="shared" si="9"/>
        <v>0.36</v>
      </c>
      <c r="I100" s="714">
        <v>110</v>
      </c>
      <c r="J100" s="714">
        <f t="shared" si="11"/>
        <v>39.6</v>
      </c>
      <c r="K100" s="714">
        <f t="shared" si="12"/>
        <v>0</v>
      </c>
      <c r="L100" s="629">
        <v>3600</v>
      </c>
      <c r="M100" s="629"/>
      <c r="N100" s="444"/>
      <c r="O100" s="739"/>
      <c r="P100" s="773"/>
      <c r="Q100" s="727"/>
      <c r="R100" s="741"/>
      <c r="S100" s="709">
        <f t="shared" si="10"/>
        <v>396000</v>
      </c>
    </row>
    <row r="101" spans="1:19" ht="16.5" customHeight="1">
      <c r="A101" s="713">
        <f t="shared" si="8"/>
        <v>95</v>
      </c>
      <c r="B101" s="296" t="s">
        <v>640</v>
      </c>
      <c r="C101" s="729">
        <v>41970</v>
      </c>
      <c r="D101" s="729" t="s">
        <v>809</v>
      </c>
      <c r="E101" s="25"/>
      <c r="F101" s="714"/>
      <c r="G101" s="714"/>
      <c r="H101" s="838">
        <f t="shared" si="9"/>
        <v>0.36</v>
      </c>
      <c r="I101" s="714">
        <v>260</v>
      </c>
      <c r="J101" s="714">
        <f t="shared" si="11"/>
        <v>93.6</v>
      </c>
      <c r="K101" s="714">
        <f t="shared" si="12"/>
        <v>0</v>
      </c>
      <c r="L101" s="629">
        <v>5650</v>
      </c>
      <c r="M101" s="629"/>
      <c r="N101" s="444"/>
      <c r="O101" s="739"/>
      <c r="P101" s="773"/>
      <c r="Q101" s="727"/>
      <c r="R101" s="741"/>
      <c r="S101" s="709">
        <f t="shared" si="10"/>
        <v>1469000</v>
      </c>
    </row>
    <row r="102" spans="1:19" ht="16.5" customHeight="1">
      <c r="A102" s="713">
        <f t="shared" si="8"/>
        <v>96</v>
      </c>
      <c r="B102" s="296" t="s">
        <v>639</v>
      </c>
      <c r="C102" s="729">
        <v>41970</v>
      </c>
      <c r="D102" s="729" t="s">
        <v>809</v>
      </c>
      <c r="E102" s="25"/>
      <c r="F102" s="714"/>
      <c r="G102" s="714"/>
      <c r="H102" s="838">
        <f t="shared" si="9"/>
        <v>0.36</v>
      </c>
      <c r="I102" s="714">
        <v>450</v>
      </c>
      <c r="J102" s="714">
        <f t="shared" si="11"/>
        <v>162</v>
      </c>
      <c r="K102" s="714">
        <f t="shared" si="12"/>
        <v>0</v>
      </c>
      <c r="L102" s="629">
        <v>3800</v>
      </c>
      <c r="M102" s="629"/>
      <c r="N102" s="444"/>
      <c r="O102" s="739"/>
      <c r="P102" s="773"/>
      <c r="Q102" s="727"/>
      <c r="R102" s="741"/>
      <c r="S102" s="709">
        <f t="shared" si="10"/>
        <v>1710000</v>
      </c>
    </row>
    <row r="103" spans="1:19" ht="16.5" customHeight="1">
      <c r="A103" s="713">
        <f t="shared" si="8"/>
        <v>97</v>
      </c>
      <c r="B103" s="296" t="s">
        <v>678</v>
      </c>
      <c r="C103" s="729">
        <v>41972</v>
      </c>
      <c r="D103" s="729" t="s">
        <v>810</v>
      </c>
      <c r="E103" s="25"/>
      <c r="F103" s="714"/>
      <c r="G103" s="714"/>
      <c r="H103" s="838">
        <f t="shared" si="9"/>
        <v>0.36</v>
      </c>
      <c r="I103" s="714">
        <v>1000</v>
      </c>
      <c r="J103" s="714">
        <f t="shared" si="11"/>
        <v>360</v>
      </c>
      <c r="K103" s="714">
        <f t="shared" si="12"/>
        <v>0</v>
      </c>
      <c r="L103" s="629">
        <v>9300</v>
      </c>
      <c r="M103" s="629"/>
      <c r="N103" s="444"/>
      <c r="O103" s="739"/>
      <c r="P103" s="773"/>
      <c r="Q103" s="727"/>
      <c r="R103" s="741"/>
      <c r="S103" s="709">
        <f t="shared" si="10"/>
        <v>9300000</v>
      </c>
    </row>
    <row r="104" spans="1:19" ht="16.5" customHeight="1">
      <c r="A104" s="713">
        <f t="shared" si="8"/>
        <v>98</v>
      </c>
      <c r="B104" s="296" t="s">
        <v>678</v>
      </c>
      <c r="C104" s="729">
        <v>41973</v>
      </c>
      <c r="D104" s="729" t="s">
        <v>811</v>
      </c>
      <c r="E104" s="25"/>
      <c r="F104" s="714"/>
      <c r="G104" s="714"/>
      <c r="H104" s="838">
        <f t="shared" si="9"/>
        <v>0.36</v>
      </c>
      <c r="I104" s="714">
        <v>987</v>
      </c>
      <c r="J104" s="714">
        <f t="shared" si="11"/>
        <v>355.32</v>
      </c>
      <c r="K104" s="714">
        <f t="shared" si="12"/>
        <v>0</v>
      </c>
      <c r="L104" s="629">
        <v>9300</v>
      </c>
      <c r="M104" s="629"/>
      <c r="N104" s="444"/>
      <c r="O104" s="739"/>
      <c r="P104" s="773"/>
      <c r="Q104" s="727"/>
      <c r="R104" s="741"/>
      <c r="S104" s="709">
        <f t="shared" si="10"/>
        <v>9179100</v>
      </c>
    </row>
    <row r="105" spans="1:19" ht="16.5" customHeight="1">
      <c r="A105" s="713">
        <f t="shared" si="8"/>
        <v>99</v>
      </c>
      <c r="B105" s="296" t="s">
        <v>678</v>
      </c>
      <c r="C105" s="729">
        <v>41973</v>
      </c>
      <c r="D105" s="729" t="s">
        <v>811</v>
      </c>
      <c r="E105" s="25"/>
      <c r="F105" s="714"/>
      <c r="G105" s="714"/>
      <c r="H105" s="838">
        <f t="shared" si="9"/>
        <v>0.36</v>
      </c>
      <c r="I105" s="714">
        <v>226</v>
      </c>
      <c r="J105" s="714">
        <f t="shared" si="11"/>
        <v>81.36</v>
      </c>
      <c r="K105" s="714">
        <f t="shared" si="12"/>
        <v>0</v>
      </c>
      <c r="L105" s="629">
        <v>7100</v>
      </c>
      <c r="M105" s="629"/>
      <c r="N105" s="444"/>
      <c r="O105" s="739"/>
      <c r="P105" s="773"/>
      <c r="Q105" s="727"/>
      <c r="R105" s="741"/>
      <c r="S105" s="709">
        <f t="shared" si="10"/>
        <v>1604600</v>
      </c>
    </row>
    <row r="106" spans="1:19" ht="16.5" customHeight="1">
      <c r="A106" s="713">
        <f t="shared" si="8"/>
        <v>100</v>
      </c>
      <c r="B106" s="296" t="s">
        <v>784</v>
      </c>
      <c r="C106" s="729">
        <v>41973</v>
      </c>
      <c r="D106" s="729" t="s">
        <v>812</v>
      </c>
      <c r="E106" s="25"/>
      <c r="F106" s="714"/>
      <c r="G106" s="714"/>
      <c r="H106" s="838">
        <f t="shared" si="9"/>
        <v>0.36</v>
      </c>
      <c r="I106" s="714">
        <v>1980</v>
      </c>
      <c r="J106" s="714">
        <f t="shared" si="11"/>
        <v>712.8</v>
      </c>
      <c r="K106" s="714">
        <f t="shared" si="12"/>
        <v>0</v>
      </c>
      <c r="L106" s="629">
        <v>6100</v>
      </c>
      <c r="M106" s="629"/>
      <c r="N106" s="444"/>
      <c r="O106" s="739"/>
      <c r="P106" s="773"/>
      <c r="Q106" s="727"/>
      <c r="R106" s="741"/>
      <c r="S106" s="709">
        <f t="shared" si="10"/>
        <v>12078000</v>
      </c>
    </row>
    <row r="107" spans="1:19" ht="16.5" customHeight="1">
      <c r="A107" s="713">
        <f t="shared" si="8"/>
        <v>101</v>
      </c>
      <c r="B107" s="296" t="s">
        <v>750</v>
      </c>
      <c r="C107" s="729">
        <v>41975</v>
      </c>
      <c r="D107" s="729" t="s">
        <v>813</v>
      </c>
      <c r="E107" s="25"/>
      <c r="F107" s="714"/>
      <c r="G107" s="714"/>
      <c r="H107" s="838">
        <f t="shared" si="9"/>
        <v>0.36</v>
      </c>
      <c r="I107" s="714">
        <v>1059</v>
      </c>
      <c r="J107" s="714">
        <f t="shared" si="11"/>
        <v>381.24</v>
      </c>
      <c r="K107" s="714">
        <f t="shared" si="12"/>
        <v>0</v>
      </c>
      <c r="L107" s="629">
        <v>5400</v>
      </c>
      <c r="M107" s="629"/>
      <c r="N107" s="444"/>
      <c r="O107" s="739"/>
      <c r="P107" s="773"/>
      <c r="Q107" s="727"/>
      <c r="R107" s="741"/>
      <c r="S107" s="709">
        <f t="shared" si="10"/>
        <v>5718600</v>
      </c>
    </row>
    <row r="108" spans="1:19" ht="16.5" customHeight="1">
      <c r="A108" s="713">
        <f t="shared" si="8"/>
        <v>102</v>
      </c>
      <c r="B108" s="296" t="s">
        <v>814</v>
      </c>
      <c r="C108" s="729">
        <v>41979</v>
      </c>
      <c r="D108" s="729" t="s">
        <v>815</v>
      </c>
      <c r="E108" s="25"/>
      <c r="F108" s="714"/>
      <c r="G108" s="714"/>
      <c r="H108" s="838">
        <f t="shared" si="9"/>
        <v>0.36</v>
      </c>
      <c r="I108" s="714">
        <v>106</v>
      </c>
      <c r="J108" s="714">
        <f t="shared" si="11"/>
        <v>38.159999999999997</v>
      </c>
      <c r="K108" s="714">
        <f t="shared" si="12"/>
        <v>0</v>
      </c>
      <c r="L108" s="629">
        <v>7200</v>
      </c>
      <c r="M108" s="629"/>
      <c r="N108" s="444"/>
      <c r="O108" s="739"/>
      <c r="P108" s="773"/>
      <c r="Q108" s="727"/>
      <c r="R108" s="741"/>
      <c r="S108" s="709">
        <f t="shared" si="10"/>
        <v>763200</v>
      </c>
    </row>
    <row r="109" spans="1:19" ht="16.5" customHeight="1">
      <c r="A109" s="713">
        <f t="shared" si="8"/>
        <v>103</v>
      </c>
      <c r="B109" s="296" t="s">
        <v>763</v>
      </c>
      <c r="C109" s="729">
        <v>41979</v>
      </c>
      <c r="D109" s="729" t="s">
        <v>815</v>
      </c>
      <c r="E109" s="25"/>
      <c r="F109" s="714"/>
      <c r="G109" s="714"/>
      <c r="H109" s="838">
        <f t="shared" si="9"/>
        <v>0.36</v>
      </c>
      <c r="I109" s="714">
        <v>493</v>
      </c>
      <c r="J109" s="714">
        <f t="shared" si="11"/>
        <v>177.48</v>
      </c>
      <c r="K109" s="714">
        <f t="shared" si="12"/>
        <v>0</v>
      </c>
      <c r="L109" s="629">
        <v>5300</v>
      </c>
      <c r="M109" s="629"/>
      <c r="N109" s="444"/>
      <c r="O109" s="739"/>
      <c r="P109" s="773"/>
      <c r="Q109" s="727"/>
      <c r="R109" s="741"/>
      <c r="S109" s="709">
        <f t="shared" si="10"/>
        <v>2612900</v>
      </c>
    </row>
    <row r="110" spans="1:19" ht="16.5" customHeight="1">
      <c r="A110" s="713">
        <f t="shared" si="8"/>
        <v>104</v>
      </c>
      <c r="B110" s="296" t="s">
        <v>816</v>
      </c>
      <c r="C110" s="729">
        <v>41979</v>
      </c>
      <c r="D110" s="729" t="s">
        <v>815</v>
      </c>
      <c r="E110" s="25"/>
      <c r="F110" s="714"/>
      <c r="G110" s="714"/>
      <c r="H110" s="838">
        <f t="shared" si="9"/>
        <v>0.36</v>
      </c>
      <c r="I110" s="714">
        <v>512</v>
      </c>
      <c r="J110" s="714">
        <f t="shared" si="11"/>
        <v>184.32</v>
      </c>
      <c r="K110" s="714">
        <f t="shared" si="12"/>
        <v>0</v>
      </c>
      <c r="L110" s="629">
        <v>3900</v>
      </c>
      <c r="M110" s="629"/>
      <c r="N110" s="444"/>
      <c r="O110" s="739"/>
      <c r="P110" s="773"/>
      <c r="Q110" s="727"/>
      <c r="R110" s="741"/>
      <c r="S110" s="709">
        <f t="shared" si="10"/>
        <v>1996800</v>
      </c>
    </row>
    <row r="111" spans="1:19" ht="16.5" customHeight="1">
      <c r="A111" s="713">
        <f t="shared" si="8"/>
        <v>105</v>
      </c>
      <c r="B111" s="296" t="s">
        <v>698</v>
      </c>
      <c r="C111" s="729">
        <v>41979</v>
      </c>
      <c r="D111" s="729" t="s">
        <v>815</v>
      </c>
      <c r="E111" s="25"/>
      <c r="F111" s="714"/>
      <c r="G111" s="714"/>
      <c r="H111" s="838">
        <f t="shared" si="9"/>
        <v>0.36</v>
      </c>
      <c r="I111" s="714">
        <v>208</v>
      </c>
      <c r="J111" s="714">
        <f t="shared" si="11"/>
        <v>74.88</v>
      </c>
      <c r="K111" s="714">
        <f t="shared" si="12"/>
        <v>0</v>
      </c>
      <c r="L111" s="629">
        <v>5900</v>
      </c>
      <c r="M111" s="629"/>
      <c r="N111" s="444"/>
      <c r="O111" s="739"/>
      <c r="P111" s="773"/>
      <c r="Q111" s="727"/>
      <c r="R111" s="741"/>
      <c r="S111" s="709">
        <f t="shared" si="10"/>
        <v>1227200</v>
      </c>
    </row>
    <row r="112" spans="1:19" ht="16.5" customHeight="1">
      <c r="A112" s="713">
        <f t="shared" si="8"/>
        <v>106</v>
      </c>
      <c r="B112" s="296" t="s">
        <v>647</v>
      </c>
      <c r="C112" s="729">
        <v>41979</v>
      </c>
      <c r="D112" s="729" t="s">
        <v>815</v>
      </c>
      <c r="E112" s="25"/>
      <c r="F112" s="714"/>
      <c r="G112" s="714"/>
      <c r="H112" s="838">
        <f t="shared" si="9"/>
        <v>0.36</v>
      </c>
      <c r="I112" s="714">
        <v>1016</v>
      </c>
      <c r="J112" s="714">
        <f t="shared" si="11"/>
        <v>365.76</v>
      </c>
      <c r="K112" s="714">
        <f t="shared" si="12"/>
        <v>0</v>
      </c>
      <c r="L112" s="629">
        <v>4400</v>
      </c>
      <c r="M112" s="629"/>
      <c r="N112" s="444"/>
      <c r="O112" s="739"/>
      <c r="P112" s="773"/>
      <c r="Q112" s="727"/>
      <c r="R112" s="741"/>
      <c r="S112" s="709">
        <f t="shared" si="10"/>
        <v>4470400</v>
      </c>
    </row>
    <row r="113" spans="1:19" ht="16.5" customHeight="1">
      <c r="A113" s="713">
        <f t="shared" si="8"/>
        <v>107</v>
      </c>
      <c r="B113" s="296" t="s">
        <v>521</v>
      </c>
      <c r="C113" s="729">
        <v>41981</v>
      </c>
      <c r="D113" s="729" t="s">
        <v>817</v>
      </c>
      <c r="E113" s="25"/>
      <c r="F113" s="714"/>
      <c r="G113" s="714"/>
      <c r="H113" s="838">
        <f t="shared" si="9"/>
        <v>0.36</v>
      </c>
      <c r="I113" s="714">
        <v>1015</v>
      </c>
      <c r="J113" s="714">
        <f t="shared" si="11"/>
        <v>365.4</v>
      </c>
      <c r="K113" s="714">
        <f t="shared" si="12"/>
        <v>0</v>
      </c>
      <c r="L113" s="629">
        <v>12000</v>
      </c>
      <c r="M113" s="629"/>
      <c r="N113" s="444"/>
      <c r="O113" s="739"/>
      <c r="P113" s="773"/>
      <c r="Q113" s="727"/>
      <c r="R113" s="741"/>
      <c r="S113" s="709">
        <f t="shared" si="10"/>
        <v>12180000</v>
      </c>
    </row>
    <row r="114" spans="1:19" ht="16.5" customHeight="1">
      <c r="A114" s="713">
        <f t="shared" si="8"/>
        <v>108</v>
      </c>
      <c r="B114" s="296" t="s">
        <v>442</v>
      </c>
      <c r="C114" s="729">
        <v>41982</v>
      </c>
      <c r="D114" s="729" t="s">
        <v>818</v>
      </c>
      <c r="E114" s="25"/>
      <c r="F114" s="714"/>
      <c r="G114" s="714"/>
      <c r="H114" s="838">
        <f t="shared" si="9"/>
        <v>0.36</v>
      </c>
      <c r="I114" s="714">
        <v>440</v>
      </c>
      <c r="J114" s="714">
        <f t="shared" si="11"/>
        <v>158.4</v>
      </c>
      <c r="K114" s="714">
        <f t="shared" si="12"/>
        <v>0</v>
      </c>
      <c r="L114" s="629">
        <v>10500</v>
      </c>
      <c r="M114" s="629"/>
      <c r="N114" s="444"/>
      <c r="O114" s="739"/>
      <c r="P114" s="773"/>
      <c r="Q114" s="727"/>
      <c r="R114" s="741"/>
      <c r="S114" s="709">
        <f t="shared" si="10"/>
        <v>4620000</v>
      </c>
    </row>
    <row r="115" spans="1:19" ht="16.5" customHeight="1">
      <c r="A115" s="713">
        <f t="shared" si="8"/>
        <v>109</v>
      </c>
      <c r="B115" s="296" t="s">
        <v>819</v>
      </c>
      <c r="C115" s="729">
        <v>41982</v>
      </c>
      <c r="D115" s="729" t="s">
        <v>818</v>
      </c>
      <c r="E115" s="25"/>
      <c r="F115" s="714"/>
      <c r="G115" s="714"/>
      <c r="H115" s="838">
        <f t="shared" si="9"/>
        <v>0.36</v>
      </c>
      <c r="I115" s="714">
        <v>403</v>
      </c>
      <c r="J115" s="714">
        <f t="shared" si="11"/>
        <v>145.07999999999998</v>
      </c>
      <c r="K115" s="714">
        <f t="shared" si="12"/>
        <v>0</v>
      </c>
      <c r="L115" s="629">
        <v>7500</v>
      </c>
      <c r="M115" s="629"/>
      <c r="N115" s="444"/>
      <c r="O115" s="739"/>
      <c r="P115" s="773"/>
      <c r="Q115" s="727"/>
      <c r="R115" s="741"/>
      <c r="S115" s="709">
        <f t="shared" si="10"/>
        <v>3022500</v>
      </c>
    </row>
    <row r="116" spans="1:19" ht="16.5" customHeight="1">
      <c r="A116" s="713">
        <f t="shared" si="8"/>
        <v>110</v>
      </c>
      <c r="B116" s="296" t="s">
        <v>442</v>
      </c>
      <c r="C116" s="729">
        <v>41982</v>
      </c>
      <c r="D116" s="729" t="s">
        <v>820</v>
      </c>
      <c r="E116" s="25"/>
      <c r="F116" s="714"/>
      <c r="G116" s="714"/>
      <c r="H116" s="838">
        <f t="shared" si="9"/>
        <v>0.36</v>
      </c>
      <c r="I116" s="714">
        <v>440</v>
      </c>
      <c r="J116" s="714">
        <f t="shared" si="11"/>
        <v>158.4</v>
      </c>
      <c r="K116" s="714">
        <f t="shared" si="12"/>
        <v>0</v>
      </c>
      <c r="L116" s="629">
        <v>10500</v>
      </c>
      <c r="M116" s="629"/>
      <c r="N116" s="444"/>
      <c r="O116" s="739"/>
      <c r="P116" s="773"/>
      <c r="Q116" s="727"/>
      <c r="R116" s="741"/>
      <c r="S116" s="709">
        <f t="shared" si="10"/>
        <v>4620000</v>
      </c>
    </row>
    <row r="117" spans="1:19" ht="16.5" customHeight="1">
      <c r="A117" s="713">
        <f t="shared" si="8"/>
        <v>111</v>
      </c>
      <c r="B117" s="296" t="s">
        <v>489</v>
      </c>
      <c r="C117" s="729">
        <v>41985</v>
      </c>
      <c r="D117" s="729" t="s">
        <v>821</v>
      </c>
      <c r="E117" s="25"/>
      <c r="F117" s="714"/>
      <c r="G117" s="714"/>
      <c r="H117" s="838">
        <f t="shared" si="9"/>
        <v>0.36</v>
      </c>
      <c r="I117" s="714">
        <v>411</v>
      </c>
      <c r="J117" s="714">
        <f t="shared" si="11"/>
        <v>147.96</v>
      </c>
      <c r="K117" s="714">
        <f t="shared" si="12"/>
        <v>0</v>
      </c>
      <c r="L117" s="629">
        <v>12900</v>
      </c>
      <c r="M117" s="629"/>
      <c r="N117" s="444"/>
      <c r="O117" s="739"/>
      <c r="P117" s="773"/>
      <c r="Q117" s="727"/>
      <c r="R117" s="741"/>
      <c r="S117" s="709">
        <f t="shared" si="10"/>
        <v>5301900</v>
      </c>
    </row>
    <row r="118" spans="1:19" ht="16.5" customHeight="1">
      <c r="A118" s="713">
        <f t="shared" si="8"/>
        <v>112</v>
      </c>
      <c r="B118" s="296" t="s">
        <v>822</v>
      </c>
      <c r="C118" s="729">
        <v>41985</v>
      </c>
      <c r="D118" s="729" t="s">
        <v>823</v>
      </c>
      <c r="E118" s="25"/>
      <c r="F118" s="714"/>
      <c r="G118" s="714"/>
      <c r="H118" s="838">
        <f t="shared" si="9"/>
        <v>0.36</v>
      </c>
      <c r="I118" s="714">
        <v>89</v>
      </c>
      <c r="J118" s="714">
        <f t="shared" si="11"/>
        <v>32.04</v>
      </c>
      <c r="K118" s="714">
        <f t="shared" si="12"/>
        <v>0</v>
      </c>
      <c r="L118" s="629">
        <v>29700</v>
      </c>
      <c r="M118" s="629"/>
      <c r="N118" s="444"/>
      <c r="O118" s="739"/>
      <c r="P118" s="773"/>
      <c r="Q118" s="727"/>
      <c r="R118" s="741"/>
      <c r="S118" s="709">
        <f t="shared" si="10"/>
        <v>2643300</v>
      </c>
    </row>
    <row r="119" spans="1:19" ht="16.5" customHeight="1">
      <c r="A119" s="713">
        <f t="shared" si="8"/>
        <v>113</v>
      </c>
      <c r="B119" s="296" t="s">
        <v>824</v>
      </c>
      <c r="C119" s="729">
        <v>41985</v>
      </c>
      <c r="D119" s="729" t="s">
        <v>825</v>
      </c>
      <c r="E119" s="25"/>
      <c r="F119" s="714"/>
      <c r="G119" s="714"/>
      <c r="H119" s="838">
        <f t="shared" si="9"/>
        <v>0.36</v>
      </c>
      <c r="I119" s="714">
        <v>350</v>
      </c>
      <c r="J119" s="714">
        <f t="shared" si="11"/>
        <v>126</v>
      </c>
      <c r="K119" s="714">
        <f t="shared" si="12"/>
        <v>0</v>
      </c>
      <c r="L119" s="629">
        <v>47449</v>
      </c>
      <c r="M119" s="629"/>
      <c r="N119" s="444"/>
      <c r="O119" s="739"/>
      <c r="P119" s="773"/>
      <c r="Q119" s="727"/>
      <c r="R119" s="741"/>
      <c r="S119" s="709">
        <f t="shared" si="10"/>
        <v>16607150</v>
      </c>
    </row>
    <row r="120" spans="1:19" ht="16.5" customHeight="1">
      <c r="A120" s="713">
        <f t="shared" si="8"/>
        <v>114</v>
      </c>
      <c r="B120" s="296" t="s">
        <v>826</v>
      </c>
      <c r="C120" s="729">
        <v>41986</v>
      </c>
      <c r="D120" s="729" t="s">
        <v>827</v>
      </c>
      <c r="E120" s="25"/>
      <c r="F120" s="714"/>
      <c r="G120" s="714"/>
      <c r="H120" s="838">
        <f t="shared" si="9"/>
        <v>0.36</v>
      </c>
      <c r="I120" s="714">
        <v>223</v>
      </c>
      <c r="J120" s="714">
        <f t="shared" si="11"/>
        <v>80.28</v>
      </c>
      <c r="K120" s="714">
        <f t="shared" si="12"/>
        <v>0</v>
      </c>
      <c r="L120" s="629">
        <v>10250</v>
      </c>
      <c r="M120" s="629"/>
      <c r="N120" s="444"/>
      <c r="O120" s="739"/>
      <c r="P120" s="773"/>
      <c r="Q120" s="727"/>
      <c r="R120" s="741"/>
      <c r="S120" s="709">
        <f t="shared" si="10"/>
        <v>2285750</v>
      </c>
    </row>
    <row r="121" spans="1:19" ht="16.5" customHeight="1">
      <c r="A121" s="713">
        <f t="shared" si="8"/>
        <v>115</v>
      </c>
      <c r="B121" s="296" t="s">
        <v>828</v>
      </c>
      <c r="C121" s="729">
        <v>41986</v>
      </c>
      <c r="D121" s="729" t="s">
        <v>829</v>
      </c>
      <c r="E121" s="25"/>
      <c r="F121" s="714"/>
      <c r="G121" s="714"/>
      <c r="H121" s="838">
        <f t="shared" si="9"/>
        <v>0.36</v>
      </c>
      <c r="I121" s="714">
        <v>200</v>
      </c>
      <c r="J121" s="714">
        <f t="shared" si="11"/>
        <v>72</v>
      </c>
      <c r="K121" s="714">
        <f t="shared" si="12"/>
        <v>0</v>
      </c>
      <c r="L121" s="629">
        <v>73100</v>
      </c>
      <c r="M121" s="629"/>
      <c r="N121" s="444"/>
      <c r="O121" s="739"/>
      <c r="P121" s="773"/>
      <c r="Q121" s="727"/>
      <c r="R121" s="741"/>
      <c r="S121" s="709">
        <f t="shared" si="10"/>
        <v>14620000</v>
      </c>
    </row>
    <row r="122" spans="1:19" ht="16.5" customHeight="1">
      <c r="A122" s="713">
        <f t="shared" si="8"/>
        <v>116</v>
      </c>
      <c r="B122" s="296" t="s">
        <v>452</v>
      </c>
      <c r="C122" s="729">
        <v>41986</v>
      </c>
      <c r="D122" s="729" t="s">
        <v>830</v>
      </c>
      <c r="E122" s="25"/>
      <c r="F122" s="714"/>
      <c r="G122" s="714"/>
      <c r="H122" s="838">
        <f t="shared" si="9"/>
        <v>0.36</v>
      </c>
      <c r="I122" s="714">
        <v>3160</v>
      </c>
      <c r="J122" s="714">
        <f t="shared" si="11"/>
        <v>1137.5999999999999</v>
      </c>
      <c r="K122" s="714">
        <f t="shared" si="12"/>
        <v>0</v>
      </c>
      <c r="L122" s="629">
        <v>7200</v>
      </c>
      <c r="M122" s="629"/>
      <c r="N122" s="444"/>
      <c r="O122" s="739"/>
      <c r="P122" s="773"/>
      <c r="Q122" s="727"/>
      <c r="R122" s="741"/>
      <c r="S122" s="709">
        <f t="shared" si="10"/>
        <v>22752000</v>
      </c>
    </row>
    <row r="123" spans="1:19" ht="16.5" customHeight="1">
      <c r="A123" s="713">
        <f t="shared" si="8"/>
        <v>117</v>
      </c>
      <c r="B123" s="296" t="s">
        <v>452</v>
      </c>
      <c r="C123" s="729">
        <v>41986</v>
      </c>
      <c r="D123" s="729" t="s">
        <v>830</v>
      </c>
      <c r="E123" s="25"/>
      <c r="F123" s="714"/>
      <c r="G123" s="714"/>
      <c r="H123" s="838">
        <f t="shared" si="9"/>
        <v>0.36</v>
      </c>
      <c r="I123" s="714">
        <v>301</v>
      </c>
      <c r="J123" s="714">
        <f t="shared" si="11"/>
        <v>108.36</v>
      </c>
      <c r="K123" s="714">
        <f t="shared" si="12"/>
        <v>0</v>
      </c>
      <c r="L123" s="629">
        <v>8750</v>
      </c>
      <c r="M123" s="629"/>
      <c r="N123" s="444"/>
      <c r="O123" s="739"/>
      <c r="P123" s="773"/>
      <c r="Q123" s="727"/>
      <c r="R123" s="741"/>
      <c r="S123" s="709">
        <f t="shared" si="10"/>
        <v>2633750</v>
      </c>
    </row>
    <row r="124" spans="1:19" ht="16.5" customHeight="1">
      <c r="A124" s="713">
        <f t="shared" si="8"/>
        <v>118</v>
      </c>
      <c r="B124" s="296" t="s">
        <v>720</v>
      </c>
      <c r="C124" s="729">
        <v>41986</v>
      </c>
      <c r="D124" s="729" t="s">
        <v>831</v>
      </c>
      <c r="E124" s="25"/>
      <c r="F124" s="714"/>
      <c r="G124" s="714"/>
      <c r="H124" s="838">
        <f t="shared" si="9"/>
        <v>0.36</v>
      </c>
      <c r="I124" s="714">
        <v>20</v>
      </c>
      <c r="J124" s="714">
        <f t="shared" si="11"/>
        <v>7.1999999999999993</v>
      </c>
      <c r="K124" s="714">
        <f t="shared" si="12"/>
        <v>0</v>
      </c>
      <c r="L124" s="629">
        <v>13500</v>
      </c>
      <c r="M124" s="629"/>
      <c r="N124" s="444"/>
      <c r="O124" s="739"/>
      <c r="P124" s="773"/>
      <c r="Q124" s="727"/>
      <c r="R124" s="741"/>
      <c r="S124" s="709">
        <f t="shared" si="10"/>
        <v>270000</v>
      </c>
    </row>
    <row r="125" spans="1:19" ht="16.5" customHeight="1">
      <c r="A125" s="713">
        <f t="shared" si="8"/>
        <v>119</v>
      </c>
      <c r="B125" s="296" t="s">
        <v>832</v>
      </c>
      <c r="C125" s="729">
        <v>41986</v>
      </c>
      <c r="D125" s="729" t="s">
        <v>831</v>
      </c>
      <c r="E125" s="25"/>
      <c r="F125" s="714"/>
      <c r="G125" s="714"/>
      <c r="H125" s="838">
        <f t="shared" si="9"/>
        <v>0.36</v>
      </c>
      <c r="I125" s="714">
        <v>47</v>
      </c>
      <c r="J125" s="714">
        <f t="shared" si="11"/>
        <v>16.919999999999998</v>
      </c>
      <c r="K125" s="714">
        <f t="shared" si="12"/>
        <v>0</v>
      </c>
      <c r="L125" s="629">
        <v>13500</v>
      </c>
      <c r="M125" s="629"/>
      <c r="N125" s="444"/>
      <c r="O125" s="739"/>
      <c r="P125" s="773"/>
      <c r="Q125" s="727"/>
      <c r="R125" s="741"/>
      <c r="S125" s="709">
        <f t="shared" si="10"/>
        <v>634500</v>
      </c>
    </row>
    <row r="126" spans="1:19" ht="16.5" customHeight="1">
      <c r="A126" s="713">
        <f t="shared" si="8"/>
        <v>120</v>
      </c>
      <c r="B126" s="296" t="s">
        <v>833</v>
      </c>
      <c r="C126" s="729">
        <v>41986</v>
      </c>
      <c r="D126" s="729" t="s">
        <v>831</v>
      </c>
      <c r="E126" s="25"/>
      <c r="F126" s="714"/>
      <c r="G126" s="714"/>
      <c r="H126" s="838">
        <f t="shared" si="9"/>
        <v>0.36</v>
      </c>
      <c r="I126" s="714">
        <v>902</v>
      </c>
      <c r="J126" s="714">
        <f t="shared" si="11"/>
        <v>324.71999999999997</v>
      </c>
      <c r="K126" s="714">
        <f t="shared" si="12"/>
        <v>0</v>
      </c>
      <c r="L126" s="629">
        <v>24000</v>
      </c>
      <c r="M126" s="629"/>
      <c r="N126" s="444"/>
      <c r="O126" s="739"/>
      <c r="P126" s="773"/>
      <c r="Q126" s="727"/>
      <c r="R126" s="741"/>
      <c r="S126" s="709">
        <f t="shared" si="10"/>
        <v>21648000</v>
      </c>
    </row>
    <row r="127" spans="1:19" ht="16.5" customHeight="1">
      <c r="A127" s="713">
        <f t="shared" si="8"/>
        <v>121</v>
      </c>
      <c r="B127" s="296" t="s">
        <v>834</v>
      </c>
      <c r="C127" s="729">
        <v>41988</v>
      </c>
      <c r="D127" s="729" t="s">
        <v>835</v>
      </c>
      <c r="E127" s="25"/>
      <c r="F127" s="714"/>
      <c r="G127" s="714"/>
      <c r="H127" s="838">
        <f t="shared" si="9"/>
        <v>0.36</v>
      </c>
      <c r="I127" s="714">
        <v>352</v>
      </c>
      <c r="J127" s="714">
        <f t="shared" si="11"/>
        <v>126.72</v>
      </c>
      <c r="K127" s="714">
        <f t="shared" si="12"/>
        <v>0</v>
      </c>
      <c r="L127" s="629">
        <v>19000</v>
      </c>
      <c r="M127" s="629"/>
      <c r="N127" s="444"/>
      <c r="O127" s="739"/>
      <c r="P127" s="773"/>
      <c r="Q127" s="727"/>
      <c r="R127" s="741"/>
      <c r="S127" s="709">
        <f t="shared" si="10"/>
        <v>6688000</v>
      </c>
    </row>
    <row r="128" spans="1:19" ht="16.5" customHeight="1">
      <c r="A128" s="713">
        <f t="shared" si="8"/>
        <v>122</v>
      </c>
      <c r="B128" s="296" t="s">
        <v>836</v>
      </c>
      <c r="C128" s="729">
        <v>41988</v>
      </c>
      <c r="D128" s="729" t="s">
        <v>835</v>
      </c>
      <c r="E128" s="25"/>
      <c r="F128" s="714"/>
      <c r="G128" s="714"/>
      <c r="H128" s="838">
        <f t="shared" si="9"/>
        <v>0.36</v>
      </c>
      <c r="I128" s="714">
        <v>52</v>
      </c>
      <c r="J128" s="714">
        <f t="shared" si="11"/>
        <v>18.72</v>
      </c>
      <c r="K128" s="714">
        <f t="shared" si="12"/>
        <v>0</v>
      </c>
      <c r="L128" s="629">
        <v>24200</v>
      </c>
      <c r="M128" s="629"/>
      <c r="N128" s="444"/>
      <c r="O128" s="739"/>
      <c r="P128" s="773"/>
      <c r="Q128" s="727"/>
      <c r="R128" s="741"/>
      <c r="S128" s="709">
        <f t="shared" si="10"/>
        <v>1258400</v>
      </c>
    </row>
    <row r="129" spans="1:19" ht="16.5" customHeight="1">
      <c r="A129" s="713">
        <f t="shared" si="8"/>
        <v>123</v>
      </c>
      <c r="B129" s="296" t="s">
        <v>837</v>
      </c>
      <c r="C129" s="729">
        <v>41988</v>
      </c>
      <c r="D129" s="729" t="s">
        <v>835</v>
      </c>
      <c r="E129" s="25"/>
      <c r="F129" s="714"/>
      <c r="G129" s="714"/>
      <c r="H129" s="838">
        <f t="shared" si="9"/>
        <v>0.36</v>
      </c>
      <c r="I129" s="714">
        <v>52</v>
      </c>
      <c r="J129" s="714">
        <f t="shared" si="11"/>
        <v>18.72</v>
      </c>
      <c r="K129" s="714">
        <f t="shared" si="12"/>
        <v>0</v>
      </c>
      <c r="L129" s="629">
        <v>27100</v>
      </c>
      <c r="M129" s="629"/>
      <c r="N129" s="444"/>
      <c r="O129" s="739"/>
      <c r="P129" s="773"/>
      <c r="Q129" s="727"/>
      <c r="R129" s="741"/>
      <c r="S129" s="709">
        <f t="shared" si="10"/>
        <v>1409200</v>
      </c>
    </row>
    <row r="130" spans="1:19" ht="16.5" customHeight="1">
      <c r="A130" s="713">
        <f t="shared" si="8"/>
        <v>124</v>
      </c>
      <c r="B130" s="296" t="s">
        <v>442</v>
      </c>
      <c r="C130" s="729">
        <v>41991</v>
      </c>
      <c r="D130" s="729" t="s">
        <v>838</v>
      </c>
      <c r="E130" s="25"/>
      <c r="F130" s="714"/>
      <c r="G130" s="714"/>
      <c r="H130" s="838">
        <f t="shared" si="9"/>
        <v>0.36</v>
      </c>
      <c r="I130" s="714">
        <v>522</v>
      </c>
      <c r="J130" s="714">
        <f t="shared" si="11"/>
        <v>187.92</v>
      </c>
      <c r="K130" s="714">
        <f t="shared" si="12"/>
        <v>0</v>
      </c>
      <c r="L130" s="629">
        <v>10500</v>
      </c>
      <c r="M130" s="629"/>
      <c r="N130" s="444"/>
      <c r="O130" s="739"/>
      <c r="P130" s="773"/>
      <c r="Q130" s="727"/>
      <c r="R130" s="741"/>
      <c r="S130" s="709">
        <f t="shared" si="10"/>
        <v>5481000</v>
      </c>
    </row>
    <row r="131" spans="1:19" ht="16.5" customHeight="1">
      <c r="A131" s="713">
        <f t="shared" si="8"/>
        <v>125</v>
      </c>
      <c r="B131" s="296" t="s">
        <v>839</v>
      </c>
      <c r="C131" s="729">
        <v>41992</v>
      </c>
      <c r="D131" s="729" t="s">
        <v>840</v>
      </c>
      <c r="E131" s="25"/>
      <c r="F131" s="714"/>
      <c r="G131" s="714"/>
      <c r="H131" s="838">
        <f t="shared" si="9"/>
        <v>0.36</v>
      </c>
      <c r="I131" s="714">
        <v>2500</v>
      </c>
      <c r="J131" s="714">
        <f t="shared" si="11"/>
        <v>900</v>
      </c>
      <c r="K131" s="714">
        <f t="shared" si="12"/>
        <v>0</v>
      </c>
      <c r="L131" s="629">
        <v>1934</v>
      </c>
      <c r="M131" s="629"/>
      <c r="N131" s="444"/>
      <c r="O131" s="739"/>
      <c r="P131" s="773"/>
      <c r="Q131" s="727"/>
      <c r="R131" s="741"/>
      <c r="S131" s="709">
        <f t="shared" si="10"/>
        <v>4835000</v>
      </c>
    </row>
    <row r="132" spans="1:19" ht="16.5" customHeight="1">
      <c r="A132" s="713">
        <f t="shared" si="8"/>
        <v>126</v>
      </c>
      <c r="B132" s="296" t="s">
        <v>842</v>
      </c>
      <c r="C132" s="729">
        <v>41992</v>
      </c>
      <c r="D132" s="729" t="s">
        <v>840</v>
      </c>
      <c r="E132" s="25"/>
      <c r="F132" s="714"/>
      <c r="G132" s="714"/>
      <c r="H132" s="838">
        <f t="shared" si="9"/>
        <v>0.36</v>
      </c>
      <c r="I132" s="714">
        <v>2200</v>
      </c>
      <c r="J132" s="714">
        <f t="shared" si="11"/>
        <v>792</v>
      </c>
      <c r="K132" s="714">
        <f t="shared" si="12"/>
        <v>0</v>
      </c>
      <c r="L132" s="629">
        <v>4499</v>
      </c>
      <c r="M132" s="629"/>
      <c r="N132" s="444"/>
      <c r="O132" s="739"/>
      <c r="P132" s="773"/>
      <c r="Q132" s="727"/>
      <c r="R132" s="741"/>
      <c r="S132" s="709">
        <f t="shared" si="10"/>
        <v>9897800</v>
      </c>
    </row>
    <row r="133" spans="1:19" ht="16.5" customHeight="1">
      <c r="A133" s="713">
        <f t="shared" si="8"/>
        <v>127</v>
      </c>
      <c r="B133" s="296" t="s">
        <v>843</v>
      </c>
      <c r="C133" s="729">
        <v>41993</v>
      </c>
      <c r="D133" s="729" t="s">
        <v>844</v>
      </c>
      <c r="E133" s="25"/>
      <c r="F133" s="714"/>
      <c r="G133" s="714"/>
      <c r="H133" s="838">
        <f t="shared" si="9"/>
        <v>0.36</v>
      </c>
      <c r="I133" s="714">
        <v>500</v>
      </c>
      <c r="J133" s="714">
        <f t="shared" si="11"/>
        <v>180</v>
      </c>
      <c r="K133" s="714">
        <f t="shared" si="12"/>
        <v>0</v>
      </c>
      <c r="L133" s="629">
        <v>11000</v>
      </c>
      <c r="M133" s="629"/>
      <c r="N133" s="444"/>
      <c r="O133" s="739"/>
      <c r="P133" s="773"/>
      <c r="Q133" s="727"/>
      <c r="R133" s="741"/>
      <c r="S133" s="709">
        <f t="shared" si="10"/>
        <v>5500000</v>
      </c>
    </row>
    <row r="134" spans="1:19" ht="16.5" customHeight="1">
      <c r="A134" s="713">
        <f t="shared" si="8"/>
        <v>128</v>
      </c>
      <c r="B134" s="296" t="s">
        <v>845</v>
      </c>
      <c r="C134" s="729">
        <v>41993</v>
      </c>
      <c r="D134" s="729" t="s">
        <v>846</v>
      </c>
      <c r="E134" s="25"/>
      <c r="F134" s="714"/>
      <c r="G134" s="714"/>
      <c r="H134" s="838">
        <f t="shared" si="9"/>
        <v>0.36</v>
      </c>
      <c r="I134" s="714">
        <v>213</v>
      </c>
      <c r="J134" s="714">
        <f t="shared" si="11"/>
        <v>76.679999999999993</v>
      </c>
      <c r="K134" s="714">
        <f t="shared" si="12"/>
        <v>0</v>
      </c>
      <c r="L134" s="629">
        <v>15500</v>
      </c>
      <c r="M134" s="629"/>
      <c r="N134" s="444"/>
      <c r="O134" s="739"/>
      <c r="P134" s="773"/>
      <c r="Q134" s="727"/>
      <c r="R134" s="741"/>
      <c r="S134" s="709">
        <f t="shared" si="10"/>
        <v>3301500</v>
      </c>
    </row>
    <row r="135" spans="1:19" ht="16.5" customHeight="1">
      <c r="A135" s="713">
        <f t="shared" ref="A135:A181" si="13">IF(B135&lt;&gt;"",A134+1,"")</f>
        <v>129</v>
      </c>
      <c r="B135" s="296" t="s">
        <v>1221</v>
      </c>
      <c r="C135" s="729">
        <v>41995</v>
      </c>
      <c r="D135" s="729" t="s">
        <v>848</v>
      </c>
      <c r="E135" s="25"/>
      <c r="F135" s="714"/>
      <c r="G135" s="714"/>
      <c r="H135" s="838">
        <f t="shared" ref="H135:H181" si="14">ROUND(((E135+F135)*2*0.01+1.2)*((F135+G135)*0.01+0.3),2)</f>
        <v>0.36</v>
      </c>
      <c r="I135" s="714">
        <v>819</v>
      </c>
      <c r="J135" s="714">
        <f t="shared" si="11"/>
        <v>294.83999999999997</v>
      </c>
      <c r="K135" s="714">
        <f t="shared" si="12"/>
        <v>0</v>
      </c>
      <c r="L135" s="629">
        <v>14300</v>
      </c>
      <c r="M135" s="629"/>
      <c r="N135" s="444"/>
      <c r="O135" s="739"/>
      <c r="P135" s="773"/>
      <c r="Q135" s="727"/>
      <c r="R135" s="741"/>
      <c r="S135" s="709">
        <f t="shared" ref="S135:S181" si="15">I135*L135</f>
        <v>11711700</v>
      </c>
    </row>
    <row r="136" spans="1:19" ht="16.5" customHeight="1">
      <c r="A136" s="713">
        <f t="shared" si="13"/>
        <v>130</v>
      </c>
      <c r="B136" s="296" t="s">
        <v>451</v>
      </c>
      <c r="C136" s="729">
        <v>41995</v>
      </c>
      <c r="D136" s="729" t="s">
        <v>848</v>
      </c>
      <c r="E136" s="25"/>
      <c r="F136" s="714"/>
      <c r="G136" s="714"/>
      <c r="H136" s="838">
        <f t="shared" si="14"/>
        <v>0.36</v>
      </c>
      <c r="I136" s="714">
        <v>1638</v>
      </c>
      <c r="J136" s="714">
        <f t="shared" ref="J136:J181" si="16">H136*I136</f>
        <v>589.67999999999995</v>
      </c>
      <c r="K136" s="714">
        <f t="shared" ref="K136:K181" si="17">I136*$R$49</f>
        <v>0</v>
      </c>
      <c r="L136" s="629">
        <v>1500</v>
      </c>
      <c r="M136" s="629"/>
      <c r="N136" s="444"/>
      <c r="O136" s="739"/>
      <c r="P136" s="773"/>
      <c r="Q136" s="727"/>
      <c r="R136" s="741"/>
      <c r="S136" s="709">
        <f t="shared" si="15"/>
        <v>2457000</v>
      </c>
    </row>
    <row r="137" spans="1:19" ht="16.5" customHeight="1">
      <c r="A137" s="713">
        <f t="shared" si="13"/>
        <v>131</v>
      </c>
      <c r="B137" s="296" t="s">
        <v>750</v>
      </c>
      <c r="C137" s="729">
        <v>41997</v>
      </c>
      <c r="D137" s="729" t="s">
        <v>849</v>
      </c>
      <c r="E137" s="25"/>
      <c r="F137" s="714"/>
      <c r="G137" s="714"/>
      <c r="H137" s="838">
        <f t="shared" si="14"/>
        <v>0.36</v>
      </c>
      <c r="I137" s="714">
        <v>517</v>
      </c>
      <c r="J137" s="714">
        <f t="shared" si="16"/>
        <v>186.12</v>
      </c>
      <c r="K137" s="714">
        <f t="shared" si="17"/>
        <v>0</v>
      </c>
      <c r="L137" s="629">
        <v>5400</v>
      </c>
      <c r="M137" s="629"/>
      <c r="N137" s="444"/>
      <c r="O137" s="739"/>
      <c r="P137" s="773"/>
      <c r="Q137" s="727"/>
      <c r="R137" s="741"/>
      <c r="S137" s="709">
        <f t="shared" si="15"/>
        <v>2791800</v>
      </c>
    </row>
    <row r="138" spans="1:19" ht="16.5" customHeight="1">
      <c r="A138" s="713">
        <f t="shared" si="13"/>
        <v>132</v>
      </c>
      <c r="B138" s="296" t="s">
        <v>850</v>
      </c>
      <c r="C138" s="729">
        <v>41997</v>
      </c>
      <c r="D138" s="729" t="s">
        <v>851</v>
      </c>
      <c r="E138" s="25"/>
      <c r="F138" s="714"/>
      <c r="G138" s="714"/>
      <c r="H138" s="838">
        <f t="shared" si="14"/>
        <v>0.36</v>
      </c>
      <c r="I138" s="714">
        <v>701</v>
      </c>
      <c r="J138" s="714">
        <f t="shared" si="16"/>
        <v>252.35999999999999</v>
      </c>
      <c r="K138" s="714">
        <f t="shared" si="17"/>
        <v>0</v>
      </c>
      <c r="L138" s="629">
        <v>18000</v>
      </c>
      <c r="M138" s="629"/>
      <c r="N138" s="444"/>
      <c r="O138" s="739"/>
      <c r="P138" s="773"/>
      <c r="Q138" s="727"/>
      <c r="R138" s="741"/>
      <c r="S138" s="709">
        <f t="shared" si="15"/>
        <v>12618000</v>
      </c>
    </row>
    <row r="139" spans="1:19" ht="16.5" customHeight="1">
      <c r="A139" s="713">
        <f t="shared" si="13"/>
        <v>133</v>
      </c>
      <c r="B139" s="296" t="s">
        <v>852</v>
      </c>
      <c r="C139" s="729">
        <v>41997</v>
      </c>
      <c r="D139" s="729" t="s">
        <v>851</v>
      </c>
      <c r="E139" s="25"/>
      <c r="F139" s="714"/>
      <c r="G139" s="714"/>
      <c r="H139" s="838">
        <f t="shared" si="14"/>
        <v>0.36</v>
      </c>
      <c r="I139" s="714">
        <v>59</v>
      </c>
      <c r="J139" s="714">
        <f t="shared" si="16"/>
        <v>21.24</v>
      </c>
      <c r="K139" s="714">
        <f t="shared" si="17"/>
        <v>0</v>
      </c>
      <c r="L139" s="629">
        <v>32000</v>
      </c>
      <c r="M139" s="629"/>
      <c r="N139" s="444"/>
      <c r="O139" s="739"/>
      <c r="P139" s="773"/>
      <c r="Q139" s="727"/>
      <c r="R139" s="741"/>
      <c r="S139" s="709">
        <f t="shared" si="15"/>
        <v>1888000</v>
      </c>
    </row>
    <row r="140" spans="1:19" ht="16.5" customHeight="1">
      <c r="A140" s="713">
        <f t="shared" si="13"/>
        <v>134</v>
      </c>
      <c r="B140" s="296" t="s">
        <v>1215</v>
      </c>
      <c r="C140" s="729">
        <v>41997</v>
      </c>
      <c r="D140" s="729" t="s">
        <v>851</v>
      </c>
      <c r="E140" s="25"/>
      <c r="F140" s="714"/>
      <c r="G140" s="714"/>
      <c r="H140" s="838">
        <f t="shared" si="14"/>
        <v>0.36</v>
      </c>
      <c r="I140" s="714">
        <v>1402</v>
      </c>
      <c r="J140" s="714">
        <f t="shared" si="16"/>
        <v>504.71999999999997</v>
      </c>
      <c r="K140" s="714">
        <f t="shared" si="17"/>
        <v>0</v>
      </c>
      <c r="L140" s="629">
        <v>1023</v>
      </c>
      <c r="M140" s="629"/>
      <c r="N140" s="444"/>
      <c r="O140" s="739"/>
      <c r="P140" s="773"/>
      <c r="Q140" s="727"/>
      <c r="R140" s="741"/>
      <c r="S140" s="709">
        <f t="shared" si="15"/>
        <v>1434246</v>
      </c>
    </row>
    <row r="141" spans="1:19" ht="16.5" customHeight="1">
      <c r="A141" s="713">
        <f t="shared" si="13"/>
        <v>135</v>
      </c>
      <c r="B141" s="296" t="s">
        <v>1216</v>
      </c>
      <c r="C141" s="729">
        <v>41997</v>
      </c>
      <c r="D141" s="729" t="s">
        <v>851</v>
      </c>
      <c r="E141" s="25"/>
      <c r="F141" s="714"/>
      <c r="G141" s="714"/>
      <c r="H141" s="838">
        <f t="shared" si="14"/>
        <v>0.36</v>
      </c>
      <c r="I141" s="714">
        <v>118</v>
      </c>
      <c r="J141" s="714">
        <f t="shared" si="16"/>
        <v>42.48</v>
      </c>
      <c r="K141" s="714">
        <f t="shared" si="17"/>
        <v>0</v>
      </c>
      <c r="L141" s="629">
        <v>2322</v>
      </c>
      <c r="M141" s="629"/>
      <c r="N141" s="444"/>
      <c r="O141" s="739"/>
      <c r="P141" s="773"/>
      <c r="Q141" s="727"/>
      <c r="R141" s="741"/>
      <c r="S141" s="709">
        <f t="shared" si="15"/>
        <v>273996</v>
      </c>
    </row>
    <row r="142" spans="1:19" ht="16.5" customHeight="1">
      <c r="A142" s="713">
        <f t="shared" si="13"/>
        <v>136</v>
      </c>
      <c r="B142" s="296" t="s">
        <v>853</v>
      </c>
      <c r="C142" s="729">
        <v>41997</v>
      </c>
      <c r="D142" s="729" t="s">
        <v>854</v>
      </c>
      <c r="E142" s="25"/>
      <c r="F142" s="714"/>
      <c r="G142" s="714"/>
      <c r="H142" s="838">
        <f t="shared" si="14"/>
        <v>0.36</v>
      </c>
      <c r="I142" s="714">
        <v>42</v>
      </c>
      <c r="J142" s="714">
        <f t="shared" si="16"/>
        <v>15.12</v>
      </c>
      <c r="K142" s="714">
        <f t="shared" si="17"/>
        <v>0</v>
      </c>
      <c r="L142" s="629">
        <v>7018</v>
      </c>
      <c r="M142" s="629"/>
      <c r="N142" s="444"/>
      <c r="O142" s="739"/>
      <c r="P142" s="773"/>
      <c r="Q142" s="727"/>
      <c r="R142" s="741"/>
      <c r="S142" s="709">
        <f t="shared" si="15"/>
        <v>294756</v>
      </c>
    </row>
    <row r="143" spans="1:19" ht="16.5" customHeight="1">
      <c r="A143" s="713">
        <f t="shared" si="13"/>
        <v>137</v>
      </c>
      <c r="B143" s="296" t="s">
        <v>856</v>
      </c>
      <c r="C143" s="729">
        <v>41997</v>
      </c>
      <c r="D143" s="729" t="s">
        <v>854</v>
      </c>
      <c r="E143" s="25"/>
      <c r="F143" s="714"/>
      <c r="G143" s="714"/>
      <c r="H143" s="838">
        <f t="shared" si="14"/>
        <v>0.36</v>
      </c>
      <c r="I143" s="714">
        <v>137</v>
      </c>
      <c r="J143" s="714">
        <f t="shared" si="16"/>
        <v>49.32</v>
      </c>
      <c r="K143" s="714">
        <f t="shared" si="17"/>
        <v>0</v>
      </c>
      <c r="L143" s="629">
        <v>8946</v>
      </c>
      <c r="M143" s="629"/>
      <c r="N143" s="444"/>
      <c r="O143" s="739"/>
      <c r="P143" s="773"/>
      <c r="Q143" s="727"/>
      <c r="R143" s="741"/>
      <c r="S143" s="709">
        <f t="shared" si="15"/>
        <v>1225602</v>
      </c>
    </row>
    <row r="144" spans="1:19" ht="16.5" customHeight="1">
      <c r="A144" s="713">
        <f t="shared" si="13"/>
        <v>138</v>
      </c>
      <c r="B144" s="296" t="s">
        <v>857</v>
      </c>
      <c r="C144" s="729">
        <v>41997</v>
      </c>
      <c r="D144" s="729" t="s">
        <v>854</v>
      </c>
      <c r="E144" s="25"/>
      <c r="F144" s="714"/>
      <c r="G144" s="714"/>
      <c r="H144" s="838">
        <f t="shared" si="14"/>
        <v>0.36</v>
      </c>
      <c r="I144" s="714">
        <v>44</v>
      </c>
      <c r="J144" s="714">
        <f t="shared" si="16"/>
        <v>15.84</v>
      </c>
      <c r="K144" s="714">
        <f t="shared" si="17"/>
        <v>0</v>
      </c>
      <c r="L144" s="629">
        <v>9191</v>
      </c>
      <c r="M144" s="629"/>
      <c r="N144" s="444"/>
      <c r="O144" s="739"/>
      <c r="P144" s="773"/>
      <c r="Q144" s="727"/>
      <c r="R144" s="741"/>
      <c r="S144" s="709">
        <f t="shared" si="15"/>
        <v>404404</v>
      </c>
    </row>
    <row r="145" spans="1:19" ht="16.5" customHeight="1">
      <c r="A145" s="713">
        <f t="shared" si="13"/>
        <v>139</v>
      </c>
      <c r="B145" s="296" t="s">
        <v>858</v>
      </c>
      <c r="C145" s="729">
        <v>41997</v>
      </c>
      <c r="D145" s="729" t="s">
        <v>854</v>
      </c>
      <c r="E145" s="25"/>
      <c r="F145" s="714"/>
      <c r="G145" s="714"/>
      <c r="H145" s="838">
        <f t="shared" si="14"/>
        <v>0.36</v>
      </c>
      <c r="I145" s="714">
        <v>966</v>
      </c>
      <c r="J145" s="714">
        <f t="shared" si="16"/>
        <v>347.76</v>
      </c>
      <c r="K145" s="714">
        <f t="shared" si="17"/>
        <v>0</v>
      </c>
      <c r="L145" s="629">
        <v>9572</v>
      </c>
      <c r="M145" s="629"/>
      <c r="N145" s="444"/>
      <c r="O145" s="739"/>
      <c r="P145" s="773"/>
      <c r="Q145" s="727"/>
      <c r="R145" s="741"/>
      <c r="S145" s="709">
        <f t="shared" si="15"/>
        <v>9246552</v>
      </c>
    </row>
    <row r="146" spans="1:19" ht="16.5" customHeight="1">
      <c r="A146" s="713">
        <f t="shared" si="13"/>
        <v>140</v>
      </c>
      <c r="B146" s="296" t="s">
        <v>859</v>
      </c>
      <c r="C146" s="729">
        <v>41997</v>
      </c>
      <c r="D146" s="729" t="s">
        <v>854</v>
      </c>
      <c r="E146" s="25"/>
      <c r="F146" s="714"/>
      <c r="G146" s="714"/>
      <c r="H146" s="838">
        <f t="shared" si="14"/>
        <v>0.36</v>
      </c>
      <c r="I146" s="714">
        <v>105</v>
      </c>
      <c r="J146" s="714">
        <f t="shared" si="16"/>
        <v>37.799999999999997</v>
      </c>
      <c r="K146" s="714">
        <f t="shared" si="17"/>
        <v>0</v>
      </c>
      <c r="L146" s="629">
        <v>12019</v>
      </c>
      <c r="M146" s="629"/>
      <c r="N146" s="444"/>
      <c r="O146" s="739"/>
      <c r="P146" s="773"/>
      <c r="Q146" s="727"/>
      <c r="R146" s="741"/>
      <c r="S146" s="709">
        <f t="shared" si="15"/>
        <v>1261995</v>
      </c>
    </row>
    <row r="147" spans="1:19" ht="16.5" customHeight="1">
      <c r="A147" s="713">
        <f t="shared" si="13"/>
        <v>141</v>
      </c>
      <c r="B147" s="296" t="s">
        <v>860</v>
      </c>
      <c r="C147" s="729">
        <v>41997</v>
      </c>
      <c r="D147" s="729" t="s">
        <v>854</v>
      </c>
      <c r="E147" s="25"/>
      <c r="F147" s="714"/>
      <c r="G147" s="714"/>
      <c r="H147" s="838">
        <f t="shared" si="14"/>
        <v>0.36</v>
      </c>
      <c r="I147" s="714">
        <v>25</v>
      </c>
      <c r="J147" s="714">
        <f t="shared" si="16"/>
        <v>9</v>
      </c>
      <c r="K147" s="714">
        <f t="shared" si="17"/>
        <v>0</v>
      </c>
      <c r="L147" s="629">
        <v>12203</v>
      </c>
      <c r="M147" s="629"/>
      <c r="N147" s="444"/>
      <c r="O147" s="739"/>
      <c r="P147" s="773"/>
      <c r="Q147" s="727"/>
      <c r="R147" s="741"/>
      <c r="S147" s="709">
        <f t="shared" si="15"/>
        <v>305075</v>
      </c>
    </row>
    <row r="148" spans="1:19" ht="16.5" customHeight="1">
      <c r="A148" s="713">
        <f t="shared" si="13"/>
        <v>142</v>
      </c>
      <c r="B148" s="296" t="s">
        <v>861</v>
      </c>
      <c r="C148" s="729">
        <v>41997</v>
      </c>
      <c r="D148" s="729" t="s">
        <v>854</v>
      </c>
      <c r="E148" s="25"/>
      <c r="F148" s="714"/>
      <c r="G148" s="714"/>
      <c r="H148" s="838">
        <f t="shared" si="14"/>
        <v>0.36</v>
      </c>
      <c r="I148" s="714">
        <v>104</v>
      </c>
      <c r="J148" s="714">
        <f t="shared" si="16"/>
        <v>37.44</v>
      </c>
      <c r="K148" s="714">
        <f t="shared" si="17"/>
        <v>0</v>
      </c>
      <c r="L148" s="629">
        <v>13405</v>
      </c>
      <c r="M148" s="629"/>
      <c r="N148" s="444"/>
      <c r="O148" s="739"/>
      <c r="P148" s="773"/>
      <c r="Q148" s="727"/>
      <c r="R148" s="741"/>
      <c r="S148" s="709">
        <f t="shared" si="15"/>
        <v>1394120</v>
      </c>
    </row>
    <row r="149" spans="1:19" ht="16.5" customHeight="1">
      <c r="A149" s="713">
        <f t="shared" si="13"/>
        <v>143</v>
      </c>
      <c r="B149" s="296" t="s">
        <v>862</v>
      </c>
      <c r="C149" s="729">
        <v>41997</v>
      </c>
      <c r="D149" s="729" t="s">
        <v>854</v>
      </c>
      <c r="E149" s="25"/>
      <c r="F149" s="714"/>
      <c r="G149" s="714"/>
      <c r="H149" s="838">
        <f t="shared" si="14"/>
        <v>0.36</v>
      </c>
      <c r="I149" s="714">
        <v>108</v>
      </c>
      <c r="J149" s="714">
        <f t="shared" si="16"/>
        <v>38.879999999999995</v>
      </c>
      <c r="K149" s="714">
        <f t="shared" si="17"/>
        <v>0</v>
      </c>
      <c r="L149" s="629">
        <v>14599</v>
      </c>
      <c r="M149" s="629"/>
      <c r="N149" s="444"/>
      <c r="O149" s="739"/>
      <c r="P149" s="773"/>
      <c r="Q149" s="727"/>
      <c r="R149" s="741"/>
      <c r="S149" s="709">
        <f t="shared" si="15"/>
        <v>1576692</v>
      </c>
    </row>
    <row r="150" spans="1:19" ht="16.5" customHeight="1">
      <c r="A150" s="713">
        <f t="shared" si="13"/>
        <v>144</v>
      </c>
      <c r="B150" s="296" t="s">
        <v>863</v>
      </c>
      <c r="C150" s="729">
        <v>41997</v>
      </c>
      <c r="D150" s="729" t="s">
        <v>854</v>
      </c>
      <c r="E150" s="25"/>
      <c r="F150" s="714"/>
      <c r="G150" s="714"/>
      <c r="H150" s="838">
        <f t="shared" si="14"/>
        <v>0.36</v>
      </c>
      <c r="I150" s="714">
        <v>32</v>
      </c>
      <c r="J150" s="714">
        <f t="shared" si="16"/>
        <v>11.52</v>
      </c>
      <c r="K150" s="714">
        <f t="shared" si="17"/>
        <v>0</v>
      </c>
      <c r="L150" s="629">
        <v>16022</v>
      </c>
      <c r="M150" s="629"/>
      <c r="N150" s="444"/>
      <c r="O150" s="739"/>
      <c r="P150" s="773"/>
      <c r="Q150" s="727"/>
      <c r="R150" s="741"/>
      <c r="S150" s="709">
        <f t="shared" si="15"/>
        <v>512704</v>
      </c>
    </row>
    <row r="151" spans="1:19" ht="16.5" customHeight="1">
      <c r="A151" s="713">
        <f t="shared" si="13"/>
        <v>145</v>
      </c>
      <c r="B151" s="296" t="s">
        <v>864</v>
      </c>
      <c r="C151" s="729">
        <v>41997</v>
      </c>
      <c r="D151" s="729" t="s">
        <v>854</v>
      </c>
      <c r="E151" s="25"/>
      <c r="F151" s="714"/>
      <c r="G151" s="714"/>
      <c r="H151" s="838">
        <f t="shared" si="14"/>
        <v>0.36</v>
      </c>
      <c r="I151" s="714">
        <v>63</v>
      </c>
      <c r="J151" s="714">
        <f t="shared" si="16"/>
        <v>22.68</v>
      </c>
      <c r="K151" s="714">
        <f t="shared" si="17"/>
        <v>0</v>
      </c>
      <c r="L151" s="629">
        <v>17415</v>
      </c>
      <c r="M151" s="629"/>
      <c r="N151" s="444"/>
      <c r="O151" s="739"/>
      <c r="P151" s="773"/>
      <c r="Q151" s="727"/>
      <c r="R151" s="741"/>
      <c r="S151" s="709">
        <f t="shared" si="15"/>
        <v>1097145</v>
      </c>
    </row>
    <row r="152" spans="1:19" ht="16.5" customHeight="1">
      <c r="A152" s="713">
        <f t="shared" si="13"/>
        <v>146</v>
      </c>
      <c r="B152" s="296" t="s">
        <v>442</v>
      </c>
      <c r="C152" s="729">
        <v>41998</v>
      </c>
      <c r="D152" s="729" t="s">
        <v>865</v>
      </c>
      <c r="E152" s="25"/>
      <c r="F152" s="714"/>
      <c r="G152" s="714"/>
      <c r="H152" s="838">
        <f t="shared" si="14"/>
        <v>0.36</v>
      </c>
      <c r="I152" s="714">
        <v>500</v>
      </c>
      <c r="J152" s="714">
        <f t="shared" si="16"/>
        <v>180</v>
      </c>
      <c r="K152" s="714">
        <f t="shared" si="17"/>
        <v>0</v>
      </c>
      <c r="L152" s="629">
        <v>10500</v>
      </c>
      <c r="M152" s="629"/>
      <c r="N152" s="444"/>
      <c r="O152" s="739"/>
      <c r="P152" s="773"/>
      <c r="Q152" s="727"/>
      <c r="R152" s="741"/>
      <c r="S152" s="709">
        <f t="shared" si="15"/>
        <v>5250000</v>
      </c>
    </row>
    <row r="153" spans="1:19" ht="16.5" customHeight="1">
      <c r="A153" s="713">
        <f t="shared" si="13"/>
        <v>147</v>
      </c>
      <c r="B153" s="296" t="s">
        <v>465</v>
      </c>
      <c r="C153" s="729">
        <v>41998</v>
      </c>
      <c r="D153" s="729" t="s">
        <v>866</v>
      </c>
      <c r="E153" s="25"/>
      <c r="F153" s="714"/>
      <c r="G153" s="714"/>
      <c r="H153" s="838">
        <f t="shared" si="14"/>
        <v>0.36</v>
      </c>
      <c r="I153" s="714">
        <v>1000</v>
      </c>
      <c r="J153" s="714">
        <f t="shared" si="16"/>
        <v>360</v>
      </c>
      <c r="K153" s="714">
        <f t="shared" si="17"/>
        <v>0</v>
      </c>
      <c r="L153" s="629">
        <v>8740</v>
      </c>
      <c r="M153" s="629"/>
      <c r="N153" s="444"/>
      <c r="O153" s="739"/>
      <c r="P153" s="773"/>
      <c r="Q153" s="727"/>
      <c r="R153" s="741"/>
      <c r="S153" s="709">
        <f t="shared" si="15"/>
        <v>8740000</v>
      </c>
    </row>
    <row r="154" spans="1:19" ht="16.5" customHeight="1">
      <c r="A154" s="713">
        <f t="shared" si="13"/>
        <v>148</v>
      </c>
      <c r="B154" s="296" t="s">
        <v>867</v>
      </c>
      <c r="C154" s="729">
        <v>41998</v>
      </c>
      <c r="D154" s="729" t="s">
        <v>868</v>
      </c>
      <c r="E154" s="25"/>
      <c r="F154" s="714"/>
      <c r="G154" s="714"/>
      <c r="H154" s="838">
        <f t="shared" si="14"/>
        <v>0.36</v>
      </c>
      <c r="I154" s="714">
        <v>45</v>
      </c>
      <c r="J154" s="714">
        <f t="shared" si="16"/>
        <v>16.2</v>
      </c>
      <c r="K154" s="714">
        <f t="shared" si="17"/>
        <v>0</v>
      </c>
      <c r="L154" s="629">
        <v>45400</v>
      </c>
      <c r="M154" s="629"/>
      <c r="N154" s="444"/>
      <c r="O154" s="739"/>
      <c r="P154" s="773"/>
      <c r="Q154" s="727"/>
      <c r="R154" s="741"/>
      <c r="S154" s="709">
        <f t="shared" si="15"/>
        <v>2043000</v>
      </c>
    </row>
    <row r="155" spans="1:19" ht="16.5" customHeight="1">
      <c r="A155" s="713">
        <f t="shared" si="13"/>
        <v>149</v>
      </c>
      <c r="B155" s="296" t="s">
        <v>755</v>
      </c>
      <c r="C155" s="729">
        <v>41998</v>
      </c>
      <c r="D155" s="729" t="s">
        <v>868</v>
      </c>
      <c r="E155" s="25"/>
      <c r="F155" s="714"/>
      <c r="G155" s="714"/>
      <c r="H155" s="838">
        <f t="shared" si="14"/>
        <v>0.36</v>
      </c>
      <c r="I155" s="714">
        <v>90</v>
      </c>
      <c r="J155" s="714">
        <f t="shared" si="16"/>
        <v>32.4</v>
      </c>
      <c r="K155" s="714">
        <f t="shared" si="17"/>
        <v>0</v>
      </c>
      <c r="L155" s="629">
        <v>1500</v>
      </c>
      <c r="M155" s="629"/>
      <c r="N155" s="444"/>
      <c r="O155" s="739"/>
      <c r="P155" s="773"/>
      <c r="Q155" s="727"/>
      <c r="R155" s="741"/>
      <c r="S155" s="709">
        <f t="shared" si="15"/>
        <v>135000</v>
      </c>
    </row>
    <row r="156" spans="1:19" ht="16.5" customHeight="1">
      <c r="A156" s="713">
        <f t="shared" si="13"/>
        <v>150</v>
      </c>
      <c r="B156" s="296" t="s">
        <v>869</v>
      </c>
      <c r="C156" s="729">
        <v>41999</v>
      </c>
      <c r="D156" s="729" t="s">
        <v>870</v>
      </c>
      <c r="E156" s="25"/>
      <c r="F156" s="714"/>
      <c r="G156" s="714"/>
      <c r="H156" s="838">
        <f t="shared" si="14"/>
        <v>0.36</v>
      </c>
      <c r="I156" s="714">
        <v>305</v>
      </c>
      <c r="J156" s="714">
        <f t="shared" si="16"/>
        <v>109.8</v>
      </c>
      <c r="K156" s="714">
        <f t="shared" si="17"/>
        <v>0</v>
      </c>
      <c r="L156" s="629">
        <v>10670</v>
      </c>
      <c r="M156" s="629"/>
      <c r="N156" s="444"/>
      <c r="O156" s="739"/>
      <c r="P156" s="773"/>
      <c r="Q156" s="727"/>
      <c r="R156" s="741"/>
      <c r="S156" s="709">
        <f t="shared" si="15"/>
        <v>3254350</v>
      </c>
    </row>
    <row r="157" spans="1:19" ht="16.5" customHeight="1">
      <c r="A157" s="713">
        <f t="shared" si="13"/>
        <v>151</v>
      </c>
      <c r="B157" s="296" t="s">
        <v>872</v>
      </c>
      <c r="C157" s="729">
        <v>41999</v>
      </c>
      <c r="D157" s="729" t="s">
        <v>870</v>
      </c>
      <c r="E157" s="25"/>
      <c r="F157" s="714"/>
      <c r="G157" s="714"/>
      <c r="H157" s="838">
        <f t="shared" si="14"/>
        <v>0.36</v>
      </c>
      <c r="I157" s="714">
        <v>615</v>
      </c>
      <c r="J157" s="714">
        <f t="shared" si="16"/>
        <v>221.4</v>
      </c>
      <c r="K157" s="714">
        <f t="shared" si="17"/>
        <v>0</v>
      </c>
      <c r="L157" s="629">
        <v>5700</v>
      </c>
      <c r="M157" s="629"/>
      <c r="N157" s="444"/>
      <c r="O157" s="739"/>
      <c r="P157" s="773"/>
      <c r="Q157" s="727"/>
      <c r="R157" s="741"/>
      <c r="S157" s="709">
        <f t="shared" si="15"/>
        <v>3505500</v>
      </c>
    </row>
    <row r="158" spans="1:19" ht="16.5" customHeight="1">
      <c r="A158" s="713">
        <f t="shared" si="13"/>
        <v>152</v>
      </c>
      <c r="B158" s="192" t="s">
        <v>873</v>
      </c>
      <c r="C158" s="729">
        <v>41999</v>
      </c>
      <c r="D158" s="729" t="s">
        <v>870</v>
      </c>
      <c r="E158" s="25"/>
      <c r="F158" s="714"/>
      <c r="G158" s="714"/>
      <c r="H158" s="838">
        <f t="shared" si="14"/>
        <v>0.36</v>
      </c>
      <c r="I158" s="256">
        <v>953</v>
      </c>
      <c r="J158" s="714">
        <f t="shared" si="16"/>
        <v>343.08</v>
      </c>
      <c r="K158" s="714">
        <f t="shared" si="17"/>
        <v>0</v>
      </c>
      <c r="L158" s="629">
        <v>5150</v>
      </c>
      <c r="M158" s="629"/>
      <c r="N158" s="444"/>
      <c r="O158" s="739"/>
      <c r="P158" s="773"/>
      <c r="Q158" s="727"/>
      <c r="R158" s="741"/>
      <c r="S158" s="709">
        <f t="shared" si="15"/>
        <v>4907950</v>
      </c>
    </row>
    <row r="159" spans="1:19" ht="16.5" customHeight="1">
      <c r="A159" s="713">
        <f t="shared" si="13"/>
        <v>153</v>
      </c>
      <c r="B159" s="192" t="s">
        <v>874</v>
      </c>
      <c r="C159" s="729">
        <v>41999</v>
      </c>
      <c r="D159" s="729" t="s">
        <v>870</v>
      </c>
      <c r="E159" s="25"/>
      <c r="F159" s="714"/>
      <c r="G159" s="714"/>
      <c r="H159" s="838">
        <f t="shared" si="14"/>
        <v>0.36</v>
      </c>
      <c r="I159" s="256">
        <v>300</v>
      </c>
      <c r="J159" s="714">
        <f t="shared" si="16"/>
        <v>108</v>
      </c>
      <c r="K159" s="714">
        <f t="shared" si="17"/>
        <v>0</v>
      </c>
      <c r="L159" s="629">
        <v>5300</v>
      </c>
      <c r="M159" s="629"/>
      <c r="N159" s="444"/>
      <c r="O159" s="739"/>
      <c r="P159" s="773"/>
      <c r="Q159" s="727"/>
      <c r="R159" s="741"/>
      <c r="S159" s="709">
        <f t="shared" si="15"/>
        <v>1590000</v>
      </c>
    </row>
    <row r="160" spans="1:19" ht="16.5" customHeight="1">
      <c r="A160" s="713">
        <f t="shared" si="13"/>
        <v>154</v>
      </c>
      <c r="B160" s="192" t="s">
        <v>875</v>
      </c>
      <c r="C160" s="729">
        <v>41999</v>
      </c>
      <c r="D160" s="729" t="s">
        <v>876</v>
      </c>
      <c r="E160" s="25"/>
      <c r="F160" s="714"/>
      <c r="G160" s="714"/>
      <c r="H160" s="838">
        <f t="shared" si="14"/>
        <v>0.36</v>
      </c>
      <c r="I160" s="256">
        <v>416</v>
      </c>
      <c r="J160" s="714">
        <f t="shared" si="16"/>
        <v>149.76</v>
      </c>
      <c r="K160" s="714">
        <f t="shared" si="17"/>
        <v>0</v>
      </c>
      <c r="L160" s="629">
        <v>5500</v>
      </c>
      <c r="M160" s="629"/>
      <c r="N160" s="444"/>
      <c r="O160" s="739"/>
      <c r="P160" s="773"/>
      <c r="Q160" s="727"/>
      <c r="R160" s="741"/>
      <c r="S160" s="709">
        <f t="shared" si="15"/>
        <v>2288000</v>
      </c>
    </row>
    <row r="161" spans="1:19" ht="16.5" customHeight="1">
      <c r="A161" s="713">
        <f t="shared" si="13"/>
        <v>155</v>
      </c>
      <c r="B161" s="192" t="s">
        <v>875</v>
      </c>
      <c r="C161" s="729">
        <v>41999</v>
      </c>
      <c r="D161" s="729" t="s">
        <v>876</v>
      </c>
      <c r="E161" s="25"/>
      <c r="F161" s="714"/>
      <c r="G161" s="714"/>
      <c r="H161" s="838">
        <f t="shared" si="14"/>
        <v>0.36</v>
      </c>
      <c r="I161" s="256">
        <v>602</v>
      </c>
      <c r="J161" s="714">
        <f t="shared" si="16"/>
        <v>216.72</v>
      </c>
      <c r="K161" s="714">
        <f t="shared" si="17"/>
        <v>0</v>
      </c>
      <c r="L161" s="629">
        <v>5500</v>
      </c>
      <c r="M161" s="629"/>
      <c r="N161" s="444"/>
      <c r="O161" s="739"/>
      <c r="P161" s="773"/>
      <c r="Q161" s="727"/>
      <c r="R161" s="741"/>
      <c r="S161" s="709">
        <f t="shared" si="15"/>
        <v>3311000</v>
      </c>
    </row>
    <row r="162" spans="1:19" ht="16.5" customHeight="1">
      <c r="A162" s="713">
        <f t="shared" si="13"/>
        <v>156</v>
      </c>
      <c r="B162" s="192" t="s">
        <v>877</v>
      </c>
      <c r="C162" s="729">
        <v>41999</v>
      </c>
      <c r="D162" s="729" t="s">
        <v>876</v>
      </c>
      <c r="E162" s="25"/>
      <c r="F162" s="714"/>
      <c r="G162" s="714"/>
      <c r="H162" s="838">
        <f t="shared" si="14"/>
        <v>0.36</v>
      </c>
      <c r="I162" s="256">
        <v>413</v>
      </c>
      <c r="J162" s="714">
        <f t="shared" si="16"/>
        <v>148.68</v>
      </c>
      <c r="K162" s="714">
        <f t="shared" si="17"/>
        <v>0</v>
      </c>
      <c r="L162" s="629">
        <v>5000</v>
      </c>
      <c r="M162" s="629"/>
      <c r="N162" s="444"/>
      <c r="O162" s="739"/>
      <c r="P162" s="773"/>
      <c r="Q162" s="727"/>
      <c r="R162" s="741"/>
      <c r="S162" s="709">
        <f t="shared" si="15"/>
        <v>2065000</v>
      </c>
    </row>
    <row r="163" spans="1:19" ht="16.5" customHeight="1">
      <c r="A163" s="713">
        <f t="shared" si="13"/>
        <v>157</v>
      </c>
      <c r="B163" s="192" t="s">
        <v>678</v>
      </c>
      <c r="C163" s="729">
        <v>42000</v>
      </c>
      <c r="D163" s="729" t="s">
        <v>878</v>
      </c>
      <c r="E163" s="25"/>
      <c r="F163" s="714"/>
      <c r="G163" s="714"/>
      <c r="H163" s="838">
        <f t="shared" si="14"/>
        <v>0.36</v>
      </c>
      <c r="I163" s="256">
        <v>1528</v>
      </c>
      <c r="J163" s="714">
        <f t="shared" si="16"/>
        <v>550.07999999999993</v>
      </c>
      <c r="K163" s="714">
        <f t="shared" si="17"/>
        <v>0</v>
      </c>
      <c r="L163" s="629">
        <v>9300</v>
      </c>
      <c r="M163" s="629"/>
      <c r="N163" s="444"/>
      <c r="O163" s="739"/>
      <c r="P163" s="773"/>
      <c r="Q163" s="727"/>
      <c r="R163" s="741"/>
      <c r="S163" s="709">
        <f t="shared" si="15"/>
        <v>14210400</v>
      </c>
    </row>
    <row r="164" spans="1:19" ht="16.5" customHeight="1">
      <c r="A164" s="713">
        <f t="shared" si="13"/>
        <v>158</v>
      </c>
      <c r="B164" s="192" t="s">
        <v>521</v>
      </c>
      <c r="C164" s="729">
        <v>42000</v>
      </c>
      <c r="D164" s="729" t="s">
        <v>879</v>
      </c>
      <c r="E164" s="25"/>
      <c r="F164" s="714"/>
      <c r="G164" s="714"/>
      <c r="H164" s="838">
        <f t="shared" si="14"/>
        <v>0.36</v>
      </c>
      <c r="I164" s="256">
        <v>1010</v>
      </c>
      <c r="J164" s="714">
        <f t="shared" si="16"/>
        <v>363.59999999999997</v>
      </c>
      <c r="K164" s="714">
        <f t="shared" si="17"/>
        <v>0</v>
      </c>
      <c r="L164" s="629">
        <v>12000</v>
      </c>
      <c r="M164" s="629"/>
      <c r="N164" s="444"/>
      <c r="O164" s="739"/>
      <c r="P164" s="773"/>
      <c r="Q164" s="727"/>
      <c r="R164" s="741"/>
      <c r="S164" s="709">
        <f t="shared" si="15"/>
        <v>12120000</v>
      </c>
    </row>
    <row r="165" spans="1:19" ht="16.5" customHeight="1">
      <c r="A165" s="713">
        <f t="shared" si="13"/>
        <v>159</v>
      </c>
      <c r="B165" s="192" t="s">
        <v>880</v>
      </c>
      <c r="C165" s="729">
        <v>42003</v>
      </c>
      <c r="D165" s="729" t="s">
        <v>881</v>
      </c>
      <c r="E165" s="25"/>
      <c r="F165" s="714"/>
      <c r="G165" s="714"/>
      <c r="H165" s="838">
        <f t="shared" si="14"/>
        <v>0.36</v>
      </c>
      <c r="I165" s="256">
        <v>310</v>
      </c>
      <c r="J165" s="714">
        <f t="shared" si="16"/>
        <v>111.6</v>
      </c>
      <c r="K165" s="714">
        <f t="shared" si="17"/>
        <v>0</v>
      </c>
      <c r="L165" s="629">
        <v>9400</v>
      </c>
      <c r="M165" s="629"/>
      <c r="N165" s="444"/>
      <c r="O165" s="739"/>
      <c r="P165" s="773"/>
      <c r="Q165" s="727"/>
      <c r="R165" s="741"/>
      <c r="S165" s="709">
        <f t="shared" si="15"/>
        <v>2914000</v>
      </c>
    </row>
    <row r="166" spans="1:19" ht="16.5" customHeight="1">
      <c r="A166" s="713">
        <f t="shared" si="13"/>
        <v>160</v>
      </c>
      <c r="B166" s="192" t="s">
        <v>882</v>
      </c>
      <c r="C166" s="729">
        <v>42003</v>
      </c>
      <c r="D166" s="729" t="s">
        <v>881</v>
      </c>
      <c r="E166" s="25"/>
      <c r="F166" s="714"/>
      <c r="G166" s="714"/>
      <c r="H166" s="838">
        <f t="shared" si="14"/>
        <v>0.36</v>
      </c>
      <c r="I166" s="256">
        <v>219</v>
      </c>
      <c r="J166" s="714">
        <f t="shared" si="16"/>
        <v>78.84</v>
      </c>
      <c r="K166" s="714">
        <f t="shared" si="17"/>
        <v>0</v>
      </c>
      <c r="L166" s="629">
        <v>9800</v>
      </c>
      <c r="M166" s="629"/>
      <c r="N166" s="444"/>
      <c r="O166" s="739"/>
      <c r="P166" s="773"/>
      <c r="Q166" s="727"/>
      <c r="R166" s="741"/>
      <c r="S166" s="709">
        <f t="shared" si="15"/>
        <v>2146200</v>
      </c>
    </row>
    <row r="167" spans="1:19" ht="16.5" customHeight="1">
      <c r="A167" s="713">
        <f t="shared" si="13"/>
        <v>161</v>
      </c>
      <c r="B167" s="192" t="s">
        <v>883</v>
      </c>
      <c r="C167" s="729">
        <v>42003</v>
      </c>
      <c r="D167" s="729" t="s">
        <v>884</v>
      </c>
      <c r="E167" s="25"/>
      <c r="F167" s="714"/>
      <c r="G167" s="714"/>
      <c r="H167" s="838">
        <f t="shared" si="14"/>
        <v>0.36</v>
      </c>
      <c r="I167" s="256">
        <v>30</v>
      </c>
      <c r="J167" s="714">
        <f t="shared" si="16"/>
        <v>10.799999999999999</v>
      </c>
      <c r="K167" s="714">
        <f t="shared" si="17"/>
        <v>0</v>
      </c>
      <c r="L167" s="629">
        <v>43000</v>
      </c>
      <c r="M167" s="629"/>
      <c r="N167" s="444"/>
      <c r="O167" s="739"/>
      <c r="P167" s="773"/>
      <c r="Q167" s="727"/>
      <c r="R167" s="741"/>
      <c r="S167" s="709">
        <f t="shared" si="15"/>
        <v>1290000</v>
      </c>
    </row>
    <row r="168" spans="1:19" ht="16.5" customHeight="1">
      <c r="A168" s="713">
        <f t="shared" si="13"/>
        <v>162</v>
      </c>
      <c r="B168" s="192" t="s">
        <v>755</v>
      </c>
      <c r="C168" s="729">
        <v>42003</v>
      </c>
      <c r="D168" s="729" t="s">
        <v>884</v>
      </c>
      <c r="E168" s="25"/>
      <c r="F168" s="714"/>
      <c r="G168" s="714"/>
      <c r="H168" s="838">
        <f t="shared" si="14"/>
        <v>0.36</v>
      </c>
      <c r="I168" s="256">
        <v>60</v>
      </c>
      <c r="J168" s="714">
        <f t="shared" si="16"/>
        <v>21.599999999999998</v>
      </c>
      <c r="K168" s="714">
        <f t="shared" si="17"/>
        <v>0</v>
      </c>
      <c r="L168" s="629">
        <v>1500</v>
      </c>
      <c r="M168" s="629"/>
      <c r="N168" s="444"/>
      <c r="O168" s="739"/>
      <c r="P168" s="773"/>
      <c r="Q168" s="727"/>
      <c r="R168" s="741"/>
      <c r="S168" s="709">
        <f t="shared" si="15"/>
        <v>90000</v>
      </c>
    </row>
    <row r="169" spans="1:19" ht="16.5" customHeight="1">
      <c r="A169" s="713">
        <f t="shared" si="13"/>
        <v>163</v>
      </c>
      <c r="B169" s="192" t="s">
        <v>560</v>
      </c>
      <c r="C169" s="729">
        <v>42003</v>
      </c>
      <c r="D169" s="729" t="s">
        <v>885</v>
      </c>
      <c r="E169" s="25"/>
      <c r="F169" s="714"/>
      <c r="G169" s="714"/>
      <c r="H169" s="838">
        <f t="shared" si="14"/>
        <v>0.36</v>
      </c>
      <c r="I169" s="256">
        <v>650</v>
      </c>
      <c r="J169" s="714">
        <f t="shared" si="16"/>
        <v>234</v>
      </c>
      <c r="K169" s="714">
        <f t="shared" si="17"/>
        <v>0</v>
      </c>
      <c r="L169" s="629">
        <v>25000</v>
      </c>
      <c r="M169" s="629"/>
      <c r="N169" s="444"/>
      <c r="O169" s="739"/>
      <c r="P169" s="773"/>
      <c r="Q169" s="727"/>
      <c r="R169" s="741"/>
      <c r="S169" s="709">
        <f t="shared" si="15"/>
        <v>16250000</v>
      </c>
    </row>
    <row r="170" spans="1:19" ht="16.5" customHeight="1">
      <c r="A170" s="713">
        <f t="shared" si="13"/>
        <v>164</v>
      </c>
      <c r="B170" s="192" t="s">
        <v>518</v>
      </c>
      <c r="C170" s="729">
        <v>42004</v>
      </c>
      <c r="D170" s="729" t="s">
        <v>887</v>
      </c>
      <c r="E170" s="25"/>
      <c r="F170" s="714"/>
      <c r="G170" s="714"/>
      <c r="H170" s="838">
        <f t="shared" si="14"/>
        <v>0.36</v>
      </c>
      <c r="I170" s="256">
        <v>307</v>
      </c>
      <c r="J170" s="714">
        <f t="shared" si="16"/>
        <v>110.52</v>
      </c>
      <c r="K170" s="714">
        <f t="shared" si="17"/>
        <v>0</v>
      </c>
      <c r="L170" s="629">
        <v>7000</v>
      </c>
      <c r="M170" s="629"/>
      <c r="N170" s="444"/>
      <c r="O170" s="739"/>
      <c r="P170" s="773"/>
      <c r="Q170" s="727"/>
      <c r="R170" s="741"/>
      <c r="S170" s="709">
        <f t="shared" si="15"/>
        <v>2149000</v>
      </c>
    </row>
    <row r="171" spans="1:19" ht="16.5" customHeight="1">
      <c r="A171" s="713">
        <f t="shared" si="13"/>
        <v>165</v>
      </c>
      <c r="B171" s="192" t="s">
        <v>492</v>
      </c>
      <c r="C171" s="729">
        <v>42004</v>
      </c>
      <c r="D171" s="729" t="s">
        <v>887</v>
      </c>
      <c r="E171" s="25"/>
      <c r="F171" s="714"/>
      <c r="G171" s="714"/>
      <c r="H171" s="838">
        <f t="shared" si="14"/>
        <v>0.36</v>
      </c>
      <c r="I171" s="256">
        <v>200</v>
      </c>
      <c r="J171" s="714">
        <f t="shared" si="16"/>
        <v>72</v>
      </c>
      <c r="K171" s="714">
        <f t="shared" si="17"/>
        <v>0</v>
      </c>
      <c r="L171" s="629">
        <v>9300</v>
      </c>
      <c r="M171" s="629"/>
      <c r="N171" s="444"/>
      <c r="O171" s="739"/>
      <c r="P171" s="773"/>
      <c r="Q171" s="727"/>
      <c r="R171" s="741"/>
      <c r="S171" s="709">
        <f t="shared" si="15"/>
        <v>1860000</v>
      </c>
    </row>
    <row r="172" spans="1:19" ht="16.5" customHeight="1">
      <c r="A172" s="713">
        <f t="shared" si="13"/>
        <v>166</v>
      </c>
      <c r="B172" s="192" t="s">
        <v>784</v>
      </c>
      <c r="C172" s="729">
        <v>42004</v>
      </c>
      <c r="D172" s="729" t="s">
        <v>888</v>
      </c>
      <c r="E172" s="25"/>
      <c r="F172" s="714"/>
      <c r="G172" s="714"/>
      <c r="H172" s="838">
        <f t="shared" si="14"/>
        <v>0.36</v>
      </c>
      <c r="I172" s="256">
        <v>2500</v>
      </c>
      <c r="J172" s="714">
        <f t="shared" si="16"/>
        <v>900</v>
      </c>
      <c r="K172" s="714">
        <f t="shared" si="17"/>
        <v>0</v>
      </c>
      <c r="L172" s="629">
        <v>6500</v>
      </c>
      <c r="M172" s="629"/>
      <c r="N172" s="444"/>
      <c r="O172" s="739"/>
      <c r="P172" s="773"/>
      <c r="Q172" s="727"/>
      <c r="R172" s="741"/>
      <c r="S172" s="709">
        <f t="shared" si="15"/>
        <v>16250000</v>
      </c>
    </row>
    <row r="173" spans="1:19" ht="16.5" customHeight="1">
      <c r="A173" s="713">
        <f t="shared" si="13"/>
        <v>167</v>
      </c>
      <c r="B173" s="192" t="s">
        <v>889</v>
      </c>
      <c r="C173" s="729">
        <v>42004</v>
      </c>
      <c r="D173" s="729" t="s">
        <v>890</v>
      </c>
      <c r="E173" s="25"/>
      <c r="F173" s="714"/>
      <c r="G173" s="714"/>
      <c r="H173" s="838">
        <f t="shared" si="14"/>
        <v>0.36</v>
      </c>
      <c r="I173" s="256">
        <v>2050</v>
      </c>
      <c r="J173" s="714">
        <f t="shared" si="16"/>
        <v>738</v>
      </c>
      <c r="K173" s="714">
        <f t="shared" si="17"/>
        <v>0</v>
      </c>
      <c r="L173" s="629">
        <v>3750</v>
      </c>
      <c r="M173" s="629"/>
      <c r="N173" s="444"/>
      <c r="O173" s="739"/>
      <c r="P173" s="773"/>
      <c r="Q173" s="727"/>
      <c r="R173" s="741"/>
      <c r="S173" s="709">
        <f t="shared" si="15"/>
        <v>7687500</v>
      </c>
    </row>
    <row r="174" spans="1:19" ht="16.5" customHeight="1">
      <c r="A174" s="713">
        <f t="shared" si="13"/>
        <v>168</v>
      </c>
      <c r="B174" s="192" t="s">
        <v>891</v>
      </c>
      <c r="C174" s="729">
        <v>42004</v>
      </c>
      <c r="D174" s="729" t="s">
        <v>890</v>
      </c>
      <c r="E174" s="25"/>
      <c r="F174" s="714"/>
      <c r="G174" s="714"/>
      <c r="H174" s="838">
        <f t="shared" si="14"/>
        <v>0.36</v>
      </c>
      <c r="I174" s="256">
        <v>210</v>
      </c>
      <c r="J174" s="714">
        <f t="shared" si="16"/>
        <v>75.599999999999994</v>
      </c>
      <c r="K174" s="714">
        <f t="shared" si="17"/>
        <v>0</v>
      </c>
      <c r="L174" s="629">
        <v>5000</v>
      </c>
      <c r="M174" s="629"/>
      <c r="N174" s="444"/>
      <c r="O174" s="739"/>
      <c r="P174" s="773"/>
      <c r="Q174" s="727"/>
      <c r="R174" s="741"/>
      <c r="S174" s="709">
        <f t="shared" si="15"/>
        <v>1050000</v>
      </c>
    </row>
    <row r="175" spans="1:19" ht="16.5" customHeight="1">
      <c r="A175" s="713">
        <f t="shared" si="13"/>
        <v>169</v>
      </c>
      <c r="B175" s="192" t="s">
        <v>892</v>
      </c>
      <c r="C175" s="729">
        <v>42004</v>
      </c>
      <c r="D175" s="729" t="s">
        <v>890</v>
      </c>
      <c r="E175" s="25"/>
      <c r="F175" s="714"/>
      <c r="G175" s="714"/>
      <c r="H175" s="838">
        <f t="shared" si="14"/>
        <v>0.36</v>
      </c>
      <c r="I175" s="256">
        <v>130</v>
      </c>
      <c r="J175" s="714">
        <f t="shared" si="16"/>
        <v>46.8</v>
      </c>
      <c r="K175" s="714">
        <f t="shared" si="17"/>
        <v>0</v>
      </c>
      <c r="L175" s="629">
        <v>5200</v>
      </c>
      <c r="M175" s="629"/>
      <c r="N175" s="444"/>
      <c r="O175" s="739"/>
      <c r="P175" s="773"/>
      <c r="Q175" s="727"/>
      <c r="R175" s="741"/>
      <c r="S175" s="709">
        <f t="shared" si="15"/>
        <v>676000</v>
      </c>
    </row>
    <row r="176" spans="1:19" ht="16.5" customHeight="1">
      <c r="A176" s="713">
        <f t="shared" si="13"/>
        <v>170</v>
      </c>
      <c r="B176" s="192" t="s">
        <v>893</v>
      </c>
      <c r="C176" s="729">
        <v>42004</v>
      </c>
      <c r="D176" s="729" t="s">
        <v>890</v>
      </c>
      <c r="E176" s="25"/>
      <c r="F176" s="714"/>
      <c r="G176" s="714"/>
      <c r="H176" s="838">
        <f t="shared" si="14"/>
        <v>0.36</v>
      </c>
      <c r="I176" s="256">
        <v>170</v>
      </c>
      <c r="J176" s="714">
        <f t="shared" si="16"/>
        <v>61.199999999999996</v>
      </c>
      <c r="K176" s="714">
        <f t="shared" si="17"/>
        <v>0</v>
      </c>
      <c r="L176" s="629">
        <v>4650</v>
      </c>
      <c r="M176" s="629"/>
      <c r="N176" s="444"/>
      <c r="O176" s="739"/>
      <c r="P176" s="773"/>
      <c r="Q176" s="727"/>
      <c r="R176" s="741"/>
      <c r="S176" s="709">
        <f t="shared" si="15"/>
        <v>790500</v>
      </c>
    </row>
    <row r="177" spans="1:19" ht="16.5" customHeight="1">
      <c r="A177" s="713">
        <f t="shared" si="13"/>
        <v>171</v>
      </c>
      <c r="B177" s="192" t="s">
        <v>894</v>
      </c>
      <c r="C177" s="729">
        <v>42004</v>
      </c>
      <c r="D177" s="729" t="s">
        <v>895</v>
      </c>
      <c r="E177" s="25"/>
      <c r="F177" s="714"/>
      <c r="G177" s="714"/>
      <c r="H177" s="838">
        <f t="shared" si="14"/>
        <v>0.36</v>
      </c>
      <c r="I177" s="256">
        <v>200</v>
      </c>
      <c r="J177" s="714">
        <f t="shared" si="16"/>
        <v>72</v>
      </c>
      <c r="K177" s="714">
        <f t="shared" si="17"/>
        <v>0</v>
      </c>
      <c r="L177" s="629">
        <v>10600</v>
      </c>
      <c r="M177" s="629"/>
      <c r="N177" s="444"/>
      <c r="O177" s="739"/>
      <c r="P177" s="773"/>
      <c r="Q177" s="727"/>
      <c r="R177" s="741"/>
      <c r="S177" s="709">
        <f t="shared" si="15"/>
        <v>2120000</v>
      </c>
    </row>
    <row r="178" spans="1:19" ht="16.5" customHeight="1">
      <c r="A178" s="713">
        <f t="shared" si="13"/>
        <v>172</v>
      </c>
      <c r="B178" s="192" t="s">
        <v>897</v>
      </c>
      <c r="C178" s="729">
        <v>42004</v>
      </c>
      <c r="D178" s="729" t="s">
        <v>895</v>
      </c>
      <c r="E178" s="25"/>
      <c r="F178" s="714"/>
      <c r="G178" s="714"/>
      <c r="H178" s="838">
        <f t="shared" si="14"/>
        <v>0.36</v>
      </c>
      <c r="I178" s="256">
        <v>100</v>
      </c>
      <c r="J178" s="714">
        <f t="shared" si="16"/>
        <v>36</v>
      </c>
      <c r="K178" s="714">
        <f t="shared" si="17"/>
        <v>0</v>
      </c>
      <c r="L178" s="629">
        <v>45000</v>
      </c>
      <c r="M178" s="629"/>
      <c r="N178" s="444"/>
      <c r="O178" s="739"/>
      <c r="P178" s="773"/>
      <c r="Q178" s="727"/>
      <c r="R178" s="741"/>
      <c r="S178" s="709">
        <f t="shared" si="15"/>
        <v>4500000</v>
      </c>
    </row>
    <row r="179" spans="1:19" ht="16.5" customHeight="1">
      <c r="A179" s="713">
        <f t="shared" si="13"/>
        <v>173</v>
      </c>
      <c r="B179" s="192" t="s">
        <v>898</v>
      </c>
      <c r="C179" s="729">
        <v>42004</v>
      </c>
      <c r="D179" s="729" t="s">
        <v>895</v>
      </c>
      <c r="E179" s="25"/>
      <c r="F179" s="714"/>
      <c r="G179" s="714"/>
      <c r="H179" s="838">
        <f t="shared" si="14"/>
        <v>0.36</v>
      </c>
      <c r="I179" s="256">
        <v>100</v>
      </c>
      <c r="J179" s="714">
        <f t="shared" si="16"/>
        <v>36</v>
      </c>
      <c r="K179" s="714">
        <f t="shared" si="17"/>
        <v>0</v>
      </c>
      <c r="L179" s="629">
        <v>45300</v>
      </c>
      <c r="M179" s="629"/>
      <c r="N179" s="444"/>
      <c r="O179" s="739"/>
      <c r="P179" s="773"/>
      <c r="Q179" s="727"/>
      <c r="R179" s="741"/>
      <c r="S179" s="709">
        <f t="shared" si="15"/>
        <v>4530000</v>
      </c>
    </row>
    <row r="180" spans="1:19" ht="16.5" customHeight="1">
      <c r="A180" s="713">
        <f t="shared" si="13"/>
        <v>174</v>
      </c>
      <c r="B180" s="192" t="s">
        <v>899</v>
      </c>
      <c r="C180" s="729">
        <v>42004</v>
      </c>
      <c r="D180" s="729" t="s">
        <v>895</v>
      </c>
      <c r="E180" s="25"/>
      <c r="F180" s="714"/>
      <c r="G180" s="714"/>
      <c r="H180" s="838">
        <f t="shared" si="14"/>
        <v>0.36</v>
      </c>
      <c r="I180" s="256">
        <v>150</v>
      </c>
      <c r="J180" s="714">
        <f t="shared" si="16"/>
        <v>54</v>
      </c>
      <c r="K180" s="714">
        <f t="shared" si="17"/>
        <v>0</v>
      </c>
      <c r="L180" s="629">
        <v>38800</v>
      </c>
      <c r="M180" s="629"/>
      <c r="N180" s="444"/>
      <c r="O180" s="739"/>
      <c r="P180" s="773"/>
      <c r="Q180" s="727"/>
      <c r="R180" s="741"/>
      <c r="S180" s="709">
        <f t="shared" si="15"/>
        <v>5820000</v>
      </c>
    </row>
    <row r="181" spans="1:19" ht="16.5" customHeight="1">
      <c r="A181" s="713">
        <f t="shared" si="13"/>
        <v>175</v>
      </c>
      <c r="B181" s="192" t="s">
        <v>900</v>
      </c>
      <c r="C181" s="729">
        <v>42004</v>
      </c>
      <c r="D181" s="729" t="s">
        <v>901</v>
      </c>
      <c r="E181" s="25"/>
      <c r="F181" s="714"/>
      <c r="G181" s="714"/>
      <c r="H181" s="838">
        <f t="shared" si="14"/>
        <v>0.36</v>
      </c>
      <c r="I181" s="256">
        <v>1280</v>
      </c>
      <c r="J181" s="714">
        <f t="shared" si="16"/>
        <v>460.79999999999995</v>
      </c>
      <c r="K181" s="714">
        <f t="shared" si="17"/>
        <v>0</v>
      </c>
      <c r="L181" s="629">
        <v>11110</v>
      </c>
      <c r="M181" s="629"/>
      <c r="N181" s="444"/>
      <c r="O181" s="739"/>
      <c r="P181" s="773"/>
      <c r="Q181" s="727"/>
      <c r="R181" s="741"/>
      <c r="S181" s="709">
        <f t="shared" si="15"/>
        <v>14220800</v>
      </c>
    </row>
    <row r="182" spans="1:19" ht="16.5" customHeight="1">
      <c r="A182" s="713"/>
      <c r="B182" s="296"/>
      <c r="C182" s="730"/>
      <c r="D182" s="729"/>
      <c r="E182" s="25"/>
      <c r="F182" s="714"/>
      <c r="G182" s="714"/>
      <c r="H182" s="714"/>
      <c r="I182" s="714"/>
      <c r="J182" s="714"/>
      <c r="K182" s="714"/>
      <c r="L182" s="629"/>
      <c r="M182" s="629"/>
      <c r="N182" s="444"/>
      <c r="O182" s="739"/>
      <c r="P182" s="773"/>
      <c r="Q182" s="727"/>
      <c r="R182" s="741"/>
    </row>
    <row r="183" spans="1:19" s="735" customFormat="1" ht="16.5" customHeight="1">
      <c r="A183" s="715"/>
      <c r="B183" s="716" t="s">
        <v>251</v>
      </c>
      <c r="C183" s="738"/>
      <c r="D183" s="834"/>
      <c r="E183" s="516"/>
      <c r="F183" s="516"/>
      <c r="G183" s="516"/>
      <c r="H183" s="842">
        <f>ROUND(SUM(H7:H182),2)</f>
        <v>63</v>
      </c>
      <c r="I183" s="516">
        <f>ROUND(SUM(I7:I182),2)</f>
        <v>114931</v>
      </c>
      <c r="J183" s="516">
        <f>ROUND(SUM(J7:J182),2)</f>
        <v>41375.160000000003</v>
      </c>
      <c r="K183" s="516"/>
      <c r="L183" s="629"/>
      <c r="M183" s="629"/>
      <c r="N183" s="444"/>
      <c r="O183" s="739"/>
      <c r="P183" s="773"/>
      <c r="Q183" s="727"/>
      <c r="R183" s="741"/>
      <c r="S183" s="516">
        <f>ROUND(SUM(S7:S182),2)</f>
        <v>905844497</v>
      </c>
    </row>
    <row r="184" spans="1:19" s="710" customFormat="1">
      <c r="A184" s="709"/>
      <c r="B184" s="709"/>
      <c r="C184" s="723"/>
      <c r="D184" s="830"/>
      <c r="E184" s="709"/>
      <c r="F184" s="709"/>
      <c r="G184" s="709"/>
      <c r="H184" s="709"/>
      <c r="I184" s="709"/>
      <c r="J184" s="709"/>
      <c r="K184" s="709"/>
      <c r="L184" s="629"/>
      <c r="M184" s="629"/>
      <c r="N184" s="444"/>
      <c r="O184" s="739"/>
      <c r="P184" s="773"/>
      <c r="Q184" s="727"/>
      <c r="R184" s="741"/>
    </row>
    <row r="185" spans="1:19">
      <c r="L185" s="629"/>
      <c r="M185" s="629"/>
      <c r="N185" s="444"/>
      <c r="O185" s="739"/>
      <c r="P185" s="773"/>
      <c r="Q185" s="727"/>
      <c r="R185" s="741"/>
    </row>
    <row r="186" spans="1:19">
      <c r="L186" s="629"/>
      <c r="M186" s="629"/>
      <c r="N186" s="444"/>
      <c r="O186" s="739"/>
      <c r="P186" s="773"/>
      <c r="Q186" s="727"/>
      <c r="R186" s="741"/>
    </row>
    <row r="187" spans="1:19">
      <c r="L187" s="629"/>
      <c r="M187" s="629"/>
      <c r="N187" s="444"/>
      <c r="O187" s="739"/>
      <c r="P187" s="773"/>
      <c r="Q187" s="727"/>
      <c r="R187" s="741"/>
    </row>
    <row r="188" spans="1:19">
      <c r="N188" s="444"/>
      <c r="O188" s="739"/>
      <c r="P188" s="773"/>
      <c r="Q188" s="727"/>
      <c r="R188" s="741"/>
    </row>
    <row r="189" spans="1:19">
      <c r="N189" s="444"/>
      <c r="O189" s="739"/>
      <c r="P189" s="773"/>
      <c r="Q189" s="727"/>
      <c r="R189" s="741"/>
    </row>
    <row r="190" spans="1:19">
      <c r="N190" s="444"/>
      <c r="O190" s="739"/>
      <c r="P190" s="773"/>
      <c r="Q190" s="727"/>
      <c r="R190" s="741"/>
    </row>
    <row r="191" spans="1:19">
      <c r="N191" s="444"/>
      <c r="O191" s="739"/>
      <c r="P191" s="773"/>
      <c r="Q191" s="727"/>
      <c r="R191" s="741"/>
    </row>
    <row r="192" spans="1:19">
      <c r="N192" s="444"/>
      <c r="O192" s="739"/>
      <c r="P192" s="773"/>
      <c r="Q192" s="727"/>
      <c r="R192" s="741"/>
    </row>
    <row r="193" spans="14:18">
      <c r="N193" s="444"/>
      <c r="O193" s="739"/>
      <c r="P193" s="773"/>
      <c r="Q193" s="727"/>
      <c r="R193" s="741"/>
    </row>
    <row r="194" spans="14:18">
      <c r="N194" s="444"/>
      <c r="O194" s="739"/>
      <c r="P194" s="773"/>
      <c r="Q194" s="727"/>
      <c r="R194" s="741"/>
    </row>
    <row r="195" spans="14:18">
      <c r="N195" s="444"/>
      <c r="O195" s="739"/>
      <c r="P195" s="773"/>
      <c r="Q195" s="727"/>
      <c r="R195" s="741"/>
    </row>
    <row r="196" spans="14:18">
      <c r="N196" s="444"/>
      <c r="O196" s="739"/>
      <c r="P196" s="773"/>
      <c r="Q196" s="727"/>
      <c r="R196" s="741"/>
    </row>
    <row r="197" spans="14:18">
      <c r="N197" s="444"/>
      <c r="O197" s="739"/>
      <c r="P197" s="773"/>
      <c r="Q197" s="727"/>
      <c r="R197" s="741"/>
    </row>
    <row r="198" spans="14:18">
      <c r="N198" s="444"/>
      <c r="O198" s="739"/>
      <c r="P198" s="773"/>
      <c r="Q198" s="727"/>
      <c r="R198" s="741"/>
    </row>
    <row r="199" spans="14:18">
      <c r="N199" s="444"/>
      <c r="O199" s="739"/>
      <c r="P199" s="773"/>
      <c r="Q199" s="727"/>
      <c r="R199" s="741"/>
    </row>
    <row r="200" spans="14:18">
      <c r="N200" s="444"/>
      <c r="O200" s="739"/>
      <c r="P200" s="773"/>
      <c r="Q200" s="727"/>
      <c r="R200" s="741"/>
    </row>
    <row r="201" spans="14:18">
      <c r="N201" s="444"/>
      <c r="O201" s="739"/>
      <c r="P201" s="773"/>
      <c r="Q201" s="727"/>
      <c r="R201" s="741"/>
    </row>
    <row r="202" spans="14:18">
      <c r="N202" s="444"/>
      <c r="O202" s="739"/>
      <c r="P202" s="773"/>
      <c r="Q202" s="727"/>
      <c r="R202" s="741"/>
    </row>
    <row r="203" spans="14:18">
      <c r="N203" s="444"/>
      <c r="O203" s="739"/>
      <c r="P203" s="773"/>
      <c r="Q203" s="727"/>
      <c r="R203" s="741"/>
    </row>
    <row r="204" spans="14:18">
      <c r="N204" s="444"/>
      <c r="O204" s="739"/>
      <c r="P204" s="773"/>
      <c r="Q204" s="727"/>
      <c r="R204" s="741"/>
    </row>
    <row r="205" spans="14:18">
      <c r="N205" s="444"/>
      <c r="O205" s="739"/>
      <c r="P205" s="773"/>
      <c r="Q205" s="727"/>
      <c r="R205" s="741"/>
    </row>
    <row r="206" spans="14:18">
      <c r="N206" s="444"/>
      <c r="O206" s="739"/>
      <c r="P206" s="773"/>
      <c r="Q206" s="727"/>
      <c r="R206" s="741"/>
    </row>
    <row r="207" spans="14:18">
      <c r="N207" s="444"/>
      <c r="O207" s="739"/>
      <c r="P207" s="773"/>
      <c r="Q207" s="727"/>
      <c r="R207" s="741"/>
    </row>
    <row r="208" spans="14:18">
      <c r="N208" s="444"/>
      <c r="O208" s="739"/>
      <c r="P208" s="773"/>
      <c r="Q208" s="727"/>
      <c r="R208" s="741"/>
    </row>
    <row r="209" spans="14:18">
      <c r="N209" s="444"/>
      <c r="O209" s="739"/>
      <c r="P209" s="773"/>
      <c r="Q209" s="727"/>
      <c r="R209" s="741"/>
    </row>
    <row r="210" spans="14:18">
      <c r="N210" s="444"/>
      <c r="O210" s="739"/>
      <c r="P210" s="773"/>
      <c r="Q210" s="727"/>
      <c r="R210" s="741"/>
    </row>
    <row r="211" spans="14:18">
      <c r="N211" s="444"/>
      <c r="O211" s="739"/>
      <c r="P211" s="773"/>
      <c r="Q211" s="727"/>
      <c r="R211" s="741"/>
    </row>
    <row r="212" spans="14:18">
      <c r="N212" s="444"/>
      <c r="O212" s="739"/>
      <c r="P212" s="773"/>
      <c r="Q212" s="727"/>
      <c r="R212" s="741"/>
    </row>
    <row r="213" spans="14:18">
      <c r="N213" s="444"/>
      <c r="O213" s="739"/>
      <c r="P213" s="773"/>
      <c r="Q213" s="727"/>
      <c r="R213" s="741"/>
    </row>
    <row r="214" spans="14:18">
      <c r="N214" s="444"/>
      <c r="O214" s="739"/>
      <c r="P214" s="773"/>
      <c r="Q214" s="727"/>
      <c r="R214" s="741"/>
    </row>
    <row r="215" spans="14:18">
      <c r="N215" s="444"/>
      <c r="O215" s="739"/>
      <c r="P215" s="773"/>
      <c r="Q215" s="727"/>
      <c r="R215" s="741"/>
    </row>
    <row r="216" spans="14:18">
      <c r="N216" s="444"/>
      <c r="O216" s="739"/>
      <c r="P216" s="773"/>
      <c r="Q216" s="727"/>
      <c r="R216" s="741"/>
    </row>
    <row r="217" spans="14:18">
      <c r="N217" s="444"/>
      <c r="O217" s="739"/>
      <c r="P217" s="773"/>
      <c r="Q217" s="727"/>
      <c r="R217" s="741"/>
    </row>
    <row r="218" spans="14:18">
      <c r="N218" s="444"/>
      <c r="O218" s="739"/>
      <c r="P218" s="773"/>
      <c r="Q218" s="727"/>
      <c r="R218" s="741"/>
    </row>
    <row r="219" spans="14:18">
      <c r="N219" s="444"/>
      <c r="O219" s="739"/>
      <c r="P219" s="773"/>
      <c r="Q219" s="727"/>
      <c r="R219" s="741"/>
    </row>
    <row r="220" spans="14:18">
      <c r="N220" s="444"/>
      <c r="O220" s="739"/>
      <c r="P220" s="773"/>
      <c r="Q220" s="727"/>
      <c r="R220" s="741"/>
    </row>
    <row r="221" spans="14:18">
      <c r="N221" s="444"/>
      <c r="O221" s="739"/>
      <c r="P221" s="773"/>
      <c r="Q221" s="727"/>
      <c r="R221" s="741"/>
    </row>
    <row r="222" spans="14:18">
      <c r="N222" s="444"/>
      <c r="O222" s="739"/>
      <c r="P222" s="773"/>
      <c r="Q222" s="727"/>
      <c r="R222" s="741"/>
    </row>
    <row r="223" spans="14:18">
      <c r="N223" s="444"/>
      <c r="O223" s="739"/>
      <c r="P223" s="773"/>
      <c r="Q223" s="727"/>
      <c r="R223" s="741"/>
    </row>
    <row r="224" spans="14:18">
      <c r="N224" s="444"/>
      <c r="O224" s="739"/>
      <c r="P224" s="773"/>
      <c r="Q224" s="727"/>
      <c r="R224" s="741"/>
    </row>
    <row r="225" spans="14:18">
      <c r="N225" s="444"/>
      <c r="O225" s="739"/>
      <c r="P225" s="773"/>
      <c r="Q225" s="727"/>
      <c r="R225" s="741"/>
    </row>
    <row r="226" spans="14:18">
      <c r="N226" s="444"/>
      <c r="O226" s="739"/>
      <c r="P226" s="773"/>
      <c r="Q226" s="727"/>
      <c r="R226" s="741"/>
    </row>
    <row r="227" spans="14:18">
      <c r="N227" s="444"/>
      <c r="O227" s="739"/>
      <c r="P227" s="773"/>
      <c r="Q227" s="727"/>
      <c r="R227" s="741"/>
    </row>
    <row r="228" spans="14:18">
      <c r="N228" s="444"/>
      <c r="O228" s="739"/>
      <c r="P228" s="773"/>
      <c r="Q228" s="727"/>
      <c r="R228" s="741"/>
    </row>
    <row r="229" spans="14:18">
      <c r="N229" s="444"/>
      <c r="O229" s="739"/>
      <c r="P229" s="773"/>
      <c r="Q229" s="727"/>
      <c r="R229" s="741"/>
    </row>
    <row r="230" spans="14:18">
      <c r="N230" s="444"/>
      <c r="O230" s="739"/>
      <c r="P230" s="773"/>
      <c r="Q230" s="727"/>
      <c r="R230" s="741"/>
    </row>
    <row r="231" spans="14:18">
      <c r="N231" s="444"/>
      <c r="O231" s="739"/>
      <c r="P231" s="773"/>
      <c r="Q231" s="727"/>
      <c r="R231" s="741"/>
    </row>
    <row r="232" spans="14:18">
      <c r="N232" s="444"/>
      <c r="O232" s="739"/>
      <c r="P232" s="773"/>
      <c r="Q232" s="727"/>
      <c r="R232" s="741"/>
    </row>
    <row r="233" spans="14:18">
      <c r="N233" s="444"/>
      <c r="O233" s="739"/>
      <c r="P233" s="773"/>
      <c r="Q233" s="727"/>
      <c r="R233" s="741"/>
    </row>
    <row r="234" spans="14:18">
      <c r="N234" s="444"/>
      <c r="O234" s="739"/>
      <c r="P234" s="773"/>
      <c r="Q234" s="727"/>
      <c r="R234" s="741"/>
    </row>
    <row r="235" spans="14:18">
      <c r="N235" s="444"/>
      <c r="O235" s="739"/>
      <c r="P235" s="773"/>
      <c r="Q235" s="727"/>
      <c r="R235" s="741"/>
    </row>
    <row r="236" spans="14:18">
      <c r="N236" s="444"/>
      <c r="O236" s="739"/>
      <c r="P236" s="773"/>
      <c r="Q236" s="727"/>
      <c r="R236" s="741"/>
    </row>
    <row r="237" spans="14:18">
      <c r="N237" s="444"/>
      <c r="O237" s="739"/>
      <c r="P237" s="773"/>
      <c r="Q237" s="727"/>
      <c r="R237" s="741"/>
    </row>
    <row r="238" spans="14:18">
      <c r="N238" s="444"/>
      <c r="O238" s="739"/>
      <c r="P238" s="773"/>
      <c r="Q238" s="727"/>
      <c r="R238" s="741"/>
    </row>
    <row r="239" spans="14:18">
      <c r="N239" s="444"/>
      <c r="O239" s="739"/>
      <c r="P239" s="773"/>
      <c r="Q239" s="727"/>
      <c r="R239" s="741"/>
    </row>
    <row r="240" spans="14:18">
      <c r="N240" s="444"/>
      <c r="O240" s="739"/>
      <c r="P240" s="773"/>
      <c r="Q240" s="727"/>
      <c r="R240" s="741"/>
    </row>
    <row r="241" spans="14:18">
      <c r="N241" s="444"/>
      <c r="O241" s="739"/>
      <c r="P241" s="773"/>
      <c r="Q241" s="727"/>
      <c r="R241" s="741"/>
    </row>
    <row r="242" spans="14:18">
      <c r="N242" s="444"/>
      <c r="O242" s="739"/>
      <c r="P242" s="773"/>
      <c r="Q242" s="727"/>
      <c r="R242" s="741"/>
    </row>
    <row r="243" spans="14:18">
      <c r="N243" s="444"/>
      <c r="O243" s="739"/>
      <c r="P243" s="773"/>
      <c r="Q243" s="727"/>
      <c r="R243" s="741"/>
    </row>
    <row r="244" spans="14:18">
      <c r="N244" s="444"/>
      <c r="O244" s="739"/>
      <c r="P244" s="773"/>
      <c r="Q244" s="727"/>
      <c r="R244" s="741"/>
    </row>
    <row r="245" spans="14:18">
      <c r="N245" s="444"/>
      <c r="O245" s="739"/>
      <c r="P245" s="773"/>
      <c r="Q245" s="727"/>
      <c r="R245" s="741"/>
    </row>
    <row r="246" spans="14:18">
      <c r="N246" s="444"/>
      <c r="O246" s="739"/>
      <c r="P246" s="773"/>
      <c r="Q246" s="727"/>
      <c r="R246" s="741"/>
    </row>
    <row r="247" spans="14:18">
      <c r="N247" s="444"/>
      <c r="O247" s="739"/>
      <c r="P247" s="773"/>
      <c r="Q247" s="727"/>
      <c r="R247" s="741"/>
    </row>
    <row r="248" spans="14:18">
      <c r="N248" s="444"/>
      <c r="O248" s="739"/>
      <c r="P248" s="773"/>
      <c r="Q248" s="727"/>
      <c r="R248" s="741"/>
    </row>
    <row r="249" spans="14:18">
      <c r="N249" s="444"/>
      <c r="O249" s="739"/>
      <c r="P249" s="773"/>
      <c r="Q249" s="727"/>
      <c r="R249" s="741"/>
    </row>
    <row r="250" spans="14:18">
      <c r="N250" s="444"/>
      <c r="O250" s="739"/>
      <c r="P250" s="773"/>
      <c r="Q250" s="727"/>
      <c r="R250" s="741"/>
    </row>
    <row r="251" spans="14:18">
      <c r="N251" s="444"/>
      <c r="O251" s="739"/>
      <c r="P251" s="773"/>
      <c r="Q251" s="727"/>
      <c r="R251" s="741"/>
    </row>
    <row r="252" spans="14:18">
      <c r="N252" s="444"/>
      <c r="O252" s="739"/>
      <c r="P252" s="773"/>
      <c r="Q252" s="727"/>
      <c r="R252" s="741"/>
    </row>
    <row r="253" spans="14:18">
      <c r="N253" s="444"/>
      <c r="O253" s="739"/>
      <c r="P253" s="773"/>
      <c r="Q253" s="727"/>
      <c r="R253" s="741"/>
    </row>
    <row r="254" spans="14:18">
      <c r="N254" s="444"/>
      <c r="O254" s="739"/>
      <c r="P254" s="773"/>
      <c r="Q254" s="727"/>
      <c r="R254" s="741"/>
    </row>
    <row r="255" spans="14:18">
      <c r="N255" s="444"/>
      <c r="O255" s="739"/>
      <c r="P255" s="773"/>
      <c r="Q255" s="727"/>
      <c r="R255" s="741"/>
    </row>
    <row r="256" spans="14:18">
      <c r="N256" s="444"/>
      <c r="O256" s="739"/>
      <c r="P256" s="773"/>
      <c r="Q256" s="727"/>
      <c r="R256" s="741"/>
    </row>
    <row r="257" spans="14:18">
      <c r="N257" s="444"/>
      <c r="O257" s="739"/>
      <c r="P257" s="773"/>
      <c r="Q257" s="727"/>
      <c r="R257" s="741"/>
    </row>
    <row r="258" spans="14:18">
      <c r="N258" s="444"/>
      <c r="O258" s="739"/>
      <c r="P258" s="773"/>
      <c r="Q258" s="727"/>
      <c r="R258" s="741"/>
    </row>
    <row r="259" spans="14:18">
      <c r="N259" s="444"/>
      <c r="O259" s="739"/>
      <c r="P259" s="773"/>
      <c r="Q259" s="727"/>
      <c r="R259" s="741"/>
    </row>
    <row r="260" spans="14:18">
      <c r="N260" s="444"/>
      <c r="O260" s="739"/>
      <c r="P260" s="773"/>
      <c r="Q260" s="727"/>
      <c r="R260" s="741"/>
    </row>
    <row r="261" spans="14:18">
      <c r="N261" s="444"/>
      <c r="O261" s="739"/>
      <c r="P261" s="773"/>
      <c r="Q261" s="727"/>
      <c r="R261" s="741"/>
    </row>
    <row r="262" spans="14:18">
      <c r="N262" s="444"/>
      <c r="O262" s="739"/>
      <c r="P262" s="773"/>
      <c r="Q262" s="727"/>
      <c r="R262" s="741"/>
    </row>
    <row r="263" spans="14:18">
      <c r="N263" s="444"/>
      <c r="O263" s="739"/>
      <c r="P263" s="773"/>
      <c r="Q263" s="727"/>
      <c r="R263" s="741"/>
    </row>
    <row r="264" spans="14:18">
      <c r="N264" s="444"/>
      <c r="O264" s="739"/>
      <c r="P264" s="773"/>
      <c r="Q264" s="727"/>
      <c r="R264" s="741"/>
    </row>
    <row r="265" spans="14:18">
      <c r="N265" s="444"/>
      <c r="O265" s="739"/>
      <c r="P265" s="773"/>
      <c r="Q265" s="727"/>
      <c r="R265" s="741"/>
    </row>
    <row r="266" spans="14:18">
      <c r="N266" s="444"/>
      <c r="O266" s="739"/>
      <c r="P266" s="773"/>
      <c r="Q266" s="727"/>
      <c r="R266" s="741"/>
    </row>
    <row r="267" spans="14:18">
      <c r="N267" s="444"/>
      <c r="O267" s="739"/>
      <c r="P267" s="773"/>
      <c r="Q267" s="727"/>
      <c r="R267" s="741"/>
    </row>
    <row r="268" spans="14:18">
      <c r="N268" s="444"/>
      <c r="O268" s="739"/>
      <c r="P268" s="773"/>
      <c r="Q268" s="727"/>
      <c r="R268" s="741"/>
    </row>
    <row r="269" spans="14:18">
      <c r="N269" s="444"/>
      <c r="O269" s="739"/>
      <c r="P269" s="773"/>
      <c r="Q269" s="727"/>
      <c r="R269" s="741"/>
    </row>
    <row r="270" spans="14:18">
      <c r="N270" s="444"/>
      <c r="O270" s="739"/>
      <c r="P270" s="773"/>
      <c r="Q270" s="727"/>
      <c r="R270" s="741"/>
    </row>
    <row r="271" spans="14:18">
      <c r="N271" s="444"/>
      <c r="O271" s="739"/>
      <c r="P271" s="773"/>
      <c r="Q271" s="727"/>
      <c r="R271" s="741"/>
    </row>
    <row r="272" spans="14:18">
      <c r="N272" s="444"/>
      <c r="O272" s="739"/>
      <c r="P272" s="773"/>
      <c r="Q272" s="727"/>
      <c r="R272" s="741"/>
    </row>
    <row r="273" spans="14:18">
      <c r="N273" s="444"/>
      <c r="O273" s="739"/>
      <c r="P273" s="773"/>
      <c r="Q273" s="727"/>
      <c r="R273" s="741"/>
    </row>
    <row r="274" spans="14:18">
      <c r="N274" s="444"/>
      <c r="O274" s="739"/>
      <c r="P274" s="773"/>
      <c r="Q274" s="727"/>
      <c r="R274" s="741"/>
    </row>
    <row r="275" spans="14:18">
      <c r="N275" s="444"/>
      <c r="O275" s="739"/>
      <c r="P275" s="773"/>
      <c r="Q275" s="727"/>
      <c r="R275" s="741"/>
    </row>
    <row r="276" spans="14:18">
      <c r="N276" s="444"/>
      <c r="O276" s="739"/>
      <c r="P276" s="773"/>
      <c r="Q276" s="727"/>
      <c r="R276" s="741"/>
    </row>
    <row r="277" spans="14:18">
      <c r="N277" s="444"/>
      <c r="O277" s="739"/>
      <c r="P277" s="773"/>
      <c r="Q277" s="727"/>
      <c r="R277" s="741"/>
    </row>
    <row r="278" spans="14:18">
      <c r="N278" s="444"/>
      <c r="O278" s="739"/>
      <c r="P278" s="773"/>
      <c r="Q278" s="727"/>
      <c r="R278" s="741"/>
    </row>
    <row r="279" spans="14:18">
      <c r="N279" s="444"/>
      <c r="O279" s="739"/>
      <c r="P279" s="773"/>
      <c r="Q279" s="727"/>
      <c r="R279" s="741"/>
    </row>
    <row r="280" spans="14:18">
      <c r="N280" s="444"/>
      <c r="O280" s="739"/>
      <c r="P280" s="773"/>
      <c r="Q280" s="727"/>
      <c r="R280" s="741"/>
    </row>
    <row r="281" spans="14:18">
      <c r="N281" s="444"/>
      <c r="O281" s="739"/>
      <c r="P281" s="773"/>
      <c r="Q281" s="727"/>
      <c r="R281" s="741"/>
    </row>
    <row r="282" spans="14:18">
      <c r="N282" s="444"/>
      <c r="O282" s="739"/>
      <c r="P282" s="773"/>
      <c r="Q282" s="727"/>
      <c r="R282" s="741"/>
    </row>
    <row r="283" spans="14:18">
      <c r="N283" s="444"/>
      <c r="O283" s="739"/>
      <c r="P283" s="773"/>
      <c r="Q283" s="727"/>
      <c r="R283" s="741"/>
    </row>
    <row r="284" spans="14:18">
      <c r="N284" s="444"/>
      <c r="O284" s="739"/>
      <c r="P284" s="773"/>
      <c r="Q284" s="727"/>
      <c r="R284" s="741"/>
    </row>
    <row r="285" spans="14:18">
      <c r="N285" s="444"/>
      <c r="O285" s="739"/>
      <c r="P285" s="773"/>
      <c r="Q285" s="727"/>
      <c r="R285" s="741"/>
    </row>
    <row r="286" spans="14:18">
      <c r="N286" s="444"/>
      <c r="O286" s="739"/>
      <c r="P286" s="773"/>
      <c r="Q286" s="727"/>
      <c r="R286" s="741"/>
    </row>
    <row r="287" spans="14:18">
      <c r="N287" s="444"/>
      <c r="O287" s="739"/>
      <c r="P287" s="773"/>
      <c r="Q287" s="727"/>
      <c r="R287" s="741"/>
    </row>
    <row r="288" spans="14:18">
      <c r="N288" s="444"/>
      <c r="O288" s="739"/>
      <c r="P288" s="773"/>
      <c r="Q288" s="727"/>
      <c r="R288" s="741"/>
    </row>
    <row r="289" spans="14:18">
      <c r="N289" s="444"/>
      <c r="O289" s="739"/>
      <c r="P289" s="773"/>
      <c r="Q289" s="727"/>
      <c r="R289" s="741"/>
    </row>
    <row r="290" spans="14:18">
      <c r="N290" s="444"/>
      <c r="O290" s="739"/>
      <c r="P290" s="773"/>
      <c r="Q290" s="727"/>
      <c r="R290" s="741"/>
    </row>
    <row r="291" spans="14:18">
      <c r="N291" s="444"/>
      <c r="O291" s="739"/>
      <c r="P291" s="773"/>
      <c r="Q291" s="727"/>
      <c r="R291" s="741"/>
    </row>
    <row r="292" spans="14:18">
      <c r="N292" s="444"/>
      <c r="O292" s="739"/>
      <c r="P292" s="773"/>
      <c r="Q292" s="727"/>
      <c r="R292" s="741"/>
    </row>
    <row r="293" spans="14:18">
      <c r="N293" s="444"/>
      <c r="O293" s="739"/>
      <c r="P293" s="773"/>
      <c r="Q293" s="727"/>
      <c r="R293" s="741"/>
    </row>
    <row r="294" spans="14:18">
      <c r="N294" s="444"/>
      <c r="O294" s="739"/>
      <c r="P294" s="773"/>
      <c r="Q294" s="727"/>
      <c r="R294" s="741"/>
    </row>
    <row r="295" spans="14:18">
      <c r="N295" s="444"/>
      <c r="O295" s="739"/>
      <c r="P295" s="773"/>
      <c r="Q295" s="727"/>
      <c r="R295" s="741"/>
    </row>
    <row r="296" spans="14:18">
      <c r="N296" s="444"/>
      <c r="O296" s="739"/>
      <c r="P296" s="773"/>
      <c r="Q296" s="727"/>
      <c r="R296" s="741"/>
    </row>
    <row r="297" spans="14:18">
      <c r="N297" s="444"/>
      <c r="O297" s="739"/>
      <c r="P297" s="773"/>
      <c r="Q297" s="727"/>
      <c r="R297" s="741"/>
    </row>
    <row r="298" spans="14:18">
      <c r="N298" s="444"/>
      <c r="O298" s="739"/>
      <c r="P298" s="773"/>
      <c r="Q298" s="727"/>
      <c r="R298" s="741"/>
    </row>
    <row r="299" spans="14:18">
      <c r="N299" s="444"/>
      <c r="O299" s="739"/>
      <c r="P299" s="773"/>
      <c r="Q299" s="727"/>
      <c r="R299" s="741"/>
    </row>
    <row r="300" spans="14:18">
      <c r="N300" s="444"/>
      <c r="O300" s="739"/>
      <c r="P300" s="773"/>
      <c r="Q300" s="727"/>
      <c r="R300" s="741"/>
    </row>
    <row r="301" spans="14:18">
      <c r="N301" s="444"/>
      <c r="O301" s="739"/>
      <c r="P301" s="773"/>
      <c r="Q301" s="727"/>
      <c r="R301" s="741"/>
    </row>
    <row r="302" spans="14:18">
      <c r="N302" s="444"/>
      <c r="O302" s="739"/>
      <c r="P302" s="773"/>
      <c r="Q302" s="727"/>
      <c r="R302" s="741"/>
    </row>
    <row r="303" spans="14:18">
      <c r="N303" s="444"/>
      <c r="O303" s="739"/>
      <c r="P303" s="773"/>
      <c r="Q303" s="727"/>
      <c r="R303" s="741"/>
    </row>
    <row r="304" spans="14:18">
      <c r="N304" s="444"/>
      <c r="O304" s="739"/>
      <c r="P304" s="773"/>
      <c r="Q304" s="727"/>
      <c r="R304" s="741"/>
    </row>
    <row r="305" spans="14:18">
      <c r="N305" s="444"/>
      <c r="O305" s="739"/>
      <c r="P305" s="773"/>
      <c r="Q305" s="727"/>
      <c r="R305" s="741"/>
    </row>
    <row r="306" spans="14:18">
      <c r="N306" s="444"/>
      <c r="O306" s="739"/>
      <c r="P306" s="773"/>
      <c r="Q306" s="727"/>
      <c r="R306" s="741"/>
    </row>
    <row r="307" spans="14:18">
      <c r="N307" s="444"/>
      <c r="O307" s="739"/>
      <c r="P307" s="773"/>
      <c r="Q307" s="727"/>
      <c r="R307" s="741"/>
    </row>
    <row r="308" spans="14:18">
      <c r="N308" s="444"/>
      <c r="O308" s="739"/>
      <c r="P308" s="773"/>
      <c r="Q308" s="727"/>
      <c r="R308" s="741"/>
    </row>
    <row r="309" spans="14:18">
      <c r="N309" s="444"/>
      <c r="O309" s="739"/>
      <c r="P309" s="773"/>
      <c r="Q309" s="727"/>
      <c r="R309" s="741"/>
    </row>
    <row r="310" spans="14:18">
      <c r="N310" s="444"/>
      <c r="O310" s="739"/>
      <c r="P310" s="773"/>
      <c r="Q310" s="727"/>
      <c r="R310" s="741"/>
    </row>
    <row r="311" spans="14:18">
      <c r="N311" s="444"/>
      <c r="O311" s="739"/>
      <c r="P311" s="773"/>
      <c r="Q311" s="727"/>
      <c r="R311" s="741"/>
    </row>
    <row r="312" spans="14:18">
      <c r="N312" s="444"/>
      <c r="O312" s="739"/>
      <c r="P312" s="773"/>
      <c r="Q312" s="727"/>
      <c r="R312" s="741"/>
    </row>
    <row r="313" spans="14:18">
      <c r="N313" s="444"/>
      <c r="O313" s="739"/>
      <c r="P313" s="773"/>
      <c r="Q313" s="727"/>
      <c r="R313" s="741"/>
    </row>
    <row r="314" spans="14:18">
      <c r="N314" s="444"/>
      <c r="O314" s="739"/>
      <c r="P314" s="773"/>
      <c r="Q314" s="727"/>
      <c r="R314" s="741"/>
    </row>
    <row r="315" spans="14:18">
      <c r="N315" s="444"/>
      <c r="O315" s="739"/>
      <c r="P315" s="773"/>
      <c r="Q315" s="727"/>
      <c r="R315" s="741"/>
    </row>
    <row r="316" spans="14:18">
      <c r="N316" s="444"/>
      <c r="O316" s="739"/>
      <c r="P316" s="773"/>
      <c r="Q316" s="727"/>
      <c r="R316" s="741"/>
    </row>
    <row r="317" spans="14:18">
      <c r="N317" s="444"/>
      <c r="O317" s="739"/>
      <c r="P317" s="773"/>
      <c r="Q317" s="727"/>
      <c r="R317" s="741"/>
    </row>
  </sheetData>
  <mergeCells count="14">
    <mergeCell ref="R5:R6"/>
    <mergeCell ref="N49:Q49"/>
    <mergeCell ref="A5:A6"/>
    <mergeCell ref="B5:B6"/>
    <mergeCell ref="C5:C6"/>
    <mergeCell ref="D5:D6"/>
    <mergeCell ref="E5:H5"/>
    <mergeCell ref="I5:I6"/>
    <mergeCell ref="J5:J6"/>
    <mergeCell ref="K5:K6"/>
    <mergeCell ref="N5:N6"/>
    <mergeCell ref="O5:O6"/>
    <mergeCell ref="P5:P6"/>
    <mergeCell ref="Q5:Q6"/>
  </mergeCells>
  <dataValidations count="1">
    <dataValidation type="list" allowBlank="1" showInputMessage="1" showErrorMessage="1" sqref="N5:N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F1" sqref="F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7" t="str">
        <f>TH!A1</f>
        <v>Đơn vị: CÔNG TY TNHH SX TM KIM DUNG PHÁT</v>
      </c>
      <c r="L1" s="1089" t="s">
        <v>272</v>
      </c>
      <c r="M1" s="1089"/>
      <c r="N1" s="1089"/>
      <c r="O1" s="1089"/>
    </row>
    <row r="2" spans="1:18" ht="15" customHeight="1">
      <c r="A2" s="476" t="str">
        <f>TH!A2</f>
        <v>Địa chỉ: 1A227/1 Ấp 1, Phạm Văn Hai, Bình Chánh, TPHCM</v>
      </c>
      <c r="L2" s="108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8"/>
      <c r="N2" s="1088"/>
      <c r="O2" s="1088"/>
    </row>
    <row r="3" spans="1:18" ht="15" customHeight="1">
      <c r="L3" s="1088"/>
      <c r="M3" s="1088"/>
      <c r="N3" s="1088"/>
      <c r="O3" s="1088"/>
    </row>
    <row r="5" spans="1:18" s="482" customFormat="1" ht="24" customHeight="1">
      <c r="A5" s="1090" t="s">
        <v>273</v>
      </c>
      <c r="B5" s="1090"/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M5" s="1090"/>
      <c r="N5" s="1090"/>
      <c r="O5" s="1090"/>
      <c r="P5" s="543"/>
    </row>
    <row r="6" spans="1:18" s="482" customFormat="1" ht="21" customHeight="1">
      <c r="A6" s="1091" t="s">
        <v>1336</v>
      </c>
      <c r="B6" s="1091"/>
      <c r="C6" s="1091"/>
      <c r="D6" s="1091"/>
      <c r="E6" s="1091"/>
      <c r="F6" s="1091"/>
      <c r="G6" s="1091"/>
      <c r="H6" s="1091"/>
      <c r="I6" s="1091"/>
      <c r="J6" s="1091"/>
      <c r="K6" s="1091"/>
      <c r="L6" s="1091"/>
      <c r="M6" s="1091"/>
      <c r="N6" s="1091"/>
      <c r="O6" s="1091"/>
      <c r="P6" s="543"/>
    </row>
    <row r="7" spans="1:18" s="482" customFormat="1" ht="21" customHeight="1">
      <c r="A7" s="1092" t="s">
        <v>315</v>
      </c>
      <c r="B7" s="1092"/>
      <c r="C7" s="1092"/>
      <c r="D7" s="1092"/>
      <c r="E7" s="1092"/>
      <c r="F7" s="1092"/>
      <c r="G7" s="1092"/>
      <c r="H7" s="1092"/>
      <c r="I7" s="1092"/>
      <c r="J7" s="1092"/>
      <c r="K7" s="1092"/>
      <c r="L7" s="1092"/>
      <c r="M7" s="1092"/>
      <c r="N7" s="1092"/>
      <c r="O7" s="1092"/>
      <c r="P7" s="543"/>
    </row>
    <row r="8" spans="1:18">
      <c r="D8" s="478"/>
    </row>
    <row r="9" spans="1:18" s="483" customFormat="1" ht="24" customHeight="1">
      <c r="A9" s="1093" t="s">
        <v>235</v>
      </c>
      <c r="B9" s="1096" t="s">
        <v>274</v>
      </c>
      <c r="C9" s="1097"/>
      <c r="D9" s="1097"/>
      <c r="E9" s="1097"/>
      <c r="F9" s="1097"/>
      <c r="G9" s="1097"/>
      <c r="H9" s="1098"/>
      <c r="I9" s="1096" t="s">
        <v>275</v>
      </c>
      <c r="J9" s="1097"/>
      <c r="K9" s="1097"/>
      <c r="L9" s="1098"/>
      <c r="M9" s="1099" t="s">
        <v>276</v>
      </c>
      <c r="N9" s="1099"/>
      <c r="O9" s="1099"/>
      <c r="P9" s="544"/>
    </row>
    <row r="10" spans="1:18" s="483" customFormat="1" ht="24" customHeight="1">
      <c r="A10" s="1094"/>
      <c r="B10" s="1096" t="s">
        <v>277</v>
      </c>
      <c r="C10" s="1098"/>
      <c r="D10" s="1093" t="s">
        <v>278</v>
      </c>
      <c r="E10" s="1093" t="s">
        <v>279</v>
      </c>
      <c r="F10" s="1093" t="s">
        <v>280</v>
      </c>
      <c r="G10" s="1093" t="s">
        <v>281</v>
      </c>
      <c r="H10" s="1093" t="s">
        <v>282</v>
      </c>
      <c r="I10" s="1096" t="s">
        <v>283</v>
      </c>
      <c r="J10" s="1098"/>
      <c r="K10" s="1100" t="s">
        <v>284</v>
      </c>
      <c r="L10" s="1093" t="s">
        <v>285</v>
      </c>
      <c r="M10" s="1099" t="s">
        <v>277</v>
      </c>
      <c r="N10" s="1099"/>
      <c r="O10" s="1099" t="s">
        <v>286</v>
      </c>
      <c r="P10" s="544"/>
    </row>
    <row r="11" spans="1:18" s="483" customFormat="1" ht="55.5" customHeight="1">
      <c r="A11" s="1095"/>
      <c r="B11" s="484" t="s">
        <v>287</v>
      </c>
      <c r="C11" s="484" t="s">
        <v>236</v>
      </c>
      <c r="D11" s="1095"/>
      <c r="E11" s="1095"/>
      <c r="F11" s="1095"/>
      <c r="G11" s="1095"/>
      <c r="H11" s="1095"/>
      <c r="I11" s="484" t="s">
        <v>288</v>
      </c>
      <c r="J11" s="484" t="s">
        <v>289</v>
      </c>
      <c r="K11" s="1101"/>
      <c r="L11" s="1095"/>
      <c r="M11" s="484" t="s">
        <v>15</v>
      </c>
      <c r="N11" s="484" t="s">
        <v>236</v>
      </c>
      <c r="O11" s="1099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290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291</v>
      </c>
      <c r="N12" s="485" t="s">
        <v>292</v>
      </c>
      <c r="O12" s="485" t="s">
        <v>293</v>
      </c>
      <c r="P12" s="545"/>
    </row>
    <row r="13" spans="1:18" s="487" customFormat="1" ht="21.75" customHeight="1">
      <c r="A13" s="507" t="s">
        <v>291</v>
      </c>
      <c r="B13" s="509" t="s">
        <v>314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360</v>
      </c>
      <c r="C14" s="488">
        <v>40682</v>
      </c>
      <c r="D14" s="210" t="s">
        <v>355</v>
      </c>
      <c r="E14" s="443" t="s">
        <v>294</v>
      </c>
      <c r="F14" s="517" t="s">
        <v>379</v>
      </c>
      <c r="G14" s="546" t="s">
        <v>362</v>
      </c>
      <c r="H14" s="257">
        <v>18000000</v>
      </c>
      <c r="I14" s="25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361</v>
      </c>
      <c r="C15" s="488">
        <v>40686</v>
      </c>
      <c r="D15" s="210" t="s">
        <v>356</v>
      </c>
      <c r="E15" s="443" t="s">
        <v>294</v>
      </c>
      <c r="F15" s="517" t="s">
        <v>379</v>
      </c>
      <c r="G15" s="546" t="s">
        <v>363</v>
      </c>
      <c r="H15" s="257">
        <v>27000000</v>
      </c>
      <c r="I15" s="257">
        <v>5</v>
      </c>
      <c r="J15" s="8">
        <v>5400000</v>
      </c>
      <c r="K15" s="8">
        <v>13950000</v>
      </c>
      <c r="L15" s="8">
        <f t="shared" si="0"/>
        <v>19350000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327</v>
      </c>
      <c r="C16" s="488">
        <v>40710</v>
      </c>
      <c r="D16" s="210" t="s">
        <v>358</v>
      </c>
      <c r="E16" s="443" t="s">
        <v>294</v>
      </c>
      <c r="F16" s="517" t="s">
        <v>380</v>
      </c>
      <c r="G16" s="546" t="s">
        <v>364</v>
      </c>
      <c r="H16" s="257">
        <v>320000000</v>
      </c>
      <c r="I16" s="257">
        <v>5</v>
      </c>
      <c r="J16" s="8">
        <v>64000000</v>
      </c>
      <c r="K16" s="8">
        <v>160000000</v>
      </c>
      <c r="L16" s="8">
        <f t="shared" si="0"/>
        <v>224000000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508">
        <v>4</v>
      </c>
      <c r="B17" s="517" t="s">
        <v>327</v>
      </c>
      <c r="C17" s="511">
        <v>41756</v>
      </c>
      <c r="D17" s="512" t="s">
        <v>1253</v>
      </c>
      <c r="E17" s="443" t="s">
        <v>294</v>
      </c>
      <c r="F17" s="904" t="s">
        <v>1335</v>
      </c>
      <c r="G17" s="546" t="s">
        <v>1333</v>
      </c>
      <c r="H17" s="515">
        <v>500000000</v>
      </c>
      <c r="I17" s="515">
        <v>20</v>
      </c>
      <c r="J17" s="299">
        <v>12500000</v>
      </c>
      <c r="K17" s="299"/>
      <c r="L17" s="8">
        <f t="shared" si="0"/>
        <v>12500000</v>
      </c>
      <c r="M17" s="905"/>
      <c r="N17" s="906"/>
      <c r="O17" s="906"/>
      <c r="P17" s="545" t="str">
        <f>IF(D17='THE-TS'!$D$11,"x","")</f>
        <v/>
      </c>
      <c r="Q17" s="293"/>
      <c r="R17" s="293"/>
    </row>
    <row r="18" spans="1:18" ht="21.75" customHeight="1">
      <c r="A18" s="508">
        <v>5</v>
      </c>
      <c r="B18" s="517" t="s">
        <v>327</v>
      </c>
      <c r="C18" s="511">
        <v>41761</v>
      </c>
      <c r="D18" s="512" t="s">
        <v>1254</v>
      </c>
      <c r="E18" s="443" t="s">
        <v>294</v>
      </c>
      <c r="F18" s="904" t="s">
        <v>1335</v>
      </c>
      <c r="G18" s="546" t="s">
        <v>1334</v>
      </c>
      <c r="H18" s="515">
        <v>500000000</v>
      </c>
      <c r="I18" s="515">
        <v>20</v>
      </c>
      <c r="J18" s="299">
        <v>12500000</v>
      </c>
      <c r="K18" s="299"/>
      <c r="L18" s="8">
        <f t="shared" si="0"/>
        <v>12500000</v>
      </c>
      <c r="M18" s="905"/>
      <c r="N18" s="906"/>
      <c r="O18" s="906"/>
      <c r="P18" s="545" t="str">
        <f>IF(D18='THE-TS'!$D$11,"x","")</f>
        <v/>
      </c>
      <c r="Q18" s="293"/>
      <c r="R18" s="293"/>
    </row>
    <row r="19" spans="1:18" ht="21.75" customHeight="1">
      <c r="A19" s="489"/>
      <c r="B19" s="510"/>
      <c r="C19" s="511"/>
      <c r="D19" s="512"/>
      <c r="E19" s="490"/>
      <c r="F19" s="511"/>
      <c r="G19" s="510"/>
      <c r="H19" s="515"/>
      <c r="I19" s="515"/>
      <c r="J19" s="299"/>
      <c r="K19" s="299"/>
      <c r="L19" s="299"/>
      <c r="M19" s="490"/>
      <c r="N19" s="490"/>
      <c r="O19" s="490"/>
      <c r="P19" s="545" t="str">
        <f>IF(D19='THE-TS'!$D$11,"x","")</f>
        <v/>
      </c>
      <c r="R19" s="505"/>
    </row>
    <row r="20" spans="1:18" s="493" customFormat="1" ht="21.75" customHeight="1">
      <c r="A20" s="491"/>
      <c r="B20" s="492"/>
      <c r="C20" s="491"/>
      <c r="D20" s="491" t="s">
        <v>295</v>
      </c>
      <c r="E20" s="491" t="s">
        <v>19</v>
      </c>
      <c r="F20" s="491" t="s">
        <v>19</v>
      </c>
      <c r="G20" s="491" t="s">
        <v>19</v>
      </c>
      <c r="H20" s="516">
        <f>SUM(H14:H19)</f>
        <v>1365000000</v>
      </c>
      <c r="I20" s="516"/>
      <c r="J20" s="516">
        <f t="shared" ref="J20:L20" si="1">SUM(J14:J19)</f>
        <v>98000000</v>
      </c>
      <c r="K20" s="516">
        <f t="shared" si="1"/>
        <v>183250000</v>
      </c>
      <c r="L20" s="516">
        <f t="shared" si="1"/>
        <v>281250000</v>
      </c>
      <c r="M20" s="550" t="s">
        <v>19</v>
      </c>
      <c r="N20" s="550" t="s">
        <v>19</v>
      </c>
      <c r="O20" s="550" t="s">
        <v>19</v>
      </c>
      <c r="P20" s="545" t="str">
        <f>IF(D20='THE-TS'!$D$11,"x","")</f>
        <v/>
      </c>
    </row>
    <row r="21" spans="1:18" ht="6.75" customHeight="1">
      <c r="A21" s="444"/>
      <c r="B21" s="444"/>
      <c r="C21" s="494"/>
      <c r="D21" s="444"/>
      <c r="E21" s="494"/>
      <c r="F21" s="494"/>
      <c r="G21" s="494"/>
      <c r="H21" s="444"/>
      <c r="I21" s="444"/>
      <c r="J21" s="444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A22" s="444"/>
      <c r="B22" s="444"/>
      <c r="C22" s="494"/>
      <c r="D22" s="444" t="s">
        <v>296</v>
      </c>
      <c r="E22" s="444"/>
      <c r="F22" s="494"/>
      <c r="G22" s="444"/>
      <c r="H22" s="479"/>
      <c r="I22" s="479"/>
      <c r="J22" s="551"/>
      <c r="L22" s="479"/>
      <c r="M22" s="444"/>
      <c r="N22" s="444"/>
      <c r="O22" s="444"/>
      <c r="P22" s="545" t="str">
        <f>IF(D22='THE-TS'!$D$11,"x","")</f>
        <v/>
      </c>
    </row>
    <row r="23" spans="1:18" ht="13.5" customHeight="1">
      <c r="A23" s="444"/>
      <c r="B23" s="444"/>
      <c r="C23" s="494"/>
      <c r="D23" s="444" t="s">
        <v>1337</v>
      </c>
      <c r="E23" s="444"/>
      <c r="F23" s="494"/>
      <c r="G23" s="444"/>
      <c r="H23" s="505"/>
      <c r="I23" s="444"/>
      <c r="J23" s="513"/>
      <c r="K23" s="495"/>
      <c r="L23" s="444"/>
      <c r="M23" s="444"/>
      <c r="N23" s="444"/>
      <c r="O23" s="444"/>
      <c r="P23" s="545" t="str">
        <f>IF(D23='THE-TS'!$D$11,"x","")</f>
        <v/>
      </c>
    </row>
    <row r="24" spans="1:18" ht="13.5" customHeight="1">
      <c r="K24" s="496"/>
      <c r="L24" s="481" t="s">
        <v>1338</v>
      </c>
      <c r="P24" s="545" t="str">
        <f>IF(D24='THE-TS'!$D$11,"x","")</f>
        <v/>
      </c>
    </row>
    <row r="25" spans="1:18" ht="13.5" customHeight="1">
      <c r="B25" s="478"/>
      <c r="D25" s="478" t="s">
        <v>11</v>
      </c>
      <c r="F25" s="478" t="s">
        <v>297</v>
      </c>
      <c r="I25" s="497"/>
      <c r="K25" s="494"/>
      <c r="L25" s="494" t="s">
        <v>109</v>
      </c>
      <c r="P25" s="545" t="str">
        <f>IF(D25='THE-TS'!$D$11,"x","")</f>
        <v/>
      </c>
    </row>
    <row r="26" spans="1:18" ht="13.5" customHeight="1">
      <c r="B26" s="478"/>
      <c r="D26" s="478"/>
      <c r="P26" s="545" t="str">
        <f>IF(D26='THE-TS'!$D$11,"x","")</f>
        <v/>
      </c>
    </row>
    <row r="27" spans="1:18" ht="13.5" customHeight="1">
      <c r="H27" s="498"/>
      <c r="J27" s="498"/>
      <c r="L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J29" s="498"/>
      <c r="P29" s="545" t="str">
        <f>IF(D29='THE-TS'!$D$11,"x","")</f>
        <v/>
      </c>
    </row>
    <row r="30" spans="1:18" ht="13.5" customHeight="1">
      <c r="H30" s="499"/>
      <c r="P30" s="545" t="str">
        <f>IF(D30='THE-TS'!$D$11,"x","")</f>
        <v/>
      </c>
    </row>
    <row r="31" spans="1:18" ht="13.5" customHeight="1">
      <c r="H31" s="499"/>
      <c r="P31" s="545" t="str">
        <f>IF(D31='THE-TS'!$D$11,"x","")</f>
        <v/>
      </c>
    </row>
    <row r="32" spans="1:18" s="500" customFormat="1" ht="13.5" customHeight="1">
      <c r="C32" s="501"/>
      <c r="D32" s="501"/>
      <c r="F32" s="501"/>
      <c r="H32" s="502"/>
      <c r="K32" s="503"/>
      <c r="P32" s="545"/>
    </row>
    <row r="33" spans="8:16" ht="13.5">
      <c r="P33" s="545" t="str">
        <f>IF(D33='THE-TS'!$D$11,"x","")</f>
        <v/>
      </c>
    </row>
    <row r="34" spans="8:16" ht="13.5" customHeight="1">
      <c r="H34" s="499"/>
      <c r="P34" s="545" t="str">
        <f>IF(D34='THE-TS'!$D$11,"x","")</f>
        <v/>
      </c>
    </row>
    <row r="35" spans="8:16" ht="13.5">
      <c r="P35" s="54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8" t="str">
        <f>TH!A1</f>
        <v>Đơn vị: CÔNG TY TNHH SX TM KIM DUNG PHÁT</v>
      </c>
      <c r="B2" s="519"/>
      <c r="C2" s="519"/>
      <c r="D2" s="519"/>
      <c r="E2" s="480"/>
      <c r="F2" s="1089" t="s">
        <v>298</v>
      </c>
      <c r="G2" s="1089"/>
      <c r="H2" s="1089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08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8"/>
      <c r="H3" s="1088"/>
    </row>
    <row r="4" spans="1:11">
      <c r="A4" s="478"/>
      <c r="B4" s="478"/>
      <c r="C4" s="481"/>
      <c r="D4" s="481"/>
      <c r="E4" s="481"/>
      <c r="F4" s="1088"/>
      <c r="G4" s="1088"/>
      <c r="H4" s="1088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18" t="s">
        <v>299</v>
      </c>
      <c r="B6" s="1118"/>
      <c r="C6" s="1118"/>
      <c r="D6" s="1118"/>
      <c r="E6" s="1118"/>
      <c r="F6" s="1118"/>
      <c r="G6" s="1118"/>
      <c r="H6" s="1118"/>
    </row>
    <row r="7" spans="1:11" ht="17.25" customHeight="1" thickBot="1">
      <c r="A7" s="1117" t="str">
        <f ca="1" xml:space="preserve"> IF(ROWS($1:1)&gt;COUNT(Dong3),"","Số: "&amp;OFFSET('SO-TS'!$G$1,SMALL(Dong3,ROWS($1:1)),))</f>
        <v>Số: SX01/11</v>
      </c>
      <c r="B7" s="1117"/>
      <c r="C7" s="1117"/>
      <c r="D7" s="1117"/>
      <c r="E7" s="1117"/>
      <c r="F7" s="1117"/>
      <c r="G7" s="1117"/>
      <c r="H7" s="1117"/>
      <c r="J7" s="537" t="s">
        <v>316</v>
      </c>
      <c r="K7" s="538" t="s">
        <v>322</v>
      </c>
    </row>
    <row r="8" spans="1:11" ht="17.25" customHeight="1">
      <c r="A8" s="111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9"/>
      <c r="C8" s="1119"/>
      <c r="D8" s="1119"/>
      <c r="E8" s="1119"/>
      <c r="F8" s="1119"/>
      <c r="G8" s="1119"/>
      <c r="H8" s="1119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317</v>
      </c>
      <c r="B11" s="477"/>
      <c r="C11" s="477"/>
      <c r="D11" s="477" t="s">
        <v>355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300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320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04" t="s">
        <v>125</v>
      </c>
      <c r="B17" s="1105"/>
      <c r="C17" s="1108" t="s">
        <v>301</v>
      </c>
      <c r="D17" s="1109"/>
      <c r="E17" s="1110"/>
      <c r="F17" s="1111" t="s">
        <v>302</v>
      </c>
      <c r="G17" s="1112"/>
      <c r="H17" s="1113"/>
    </row>
    <row r="18" spans="1:8" s="533" customFormat="1" ht="28.5" customHeight="1">
      <c r="A18" s="1106"/>
      <c r="B18" s="1107"/>
      <c r="C18" s="506" t="s">
        <v>303</v>
      </c>
      <c r="D18" s="506" t="s">
        <v>0</v>
      </c>
      <c r="E18" s="506" t="s">
        <v>304</v>
      </c>
      <c r="F18" s="506" t="s">
        <v>305</v>
      </c>
      <c r="G18" s="506" t="s">
        <v>306</v>
      </c>
      <c r="H18" s="506" t="s">
        <v>307</v>
      </c>
    </row>
    <row r="19" spans="1:8" s="535" customFormat="1">
      <c r="A19" s="1114" t="s">
        <v>2</v>
      </c>
      <c r="B19" s="1114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758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58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907" t="str">
        <f ca="1" xml:space="preserve"> IF(ROWS($1:2)&gt;COUNT(Dong3),"",OFFSET('SO-TS'!G$1,SMALL(Dong3,ROWS($1:2)),))</f>
        <v/>
      </c>
      <c r="C21" s="907" t="str">
        <f ca="1" xml:space="preserve"> IF(ROWS($1:2)&gt;COUNT(Dong3),"",OFFSET('SO-TS'!F$1,SMALL(Dong3,ROWS($1:2)),))</f>
        <v/>
      </c>
      <c r="D21" s="908" t="str">
        <f ca="1" xml:space="preserve"> IF(ROWS($1:2)&gt;COUNT(Dong3),"",OFFSET('SO-TS'!D$1,SMALL(Dong3,ROWS($1:2)),))</f>
        <v/>
      </c>
      <c r="E21" s="258" t="str">
        <f ca="1" xml:space="preserve"> IF(ROWS($1:2)&gt;COUNT(Dong3),"",OFFSET('SO-TS'!H$1,SMALL(Dong3,ROWS($1:2)),))</f>
        <v/>
      </c>
      <c r="F21" s="909">
        <f ca="1">IF(OR(F20="",(ROW()-19)&gt;OFFSET('SO-TS'!I$1,SMALL(Dong3,ROWS($1:$1)),)+1),"",IF(VALUE(F20)&gt;VALUE(YEAR(NOW())),"",F20+1))</f>
        <v>2012</v>
      </c>
      <c r="G21" s="758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56">
        <f ca="1">IF(G21&lt;&gt;0,H20+G21,0)</f>
        <v>5700000</v>
      </c>
    </row>
    <row r="22" spans="1:8" ht="17.25" customHeight="1">
      <c r="A22" s="6" t="str">
        <f t="shared" ca="1" si="0"/>
        <v/>
      </c>
      <c r="B22" s="907" t="str">
        <f ca="1" xml:space="preserve"> IF(ROWS($1:3)&gt;COUNT(Dong3),"",OFFSET('SO-TS'!G$1,SMALL(Dong3,ROWS($1:3)),))</f>
        <v/>
      </c>
      <c r="C22" s="907" t="str">
        <f ca="1" xml:space="preserve"> IF(ROWS($1:3)&gt;COUNT(Dong3),"",OFFSET('SO-TS'!F$1,SMALL(Dong3,ROWS($1:3)),))</f>
        <v/>
      </c>
      <c r="D22" s="908" t="str">
        <f ca="1" xml:space="preserve"> IF(ROWS($1:3)&gt;COUNT(Dong3),"",OFFSET('SO-TS'!D$1,SMALL(Dong3,ROWS($1:3)),))</f>
        <v/>
      </c>
      <c r="E22" s="258" t="str">
        <f ca="1" xml:space="preserve"> IF(ROWS($1:3)&gt;COUNT(Dong3),"",OFFSET('SO-TS'!H$1,SMALL(Dong3,ROWS($1:3)),))</f>
        <v/>
      </c>
      <c r="F22" s="909">
        <f ca="1">IF(OR(F21="",(ROW()-19)&gt;OFFSET('SO-TS'!I$1,SMALL(Dong3,ROWS($1:$1)),)+1),"",IF(VALUE(F21)&gt;VALUE(YEAR(NOW())),"",F21+1))</f>
        <v>2013</v>
      </c>
      <c r="G22" s="758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56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907" t="str">
        <f ca="1" xml:space="preserve"> IF(ROWS($1:4)&gt;COUNT(Dong3),"",OFFSET('SO-TS'!G$1,SMALL(Dong3,ROWS($1:4)),))</f>
        <v/>
      </c>
      <c r="C23" s="907" t="str">
        <f ca="1" xml:space="preserve"> IF(ROWS($1:4)&gt;COUNT(Dong3),"",OFFSET('SO-TS'!F$1,SMALL(Dong3,ROWS($1:4)),))</f>
        <v/>
      </c>
      <c r="D23" s="908" t="str">
        <f ca="1" xml:space="preserve"> IF(ROWS($1:4)&gt;COUNT(Dong3),"",OFFSET('SO-TS'!D$1,SMALL(Dong3,ROWS($1:4)),))</f>
        <v/>
      </c>
      <c r="E23" s="258" t="str">
        <f ca="1" xml:space="preserve"> IF(ROWS($1:4)&gt;COUNT(Dong3),"",OFFSET('SO-TS'!H$1,SMALL(Dong3,ROWS($1:4)),))</f>
        <v/>
      </c>
      <c r="F23" s="909">
        <f ca="1">IF(OR(F22="",(ROW()-19)&gt;OFFSET('SO-TS'!I$1,SMALL(Dong3,ROWS($1:$1)),)+1),"",IF(VALUE(F22)&gt;VALUE(YEAR(NOW())),"",F22+1))</f>
        <v>2014</v>
      </c>
      <c r="G23" s="75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56">
        <f t="shared" ca="1" si="1"/>
        <v>12900000</v>
      </c>
    </row>
    <row r="24" spans="1:8" ht="17.25" customHeight="1">
      <c r="A24" s="6" t="str">
        <f t="shared" ca="1" si="0"/>
        <v/>
      </c>
      <c r="B24" s="907" t="str">
        <f ca="1" xml:space="preserve"> IF(ROWS($1:5)&gt;COUNT(Dong3),"",OFFSET('SO-TS'!G$1,SMALL(Dong3,ROWS($1:5)),))</f>
        <v/>
      </c>
      <c r="C24" s="907" t="str">
        <f ca="1" xml:space="preserve"> IF(ROWS($1:5)&gt;COUNT(Dong3),"",OFFSET('SO-TS'!F$1,SMALL(Dong3,ROWS($1:5)),))</f>
        <v/>
      </c>
      <c r="D24" s="908" t="str">
        <f ca="1" xml:space="preserve"> IF(ROWS($1:5)&gt;COUNT(Dong3),"",OFFSET('SO-TS'!D$1,SMALL(Dong3,ROWS($1:5)),))</f>
        <v/>
      </c>
      <c r="E24" s="258" t="str">
        <f ca="1" xml:space="preserve"> IF(ROWS($1:5)&gt;COUNT(Dong3),"",OFFSET('SO-TS'!H$1,SMALL(Dong3,ROWS($1:5)),))</f>
        <v/>
      </c>
      <c r="F24" s="909">
        <f ca="1">IF(OR(F23="",(ROW()-19)&gt;OFFSET('SO-TS'!I$1,SMALL(Dong3,ROWS($1:$1)),)+1),"",IF(VALUE(F23)&gt;VALUE(YEAR(NOW())),"",F23+1))</f>
        <v>2015</v>
      </c>
      <c r="G24" s="75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56">
        <f t="shared" ca="1" si="1"/>
        <v>16500000</v>
      </c>
    </row>
    <row r="25" spans="1:8" ht="17.25" customHeight="1">
      <c r="A25" s="910"/>
      <c r="B25" s="912"/>
      <c r="C25" s="912"/>
      <c r="D25" s="913"/>
      <c r="E25" s="914"/>
      <c r="F25" s="909">
        <f ca="1">IF(OR(F24="",(ROW()-19)&gt;OFFSET('SO-TS'!I$1,SMALL(Dong3,ROWS($1:$1)),)+1),"",IF(VALUE(F24)&gt;VALUE(YEAR(NOW())),"",F24+1))</f>
        <v>2016</v>
      </c>
      <c r="G25" s="75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56">
        <f t="shared" ca="1" si="1"/>
        <v>18000000</v>
      </c>
    </row>
    <row r="26" spans="1:8" ht="17.25" customHeight="1">
      <c r="A26" s="910" t="str">
        <f t="shared" ref="A26" si="2">IF(B26&lt;&gt;"",ROW()-19,"")</f>
        <v/>
      </c>
      <c r="B26" s="489"/>
      <c r="C26" s="522"/>
      <c r="D26" s="522"/>
      <c r="E26" s="757"/>
      <c r="F26" s="911"/>
      <c r="G26" s="757"/>
      <c r="H26" s="757"/>
    </row>
    <row r="27" spans="1:8" ht="17.25" customHeight="1">
      <c r="A27" s="491"/>
      <c r="B27" s="491" t="s">
        <v>308</v>
      </c>
      <c r="C27" s="523"/>
      <c r="D27" s="523"/>
      <c r="E27" s="550">
        <f ca="1">SUM(E20:E26)</f>
        <v>18000000</v>
      </c>
      <c r="F27" s="523"/>
      <c r="G27" s="550">
        <f ca="1">SUM(G20:G26)</f>
        <v>18000000</v>
      </c>
      <c r="H27" s="550"/>
    </row>
    <row r="28" spans="1:8" ht="17.25" customHeight="1">
      <c r="A28" s="524"/>
      <c r="B28" s="524"/>
      <c r="C28" s="525"/>
      <c r="D28" s="525"/>
      <c r="E28" s="525"/>
      <c r="F28" s="525"/>
      <c r="G28" s="526"/>
      <c r="H28" s="526"/>
    </row>
    <row r="29" spans="1:8" ht="17.25" customHeight="1">
      <c r="A29" s="524"/>
      <c r="B29" s="524"/>
      <c r="C29" s="525"/>
      <c r="D29" s="525"/>
      <c r="E29" s="525"/>
      <c r="F29" s="525"/>
      <c r="G29" s="526"/>
      <c r="H29" s="526"/>
    </row>
    <row r="30" spans="1:8" ht="17.25" customHeight="1">
      <c r="A30" s="1115" t="s">
        <v>309</v>
      </c>
      <c r="B30" s="1115"/>
      <c r="C30" s="1115"/>
      <c r="D30" s="1115"/>
      <c r="E30" s="1115"/>
      <c r="F30" s="1115"/>
      <c r="G30" s="1115"/>
      <c r="H30" s="1115"/>
    </row>
    <row r="31" spans="1:8" ht="27" customHeight="1">
      <c r="A31" s="491" t="s">
        <v>35</v>
      </c>
      <c r="B31" s="1096" t="s">
        <v>310</v>
      </c>
      <c r="C31" s="1098"/>
      <c r="D31" s="523" t="s">
        <v>196</v>
      </c>
      <c r="E31" s="523" t="s">
        <v>311</v>
      </c>
      <c r="F31" s="523" t="s">
        <v>312</v>
      </c>
      <c r="G31" s="526"/>
      <c r="H31" s="526"/>
    </row>
    <row r="32" spans="1:8" ht="17.25" customHeight="1">
      <c r="A32" s="491" t="s">
        <v>2</v>
      </c>
      <c r="B32" s="491" t="s">
        <v>3</v>
      </c>
      <c r="C32" s="523"/>
      <c r="D32" s="523" t="s">
        <v>4</v>
      </c>
      <c r="E32" s="523">
        <v>1</v>
      </c>
      <c r="F32" s="523">
        <v>2</v>
      </c>
      <c r="G32" s="526"/>
      <c r="H32" s="526"/>
    </row>
    <row r="33" spans="1:8" ht="17.25" customHeight="1">
      <c r="A33" s="527"/>
      <c r="B33" s="527"/>
      <c r="C33" s="528"/>
      <c r="D33" s="528"/>
      <c r="E33" s="528"/>
      <c r="F33" s="528"/>
      <c r="G33" s="526"/>
      <c r="H33" s="526"/>
    </row>
    <row r="34" spans="1:8" ht="17.25" customHeight="1">
      <c r="A34" s="529"/>
      <c r="B34" s="529"/>
      <c r="C34" s="530"/>
      <c r="D34" s="530"/>
      <c r="E34" s="530"/>
      <c r="F34" s="530"/>
      <c r="G34" s="526"/>
      <c r="H34" s="526"/>
    </row>
    <row r="35" spans="1:8" ht="17.25" customHeight="1">
      <c r="A35" s="529"/>
      <c r="B35" s="529"/>
      <c r="C35" s="530"/>
      <c r="D35" s="530"/>
      <c r="E35" s="530"/>
      <c r="F35" s="530"/>
      <c r="G35" s="526"/>
      <c r="H35" s="526"/>
    </row>
    <row r="36" spans="1:8" ht="17.25" customHeight="1">
      <c r="A36" s="529"/>
      <c r="B36" s="529"/>
      <c r="C36" s="530"/>
      <c r="D36" s="530"/>
      <c r="E36" s="530"/>
      <c r="F36" s="530"/>
      <c r="G36" s="526"/>
      <c r="H36" s="526"/>
    </row>
    <row r="37" spans="1:8" ht="17.25" customHeight="1">
      <c r="A37" s="531"/>
      <c r="B37" s="531"/>
      <c r="C37" s="532"/>
      <c r="D37" s="532"/>
      <c r="E37" s="532"/>
      <c r="F37" s="532"/>
      <c r="G37" s="526"/>
      <c r="H37" s="526"/>
    </row>
    <row r="38" spans="1:8">
      <c r="A38" s="524"/>
      <c r="B38" s="524"/>
      <c r="C38" s="525"/>
      <c r="D38" s="525"/>
      <c r="E38" s="525"/>
      <c r="F38" s="525"/>
      <c r="G38" s="526"/>
      <c r="H38" s="526"/>
    </row>
    <row r="39" spans="1:8">
      <c r="A39" s="1116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6"/>
      <c r="C39" s="1116"/>
      <c r="D39" s="1116"/>
      <c r="E39" s="1116"/>
      <c r="F39" s="1116"/>
      <c r="G39" s="1116"/>
      <c r="H39" s="1116"/>
    </row>
    <row r="40" spans="1:8">
      <c r="A40" s="1116" t="str">
        <f ca="1" xml:space="preserve"> IF(ROWS($1:1)&gt;COUNT(Dong3),"","Lý do giảm:   "&amp;OFFSET('SO-TS'!$O$1,SMALL(Dong3,ROWS($1:1)),))</f>
        <v xml:space="preserve">Lý do giảm:   </v>
      </c>
      <c r="B40" s="1116"/>
      <c r="C40" s="1116"/>
      <c r="D40" s="1116"/>
      <c r="E40" s="1116"/>
      <c r="F40" s="1116"/>
      <c r="G40" s="1116"/>
      <c r="H40" s="1116"/>
    </row>
    <row r="41" spans="1:8">
      <c r="A41" s="501"/>
      <c r="B41" s="501"/>
      <c r="C41" s="496"/>
      <c r="D41" s="496"/>
      <c r="E41" s="1103" t="s">
        <v>365</v>
      </c>
      <c r="F41" s="1103"/>
      <c r="G41" s="1103"/>
      <c r="H41" s="1103"/>
    </row>
    <row r="42" spans="1:8">
      <c r="A42" s="1117" t="s">
        <v>313</v>
      </c>
      <c r="B42" s="1117"/>
      <c r="C42" s="1117" t="s">
        <v>12</v>
      </c>
      <c r="D42" s="1117"/>
      <c r="E42" s="1089" t="s">
        <v>109</v>
      </c>
      <c r="F42" s="1089"/>
      <c r="G42" s="1089"/>
      <c r="H42" s="1089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478"/>
      <c r="B45" s="478"/>
      <c r="C45" s="481"/>
      <c r="D45" s="481"/>
      <c r="E45" s="481"/>
      <c r="F45" s="481"/>
      <c r="G45" s="481"/>
      <c r="H45" s="481"/>
    </row>
    <row r="46" spans="1:8">
      <c r="A46" s="478"/>
      <c r="B46" s="478"/>
      <c r="C46" s="481"/>
      <c r="D46" s="481"/>
      <c r="E46" s="481"/>
      <c r="F46" s="481"/>
      <c r="G46" s="481"/>
      <c r="H46" s="481"/>
    </row>
    <row r="47" spans="1:8">
      <c r="A47" s="478"/>
      <c r="B47" s="478"/>
      <c r="C47" s="481"/>
      <c r="D47" s="481"/>
      <c r="E47" s="481"/>
      <c r="F47" s="481"/>
      <c r="G47" s="481"/>
      <c r="H47" s="481"/>
    </row>
    <row r="48" spans="1:8">
      <c r="A48" s="478"/>
      <c r="B48" s="478"/>
      <c r="C48" s="481"/>
      <c r="D48" s="481"/>
      <c r="E48" s="481"/>
      <c r="F48" s="481"/>
      <c r="G48" s="481"/>
      <c r="H48" s="481"/>
    </row>
    <row r="49" spans="1:8">
      <c r="A49" s="478"/>
      <c r="B49" s="478"/>
      <c r="C49" s="481"/>
      <c r="D49" s="481"/>
      <c r="E49" s="481"/>
      <c r="F49" s="481"/>
      <c r="G49" s="481"/>
      <c r="H49" s="481"/>
    </row>
    <row r="50" spans="1:8">
      <c r="A50" s="1102" t="s">
        <v>151</v>
      </c>
      <c r="B50" s="1102"/>
      <c r="C50" s="496"/>
      <c r="D50" s="496"/>
      <c r="E50" s="1103" t="s">
        <v>103</v>
      </c>
      <c r="F50" s="1103"/>
      <c r="G50" s="1103"/>
      <c r="H50" s="1103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24" sqref="D24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43.42578125" style="664" customWidth="1"/>
    <col min="5" max="5" width="7.140625" style="664" customWidth="1"/>
    <col min="6" max="6" width="14.140625" style="664" customWidth="1"/>
    <col min="7" max="7" width="14.85546875" style="664" customWidth="1"/>
    <col min="8" max="9" width="12" style="664" customWidth="1"/>
    <col min="10" max="10" width="12.85546875" style="664" customWidth="1"/>
    <col min="11" max="12" width="13.5703125" style="664" customWidth="1"/>
    <col min="13" max="13" width="12.7109375" style="664" customWidth="1"/>
    <col min="14" max="14" width="6.28515625" style="664" customWidth="1"/>
    <col min="15" max="15" width="8.42578125" style="664" customWidth="1"/>
    <col min="16" max="16384" width="9.140625" style="664"/>
  </cols>
  <sheetData>
    <row r="2" spans="1:16">
      <c r="A2" s="663" t="str">
        <f>'IN-NX'!A2</f>
        <v>Đơn vị: CÔNG TY TNHH SX TM KIM DUNG PHÁT</v>
      </c>
      <c r="F2" s="665"/>
      <c r="G2" s="665"/>
      <c r="H2" s="665"/>
      <c r="I2" s="665"/>
      <c r="J2" s="1121" t="s">
        <v>381</v>
      </c>
      <c r="K2" s="1121"/>
      <c r="L2" s="1121"/>
      <c r="M2" s="1121"/>
    </row>
    <row r="3" spans="1:16" ht="15" customHeight="1">
      <c r="A3" s="693" t="str">
        <f>'IN-NX'!A3</f>
        <v>Địa chỉ: 1A227/1 Ấp 1, Phạm Văn Hai, Bình Chánh, TPHCM</v>
      </c>
      <c r="J3" s="112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4"/>
      <c r="L3" s="1124"/>
      <c r="M3" s="1124"/>
    </row>
    <row r="4" spans="1:16">
      <c r="J4" s="1124"/>
      <c r="K4" s="1124"/>
      <c r="L4" s="1124"/>
      <c r="M4" s="1124"/>
    </row>
    <row r="5" spans="1:16" ht="19.5" customHeight="1">
      <c r="A5" s="1122" t="s">
        <v>382</v>
      </c>
      <c r="B5" s="1122"/>
      <c r="C5" s="1122"/>
      <c r="D5" s="1122"/>
      <c r="E5" s="1122"/>
      <c r="F5" s="1122"/>
      <c r="G5" s="1122"/>
      <c r="H5" s="1122"/>
      <c r="I5" s="1122"/>
      <c r="J5" s="1122"/>
      <c r="K5" s="1122"/>
      <c r="L5" s="1122"/>
      <c r="M5" s="1122"/>
      <c r="N5" s="666" t="s">
        <v>167</v>
      </c>
      <c r="O5" s="597">
        <f>IF(O13="Quý I",1,IF(O13="Quý II",4,IF(O13="Quý III",7,IF(O13="Quý IV",10,""))))</f>
        <v>4</v>
      </c>
      <c r="P5" s="597">
        <f>IF(O13="Quý I",3,IF(O13="Quý II",6,IF(O13="Quý III",9,IF(O13="Quý IV",12,""))))</f>
        <v>6</v>
      </c>
    </row>
    <row r="6" spans="1:16">
      <c r="A6" s="1123" t="s">
        <v>383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  <c r="M6" s="1123"/>
      <c r="N6" s="691"/>
    </row>
    <row r="7" spans="1:16">
      <c r="B7" s="667"/>
      <c r="C7" s="667"/>
      <c r="D7" s="667"/>
      <c r="E7" s="668" t="s">
        <v>384</v>
      </c>
      <c r="G7" s="667"/>
      <c r="H7" s="667"/>
      <c r="I7" s="667"/>
      <c r="J7" s="667"/>
      <c r="K7" s="667"/>
      <c r="L7" s="667"/>
      <c r="M7" s="667"/>
    </row>
    <row r="8" spans="1:16">
      <c r="B8" s="667"/>
      <c r="C8" s="667"/>
      <c r="D8" s="667"/>
      <c r="E8" s="668" t="s">
        <v>385</v>
      </c>
      <c r="G8" s="667"/>
      <c r="H8" s="667"/>
      <c r="I8" s="667"/>
      <c r="J8" s="667"/>
      <c r="K8" s="667"/>
      <c r="L8" s="667"/>
      <c r="M8" s="667"/>
    </row>
    <row r="9" spans="1:16">
      <c r="B9" s="669"/>
      <c r="C9" s="669"/>
      <c r="D9" s="669"/>
      <c r="E9" s="668" t="s">
        <v>386</v>
      </c>
      <c r="G9" s="669"/>
      <c r="H9" s="669"/>
      <c r="I9" s="669"/>
      <c r="J9" s="669"/>
      <c r="K9" s="669"/>
      <c r="L9" s="669"/>
      <c r="M9" s="669"/>
    </row>
    <row r="10" spans="1:16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  <c r="M10" s="1120"/>
    </row>
    <row r="11" spans="1:16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219</v>
      </c>
      <c r="F11" s="1127" t="s">
        <v>387</v>
      </c>
      <c r="G11" s="1127"/>
      <c r="H11" s="1127"/>
      <c r="I11" s="1127"/>
      <c r="J11" s="1127"/>
      <c r="K11" s="1127"/>
      <c r="L11" s="1127"/>
      <c r="M11" s="1127"/>
    </row>
    <row r="12" spans="1:16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388</v>
      </c>
      <c r="G12" s="1128" t="s">
        <v>389</v>
      </c>
      <c r="H12" s="1128"/>
      <c r="I12" s="1128"/>
      <c r="J12" s="1128"/>
      <c r="K12" s="1128"/>
      <c r="L12" s="1128"/>
      <c r="M12" s="1128"/>
    </row>
    <row r="13" spans="1:16" ht="31.5" customHeight="1" thickBot="1">
      <c r="A13" s="1126"/>
      <c r="B13" s="1128"/>
      <c r="C13" s="1128"/>
      <c r="D13" s="1126"/>
      <c r="E13" s="1126"/>
      <c r="F13" s="1128"/>
      <c r="G13" s="670" t="s">
        <v>375</v>
      </c>
      <c r="H13" s="670" t="s">
        <v>376</v>
      </c>
      <c r="I13" s="670" t="s">
        <v>377</v>
      </c>
      <c r="J13" s="670" t="s">
        <v>390</v>
      </c>
      <c r="K13" s="670" t="s">
        <v>391</v>
      </c>
      <c r="L13" s="670" t="s">
        <v>371</v>
      </c>
      <c r="M13" s="670" t="s">
        <v>392</v>
      </c>
      <c r="O13" s="692" t="s">
        <v>348</v>
      </c>
    </row>
    <row r="14" spans="1:16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/>
      <c r="J14" s="671">
        <v>4</v>
      </c>
      <c r="K14" s="671">
        <v>5</v>
      </c>
      <c r="L14" s="671"/>
      <c r="M14" s="671">
        <v>6</v>
      </c>
    </row>
    <row r="15" spans="1:16" ht="22.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  <c r="M15" s="674"/>
    </row>
    <row r="16" spans="1:16" ht="22.5" customHeight="1">
      <c r="A16" s="675">
        <f ca="1">IF(ROWS($1:1)&gt;COUNT(Dong9),"",OFFSET(TH!C$1,SMALL(Dong9,ROWS($1:1)),))</f>
        <v>41737</v>
      </c>
      <c r="B16" s="675">
        <f ca="1">IF(ROWS($1:1)&gt;COUNT(Dong9),"",OFFSET(TH!D$1,SMALL(Dong9,ROWS($1:1)),))</f>
        <v>0</v>
      </c>
      <c r="C16" s="675">
        <f ca="1">IF(ROWS($1:1)&gt;COUNT(Dong9),"",OFFSET(TH!E$1,SMALL(Dong9,ROWS($1:1)),))</f>
        <v>41737</v>
      </c>
      <c r="D16" s="676" t="str">
        <f ca="1">IF(ROWS($1:1)&gt;COUNT(Dong9),"",OFFSET(TH!F$1,SMALL(Dong9,ROWS($1:1)),))</f>
        <v>Mực in</v>
      </c>
      <c r="E16" s="675" t="str">
        <f ca="1">IF(ROWS($1:1)&gt;COUNT(Dong9),"",OFFSET(TH!M$1,SMALL(Dong9,ROWS($1:1)),))</f>
        <v>1111</v>
      </c>
      <c r="F16" s="677">
        <f ca="1">IF(ROWS($1:1)&gt;COUNT(Dong9),"",OFFSET(TH!K$1,SMALL(Dong9,ROWS($1:1)),))</f>
        <v>4290000</v>
      </c>
      <c r="G16" s="677">
        <f ca="1">IF($E16="1521",$F16,0)</f>
        <v>0</v>
      </c>
      <c r="H16" s="677">
        <f ca="1">IF($E16="1522",$F16,0)</f>
        <v>0</v>
      </c>
      <c r="I16" s="677">
        <f ca="1">IF(LEFT(D16,6)="Mực in",F16,0)</f>
        <v>4290000</v>
      </c>
      <c r="J16" s="677">
        <f ca="1">IF(OR(LEFT($E16,3)="334",LEFT($E16,3)="338"),$F16,0)</f>
        <v>0</v>
      </c>
      <c r="K16" s="677">
        <f ca="1">IF(OR(LEFT($E16,3)="331",AND(LEFT($E16,3)="111",$D16="Tiền điện")),$F16,0)</f>
        <v>0</v>
      </c>
      <c r="L16" s="677">
        <f ca="1">IF($E16="142",$F16,0)</f>
        <v>0</v>
      </c>
      <c r="M16" s="677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5">
        <f ca="1">IF(ROWS($1:2)&gt;COUNT(Dong9),"",OFFSET(TH!C$1,SMALL(Dong9,ROWS($1:2)),))</f>
        <v>41743</v>
      </c>
      <c r="B17" s="675">
        <f ca="1">IF(ROWS($1:2)&gt;COUNT(Dong9),"",OFFSET(TH!D$1,SMALL(Dong9,ROWS($1:2)),))</f>
        <v>0</v>
      </c>
      <c r="C17" s="675">
        <f ca="1">IF(ROWS($1:2)&gt;COUNT(Dong9),"",OFFSET(TH!E$1,SMALL(Dong9,ROWS($1:2)),))</f>
        <v>41743</v>
      </c>
      <c r="D17" s="676" t="str">
        <f ca="1">IF(ROWS($1:2)&gt;COUNT(Dong9),"",OFFSET(TH!F$1,SMALL(Dong9,ROWS($1:2)),))</f>
        <v>Mực in</v>
      </c>
      <c r="E17" s="675" t="str">
        <f ca="1">IF(ROWS($1:2)&gt;COUNT(Dong9),"",OFFSET(TH!M$1,SMALL(Dong9,ROWS($1:2)),))</f>
        <v>1111</v>
      </c>
      <c r="F17" s="677">
        <f ca="1">IF(ROWS($1:2)&gt;COUNT(Dong9),"",OFFSET(TH!K$1,SMALL(Dong9,ROWS($1:2)),))</f>
        <v>3710000</v>
      </c>
      <c r="G17" s="677">
        <f t="shared" ref="G17:G33" ca="1" si="0">IF($E17="1521",$F17,0)</f>
        <v>0</v>
      </c>
      <c r="H17" s="677">
        <f t="shared" ref="H17:H33" ca="1" si="1">IF($E17="1522",$F17,0)</f>
        <v>0</v>
      </c>
      <c r="I17" s="677">
        <f t="shared" ref="I17:I33" ca="1" si="2">IF(LEFT(D17,6)="Mực in",F17,0)</f>
        <v>3710000</v>
      </c>
      <c r="J17" s="677">
        <f t="shared" ref="J17:J33" ca="1" si="3">IF(OR(LEFT($E17,3)="334",LEFT($E17,3)="338"),$F17,0)</f>
        <v>0</v>
      </c>
      <c r="K17" s="677">
        <f t="shared" ref="K17:K33" ca="1" si="4">IF(OR(LEFT($E17,3)="331",AND(LEFT($E17,3)="111",$D17="Tiền điện")),$F17,0)</f>
        <v>0</v>
      </c>
      <c r="L17" s="677">
        <f t="shared" ref="L17:L33" ca="1" si="5">IF($E17="142",$F17,0)</f>
        <v>0</v>
      </c>
      <c r="M17" s="67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5">
        <f ca="1">IF(ROWS($1:3)&gt;COUNT(Dong9),"",OFFSET(TH!C$1,SMALL(Dong9,ROWS($1:3)),))</f>
        <v>41789</v>
      </c>
      <c r="B18" s="675">
        <f ca="1">IF(ROWS($1:3)&gt;COUNT(Dong9),"",OFFSET(TH!D$1,SMALL(Dong9,ROWS($1:3)),))</f>
        <v>0</v>
      </c>
      <c r="C18" s="675">
        <f ca="1">IF(ROWS($1:3)&gt;COUNT(Dong9),"",OFFSET(TH!E$1,SMALL(Dong9,ROWS($1:3)),))</f>
        <v>41789</v>
      </c>
      <c r="D18" s="676" t="str">
        <f ca="1">IF(ROWS($1:3)&gt;COUNT(Dong9),"",OFFSET(TH!F$1,SMALL(Dong9,ROWS($1:3)),))</f>
        <v>Mực in</v>
      </c>
      <c r="E18" s="675" t="str">
        <f ca="1">IF(ROWS($1:3)&gt;COUNT(Dong9),"",OFFSET(TH!M$1,SMALL(Dong9,ROWS($1:3)),))</f>
        <v>1111</v>
      </c>
      <c r="F18" s="677">
        <f ca="1">IF(ROWS($1:3)&gt;COUNT(Dong9),"",OFFSET(TH!K$1,SMALL(Dong9,ROWS($1:3)),))</f>
        <v>5040000</v>
      </c>
      <c r="G18" s="677">
        <f t="shared" ca="1" si="0"/>
        <v>0</v>
      </c>
      <c r="H18" s="677">
        <f t="shared" ca="1" si="1"/>
        <v>0</v>
      </c>
      <c r="I18" s="677">
        <f t="shared" ca="1" si="2"/>
        <v>5040000</v>
      </c>
      <c r="J18" s="677">
        <f t="shared" ca="1" si="3"/>
        <v>0</v>
      </c>
      <c r="K18" s="677">
        <f t="shared" ca="1" si="4"/>
        <v>0</v>
      </c>
      <c r="L18" s="677">
        <f t="shared" ca="1" si="5"/>
        <v>0</v>
      </c>
      <c r="M18" s="677">
        <f t="shared" ca="1" si="6"/>
        <v>0</v>
      </c>
    </row>
    <row r="19" spans="1:13" ht="22.5" customHeight="1">
      <c r="A19" s="675">
        <f ca="1">IF(ROWS($1:4)&gt;COUNT(Dong9),"",OFFSET(TH!C$1,SMALL(Dong9,ROWS($1:4)),))</f>
        <v>41795</v>
      </c>
      <c r="B19" s="675">
        <f ca="1">IF(ROWS($1:4)&gt;COUNT(Dong9),"",OFFSET(TH!D$1,SMALL(Dong9,ROWS($1:4)),))</f>
        <v>0</v>
      </c>
      <c r="C19" s="675">
        <f ca="1">IF(ROWS($1:4)&gt;COUNT(Dong9),"",OFFSET(TH!E$1,SMALL(Dong9,ROWS($1:4)),))</f>
        <v>41795</v>
      </c>
      <c r="D19" s="676" t="str">
        <f ca="1">IF(ROWS($1:4)&gt;COUNT(Dong9),"",OFFSET(TH!F$1,SMALL(Dong9,ROWS($1:4)),))</f>
        <v>Mực in</v>
      </c>
      <c r="E19" s="675" t="str">
        <f ca="1">IF(ROWS($1:4)&gt;COUNT(Dong9),"",OFFSET(TH!M$1,SMALL(Dong9,ROWS($1:4)),))</f>
        <v>1111</v>
      </c>
      <c r="F19" s="677">
        <f ca="1">IF(ROWS($1:4)&gt;COUNT(Dong9),"",OFFSET(TH!K$1,SMALL(Dong9,ROWS($1:4)),))</f>
        <v>4070000</v>
      </c>
      <c r="G19" s="677">
        <f t="shared" ca="1" si="0"/>
        <v>0</v>
      </c>
      <c r="H19" s="677">
        <f t="shared" ca="1" si="1"/>
        <v>0</v>
      </c>
      <c r="I19" s="677">
        <f t="shared" ca="1" si="2"/>
        <v>4070000</v>
      </c>
      <c r="J19" s="677">
        <f t="shared" ca="1" si="3"/>
        <v>0</v>
      </c>
      <c r="K19" s="677">
        <f t="shared" ca="1" si="4"/>
        <v>0</v>
      </c>
      <c r="L19" s="677">
        <f t="shared" ca="1" si="5"/>
        <v>0</v>
      </c>
      <c r="M19" s="677">
        <f t="shared" ca="1" si="6"/>
        <v>0</v>
      </c>
    </row>
    <row r="20" spans="1:13" ht="22.5" customHeight="1">
      <c r="A20" s="675">
        <f ca="1">IF(ROWS($1:5)&gt;COUNT(Dong9),"",OFFSET(TH!C$1,SMALL(Dong9,ROWS($1:5)),))</f>
        <v>41813</v>
      </c>
      <c r="B20" s="675">
        <f ca="1">IF(ROWS($1:5)&gt;COUNT(Dong9),"",OFFSET(TH!D$1,SMALL(Dong9,ROWS($1:5)),))</f>
        <v>0</v>
      </c>
      <c r="C20" s="675">
        <f ca="1">IF(ROWS($1:5)&gt;COUNT(Dong9),"",OFFSET(TH!E$1,SMALL(Dong9,ROWS($1:5)),))</f>
        <v>41813</v>
      </c>
      <c r="D20" s="676" t="str">
        <f ca="1">IF(ROWS($1:5)&gt;COUNT(Dong9),"",OFFSET(TH!F$1,SMALL(Dong9,ROWS($1:5)),))</f>
        <v>Mực in</v>
      </c>
      <c r="E20" s="675" t="str">
        <f ca="1">IF(ROWS($1:5)&gt;COUNT(Dong9),"",OFFSET(TH!M$1,SMALL(Dong9,ROWS($1:5)),))</f>
        <v>1111</v>
      </c>
      <c r="F20" s="677">
        <f ca="1">IF(ROWS($1:5)&gt;COUNT(Dong9),"",OFFSET(TH!K$1,SMALL(Dong9,ROWS($1:5)),))</f>
        <v>3580000</v>
      </c>
      <c r="G20" s="677">
        <f t="shared" ca="1" si="0"/>
        <v>0</v>
      </c>
      <c r="H20" s="677">
        <f t="shared" ca="1" si="1"/>
        <v>0</v>
      </c>
      <c r="I20" s="677">
        <f t="shared" ca="1" si="2"/>
        <v>3580000</v>
      </c>
      <c r="J20" s="677">
        <f t="shared" ca="1" si="3"/>
        <v>0</v>
      </c>
      <c r="K20" s="677">
        <f t="shared" ca="1" si="4"/>
        <v>0</v>
      </c>
      <c r="L20" s="677">
        <f t="shared" ca="1" si="5"/>
        <v>0</v>
      </c>
      <c r="M20" s="677">
        <f t="shared" ca="1" si="6"/>
        <v>0</v>
      </c>
    </row>
    <row r="21" spans="1:13" ht="22.5" customHeight="1">
      <c r="A21" s="675" t="str">
        <f ca="1">IF(ROWS($1:6)&gt;COUNT(Dong9),"",OFFSET(TH!C$1,SMALL(Dong9,ROWS($1:6)),))</f>
        <v/>
      </c>
      <c r="B21" s="675" t="str">
        <f ca="1">IF(ROWS($1:6)&gt;COUNT(Dong9),"",OFFSET(TH!D$1,SMALL(Dong9,ROWS($1:6)),))</f>
        <v/>
      </c>
      <c r="C21" s="675" t="str">
        <f ca="1">IF(ROWS($1:6)&gt;COUNT(Dong9),"",OFFSET(TH!E$1,SMALL(Dong9,ROWS($1:6)),))</f>
        <v/>
      </c>
      <c r="D21" s="676" t="str">
        <f ca="1">IF(ROWS($1:6)&gt;COUNT(Dong9),"",OFFSET(TH!F$1,SMALL(Dong9,ROWS($1:6)),))</f>
        <v/>
      </c>
      <c r="E21" s="675" t="str">
        <f ca="1">IF(ROWS($1:6)&gt;COUNT(Dong9),"",OFFSET(TH!M$1,SMALL(Dong9,ROWS($1:6)),))</f>
        <v/>
      </c>
      <c r="F21" s="677" t="str">
        <f ca="1">IF(ROWS($1:6)&gt;COUNT(Dong9),"",OFFSET(TH!K$1,SMALL(Dong9,ROWS($1:6)),))</f>
        <v/>
      </c>
      <c r="G21" s="677">
        <f t="shared" ca="1" si="0"/>
        <v>0</v>
      </c>
      <c r="H21" s="677">
        <f t="shared" ca="1" si="1"/>
        <v>0</v>
      </c>
      <c r="I21" s="677">
        <f t="shared" ca="1" si="2"/>
        <v>0</v>
      </c>
      <c r="J21" s="677">
        <f t="shared" ca="1" si="3"/>
        <v>0</v>
      </c>
      <c r="K21" s="677">
        <f t="shared" ca="1" si="4"/>
        <v>0</v>
      </c>
      <c r="L21" s="677">
        <f t="shared" ca="1" si="5"/>
        <v>0</v>
      </c>
      <c r="M21" s="677">
        <f t="shared" ca="1" si="6"/>
        <v>0</v>
      </c>
    </row>
    <row r="22" spans="1:13" ht="22.5" customHeight="1">
      <c r="A22" s="675" t="str">
        <f ca="1">IF(ROWS($1:7)&gt;COUNT(Dong9),"",OFFSET(TH!C$1,SMALL(Dong9,ROWS($1:7)),))</f>
        <v/>
      </c>
      <c r="B22" s="675" t="str">
        <f ca="1">IF(ROWS($1:7)&gt;COUNT(Dong9),"",OFFSET(TH!D$1,SMALL(Dong9,ROWS($1:7)),))</f>
        <v/>
      </c>
      <c r="C22" s="675" t="str">
        <f ca="1">IF(ROWS($1:7)&gt;COUNT(Dong9),"",OFFSET(TH!E$1,SMALL(Dong9,ROWS($1:7)),))</f>
        <v/>
      </c>
      <c r="D22" s="676" t="str">
        <f ca="1">IF(ROWS($1:7)&gt;COUNT(Dong9),"",OFFSET(TH!F$1,SMALL(Dong9,ROWS($1:7)),))</f>
        <v/>
      </c>
      <c r="E22" s="675" t="str">
        <f ca="1">IF(ROWS($1:7)&gt;COUNT(Dong9),"",OFFSET(TH!M$1,SMALL(Dong9,ROWS($1:7)),))</f>
        <v/>
      </c>
      <c r="F22" s="677" t="str">
        <f ca="1">IF(ROWS($1:7)&gt;COUNT(Dong9),"",OFFSET(TH!K$1,SMALL(Dong9,ROWS($1:7)),))</f>
        <v/>
      </c>
      <c r="G22" s="677">
        <f t="shared" ca="1" si="0"/>
        <v>0</v>
      </c>
      <c r="H22" s="677">
        <f t="shared" ca="1" si="1"/>
        <v>0</v>
      </c>
      <c r="I22" s="677">
        <f t="shared" ca="1" si="2"/>
        <v>0</v>
      </c>
      <c r="J22" s="677">
        <f t="shared" ca="1" si="3"/>
        <v>0</v>
      </c>
      <c r="K22" s="677">
        <f t="shared" ca="1" si="4"/>
        <v>0</v>
      </c>
      <c r="L22" s="677">
        <f t="shared" ca="1" si="5"/>
        <v>0</v>
      </c>
      <c r="M22" s="677">
        <f t="shared" ca="1" si="6"/>
        <v>0</v>
      </c>
    </row>
    <row r="23" spans="1:13" ht="22.5" customHeight="1">
      <c r="A23" s="675" t="str">
        <f ca="1">IF(ROWS($1:8)&gt;COUNT(Dong9),"",OFFSET(TH!C$1,SMALL(Dong9,ROWS($1:8)),))</f>
        <v/>
      </c>
      <c r="B23" s="675" t="str">
        <f ca="1">IF(ROWS($1:8)&gt;COUNT(Dong9),"",OFFSET(TH!D$1,SMALL(Dong9,ROWS($1:8)),))</f>
        <v/>
      </c>
      <c r="C23" s="675" t="str">
        <f ca="1">IF(ROWS($1:8)&gt;COUNT(Dong9),"",OFFSET(TH!E$1,SMALL(Dong9,ROWS($1:8)),))</f>
        <v/>
      </c>
      <c r="D23" s="676" t="str">
        <f ca="1">IF(ROWS($1:8)&gt;COUNT(Dong9),"",OFFSET(TH!F$1,SMALL(Dong9,ROWS($1:8)),))</f>
        <v/>
      </c>
      <c r="E23" s="675" t="str">
        <f ca="1">IF(ROWS($1:8)&gt;COUNT(Dong9),"",OFFSET(TH!M$1,SMALL(Dong9,ROWS($1:8)),))</f>
        <v/>
      </c>
      <c r="F23" s="677" t="str">
        <f ca="1">IF(ROWS($1:8)&gt;COUNT(Dong9),"",OFFSET(TH!K$1,SMALL(Dong9,ROWS($1:8)),))</f>
        <v/>
      </c>
      <c r="G23" s="677">
        <f t="shared" ca="1" si="0"/>
        <v>0</v>
      </c>
      <c r="H23" s="677">
        <f t="shared" ca="1" si="1"/>
        <v>0</v>
      </c>
      <c r="I23" s="677">
        <f t="shared" ca="1" si="2"/>
        <v>0</v>
      </c>
      <c r="J23" s="677">
        <f t="shared" ca="1" si="3"/>
        <v>0</v>
      </c>
      <c r="K23" s="677">
        <f t="shared" ca="1" si="4"/>
        <v>0</v>
      </c>
      <c r="L23" s="677">
        <f t="shared" ca="1" si="5"/>
        <v>0</v>
      </c>
      <c r="M23" s="677">
        <f t="shared" ca="1" si="6"/>
        <v>0</v>
      </c>
    </row>
    <row r="24" spans="1:13" ht="22.5" customHeight="1">
      <c r="A24" s="675" t="str">
        <f ca="1">IF(ROWS($1:9)&gt;COUNT(Dong9),"",OFFSET(TH!C$1,SMALL(Dong9,ROWS($1:9)),))</f>
        <v/>
      </c>
      <c r="B24" s="675" t="str">
        <f ca="1">IF(ROWS($1:9)&gt;COUNT(Dong9),"",OFFSET(TH!D$1,SMALL(Dong9,ROWS($1:9)),))</f>
        <v/>
      </c>
      <c r="C24" s="675" t="str">
        <f ca="1">IF(ROWS($1:9)&gt;COUNT(Dong9),"",OFFSET(TH!E$1,SMALL(Dong9,ROWS($1:9)),))</f>
        <v/>
      </c>
      <c r="D24" s="676" t="str">
        <f ca="1">IF(ROWS($1:9)&gt;COUNT(Dong9),"",OFFSET(TH!F$1,SMALL(Dong9,ROWS($1:9)),))</f>
        <v/>
      </c>
      <c r="E24" s="675" t="str">
        <f ca="1">IF(ROWS($1:9)&gt;COUNT(Dong9),"",OFFSET(TH!M$1,SMALL(Dong9,ROWS($1:9)),))</f>
        <v/>
      </c>
      <c r="F24" s="677" t="str">
        <f ca="1">IF(ROWS($1:9)&gt;COUNT(Dong9),"",OFFSET(TH!K$1,SMALL(Dong9,ROWS($1:9)),))</f>
        <v/>
      </c>
      <c r="G24" s="677">
        <f t="shared" ca="1" si="0"/>
        <v>0</v>
      </c>
      <c r="H24" s="677">
        <f t="shared" ca="1" si="1"/>
        <v>0</v>
      </c>
      <c r="I24" s="677">
        <f t="shared" ca="1" si="2"/>
        <v>0</v>
      </c>
      <c r="J24" s="677">
        <f t="shared" ca="1" si="3"/>
        <v>0</v>
      </c>
      <c r="K24" s="677">
        <f t="shared" ca="1" si="4"/>
        <v>0</v>
      </c>
      <c r="L24" s="677">
        <f t="shared" ca="1" si="5"/>
        <v>0</v>
      </c>
      <c r="M24" s="677">
        <f t="shared" ca="1" si="6"/>
        <v>0</v>
      </c>
    </row>
    <row r="25" spans="1:13" ht="22.5" customHeight="1">
      <c r="A25" s="675" t="str">
        <f ca="1">IF(ROWS($1:10)&gt;COUNT(Dong9),"",OFFSET(TH!C$1,SMALL(Dong9,ROWS($1:10)),))</f>
        <v/>
      </c>
      <c r="B25" s="675" t="str">
        <f ca="1">IF(ROWS($1:10)&gt;COUNT(Dong9),"",OFFSET(TH!D$1,SMALL(Dong9,ROWS($1:10)),))</f>
        <v/>
      </c>
      <c r="C25" s="675" t="str">
        <f ca="1">IF(ROWS($1:10)&gt;COUNT(Dong9),"",OFFSET(TH!E$1,SMALL(Dong9,ROWS($1:10)),))</f>
        <v/>
      </c>
      <c r="D25" s="676" t="str">
        <f ca="1">IF(ROWS($1:10)&gt;COUNT(Dong9),"",OFFSET(TH!F$1,SMALL(Dong9,ROWS($1:10)),))</f>
        <v/>
      </c>
      <c r="E25" s="675" t="str">
        <f ca="1">IF(ROWS($1:10)&gt;COUNT(Dong9),"",OFFSET(TH!M$1,SMALL(Dong9,ROWS($1:10)),))</f>
        <v/>
      </c>
      <c r="F25" s="677" t="str">
        <f ca="1">IF(ROWS($1:10)&gt;COUNT(Dong9),"",OFFSET(TH!K$1,SMALL(Dong9,ROWS($1:10)),))</f>
        <v/>
      </c>
      <c r="G25" s="677">
        <f t="shared" ca="1" si="0"/>
        <v>0</v>
      </c>
      <c r="H25" s="677">
        <f t="shared" ca="1" si="1"/>
        <v>0</v>
      </c>
      <c r="I25" s="677">
        <f t="shared" ca="1" si="2"/>
        <v>0</v>
      </c>
      <c r="J25" s="677">
        <f t="shared" ca="1" si="3"/>
        <v>0</v>
      </c>
      <c r="K25" s="677">
        <f t="shared" ca="1" si="4"/>
        <v>0</v>
      </c>
      <c r="L25" s="677">
        <f t="shared" ca="1" si="5"/>
        <v>0</v>
      </c>
      <c r="M25" s="677">
        <f t="shared" ca="1" si="6"/>
        <v>0</v>
      </c>
    </row>
    <row r="26" spans="1:13" ht="22.5" customHeight="1">
      <c r="A26" s="675" t="str">
        <f ca="1">IF(ROWS($1:11)&gt;COUNT(Dong9),"",OFFSET(TH!C$1,SMALL(Dong9,ROWS($1:11)),))</f>
        <v/>
      </c>
      <c r="B26" s="675" t="str">
        <f ca="1">IF(ROWS($1:11)&gt;COUNT(Dong9),"",OFFSET(TH!D$1,SMALL(Dong9,ROWS($1:11)),))</f>
        <v/>
      </c>
      <c r="C26" s="675" t="str">
        <f ca="1">IF(ROWS($1:11)&gt;COUNT(Dong9),"",OFFSET(TH!E$1,SMALL(Dong9,ROWS($1:11)),))</f>
        <v/>
      </c>
      <c r="D26" s="676" t="str">
        <f ca="1">IF(ROWS($1:11)&gt;COUNT(Dong9),"",OFFSET(TH!F$1,SMALL(Dong9,ROWS($1:11)),))</f>
        <v/>
      </c>
      <c r="E26" s="675" t="str">
        <f ca="1">IF(ROWS($1:11)&gt;COUNT(Dong9),"",OFFSET(TH!M$1,SMALL(Dong9,ROWS($1:11)),))</f>
        <v/>
      </c>
      <c r="F26" s="677" t="str">
        <f ca="1">IF(ROWS($1:11)&gt;COUNT(Dong9),"",OFFSET(TH!K$1,SMALL(Dong9,ROWS($1:11)),))</f>
        <v/>
      </c>
      <c r="G26" s="677">
        <f t="shared" ca="1" si="0"/>
        <v>0</v>
      </c>
      <c r="H26" s="677">
        <f t="shared" ca="1" si="1"/>
        <v>0</v>
      </c>
      <c r="I26" s="677">
        <f t="shared" ca="1" si="2"/>
        <v>0</v>
      </c>
      <c r="J26" s="677">
        <f t="shared" ca="1" si="3"/>
        <v>0</v>
      </c>
      <c r="K26" s="677">
        <f t="shared" ca="1" si="4"/>
        <v>0</v>
      </c>
      <c r="L26" s="677">
        <f t="shared" ca="1" si="5"/>
        <v>0</v>
      </c>
      <c r="M26" s="677">
        <f t="shared" ca="1" si="6"/>
        <v>0</v>
      </c>
    </row>
    <row r="27" spans="1:13" ht="22.5" customHeight="1">
      <c r="A27" s="675" t="str">
        <f ca="1">IF(ROWS($1:12)&gt;COUNT(Dong9),"",OFFSET(TH!C$1,SMALL(Dong9,ROWS($1:12)),))</f>
        <v/>
      </c>
      <c r="B27" s="675" t="str">
        <f ca="1">IF(ROWS($1:12)&gt;COUNT(Dong9),"",OFFSET(TH!D$1,SMALL(Dong9,ROWS($1:12)),))</f>
        <v/>
      </c>
      <c r="C27" s="675" t="str">
        <f ca="1">IF(ROWS($1:12)&gt;COUNT(Dong9),"",OFFSET(TH!E$1,SMALL(Dong9,ROWS($1:12)),))</f>
        <v/>
      </c>
      <c r="D27" s="676" t="str">
        <f ca="1">IF(ROWS($1:12)&gt;COUNT(Dong9),"",OFFSET(TH!F$1,SMALL(Dong9,ROWS($1:12)),))</f>
        <v/>
      </c>
      <c r="E27" s="675" t="str">
        <f ca="1">IF(ROWS($1:12)&gt;COUNT(Dong9),"",OFFSET(TH!M$1,SMALL(Dong9,ROWS($1:12)),))</f>
        <v/>
      </c>
      <c r="F27" s="677" t="str">
        <f ca="1">IF(ROWS($1:12)&gt;COUNT(Dong9),"",OFFSET(TH!K$1,SMALL(Dong9,ROWS($1:12)),))</f>
        <v/>
      </c>
      <c r="G27" s="677">
        <f t="shared" ca="1" si="0"/>
        <v>0</v>
      </c>
      <c r="H27" s="677">
        <f t="shared" ca="1" si="1"/>
        <v>0</v>
      </c>
      <c r="I27" s="677">
        <f t="shared" ca="1" si="2"/>
        <v>0</v>
      </c>
      <c r="J27" s="677">
        <f t="shared" ca="1" si="3"/>
        <v>0</v>
      </c>
      <c r="K27" s="677">
        <f t="shared" ca="1" si="4"/>
        <v>0</v>
      </c>
      <c r="L27" s="677">
        <f t="shared" ca="1" si="5"/>
        <v>0</v>
      </c>
      <c r="M27" s="677">
        <f t="shared" ca="1" si="6"/>
        <v>0</v>
      </c>
    </row>
    <row r="28" spans="1:13" ht="22.5" customHeight="1">
      <c r="A28" s="675" t="str">
        <f ca="1">IF(ROWS($1:13)&gt;COUNT(Dong9),"",OFFSET(TH!C$1,SMALL(Dong9,ROWS($1:13)),))</f>
        <v/>
      </c>
      <c r="B28" s="675" t="str">
        <f ca="1">IF(ROWS($1:13)&gt;COUNT(Dong9),"",OFFSET(TH!D$1,SMALL(Dong9,ROWS($1:13)),))</f>
        <v/>
      </c>
      <c r="C28" s="675" t="str">
        <f ca="1">IF(ROWS($1:13)&gt;COUNT(Dong9),"",OFFSET(TH!E$1,SMALL(Dong9,ROWS($1:13)),))</f>
        <v/>
      </c>
      <c r="D28" s="676" t="str">
        <f ca="1">IF(ROWS($1:13)&gt;COUNT(Dong9),"",OFFSET(TH!F$1,SMALL(Dong9,ROWS($1:13)),))</f>
        <v/>
      </c>
      <c r="E28" s="675" t="str">
        <f ca="1">IF(ROWS($1:13)&gt;COUNT(Dong9),"",OFFSET(TH!M$1,SMALL(Dong9,ROWS($1:13)),))</f>
        <v/>
      </c>
      <c r="F28" s="677" t="str">
        <f ca="1">IF(ROWS($1:13)&gt;COUNT(Dong9),"",OFFSET(TH!K$1,SMALL(Dong9,ROWS($1:13)),))</f>
        <v/>
      </c>
      <c r="G28" s="677">
        <f t="shared" ca="1" si="0"/>
        <v>0</v>
      </c>
      <c r="H28" s="677">
        <f t="shared" ca="1" si="1"/>
        <v>0</v>
      </c>
      <c r="I28" s="677">
        <f t="shared" ca="1" si="2"/>
        <v>0</v>
      </c>
      <c r="J28" s="677">
        <f t="shared" ca="1" si="3"/>
        <v>0</v>
      </c>
      <c r="K28" s="677">
        <f t="shared" ca="1" si="4"/>
        <v>0</v>
      </c>
      <c r="L28" s="677">
        <f t="shared" ca="1" si="5"/>
        <v>0</v>
      </c>
      <c r="M28" s="677">
        <f t="shared" ca="1" si="6"/>
        <v>0</v>
      </c>
    </row>
    <row r="29" spans="1:13" ht="22.5" customHeight="1">
      <c r="A29" s="675" t="str">
        <f ca="1">IF(ROWS($1:14)&gt;COUNT(Dong9),"",OFFSET(TH!C$1,SMALL(Dong9,ROWS($1:14)),))</f>
        <v/>
      </c>
      <c r="B29" s="675" t="str">
        <f ca="1">IF(ROWS($1:14)&gt;COUNT(Dong9),"",OFFSET(TH!D$1,SMALL(Dong9,ROWS($1:14)),))</f>
        <v/>
      </c>
      <c r="C29" s="675" t="str">
        <f ca="1">IF(ROWS($1:14)&gt;COUNT(Dong9),"",OFFSET(TH!E$1,SMALL(Dong9,ROWS($1:14)),))</f>
        <v/>
      </c>
      <c r="D29" s="676" t="str">
        <f ca="1">IF(ROWS($1:14)&gt;COUNT(Dong9),"",OFFSET(TH!F$1,SMALL(Dong9,ROWS($1:14)),))</f>
        <v/>
      </c>
      <c r="E29" s="675" t="str">
        <f ca="1">IF(ROWS($1:14)&gt;COUNT(Dong9),"",OFFSET(TH!M$1,SMALL(Dong9,ROWS($1:14)),))</f>
        <v/>
      </c>
      <c r="F29" s="677" t="str">
        <f ca="1">IF(ROWS($1:14)&gt;COUNT(Dong9),"",OFFSET(TH!K$1,SMALL(Dong9,ROWS($1:14)),))</f>
        <v/>
      </c>
      <c r="G29" s="677">
        <f t="shared" ca="1" si="0"/>
        <v>0</v>
      </c>
      <c r="H29" s="677">
        <f t="shared" ca="1" si="1"/>
        <v>0</v>
      </c>
      <c r="I29" s="677">
        <f t="shared" ca="1" si="2"/>
        <v>0</v>
      </c>
      <c r="J29" s="677">
        <f t="shared" ca="1" si="3"/>
        <v>0</v>
      </c>
      <c r="K29" s="677">
        <f t="shared" ca="1" si="4"/>
        <v>0</v>
      </c>
      <c r="L29" s="677">
        <f t="shared" ca="1" si="5"/>
        <v>0</v>
      </c>
      <c r="M29" s="677">
        <f t="shared" ca="1" si="6"/>
        <v>0</v>
      </c>
    </row>
    <row r="30" spans="1:13" ht="22.5" customHeight="1">
      <c r="A30" s="675" t="str">
        <f ca="1">IF(ROWS($1:15)&gt;COUNT(Dong9),"",OFFSET(TH!C$1,SMALL(Dong9,ROWS($1:15)),))</f>
        <v/>
      </c>
      <c r="B30" s="675" t="str">
        <f ca="1">IF(ROWS($1:15)&gt;COUNT(Dong9),"",OFFSET(TH!D$1,SMALL(Dong9,ROWS($1:15)),))</f>
        <v/>
      </c>
      <c r="C30" s="675" t="str">
        <f ca="1">IF(ROWS($1:15)&gt;COUNT(Dong9),"",OFFSET(TH!E$1,SMALL(Dong9,ROWS($1:15)),))</f>
        <v/>
      </c>
      <c r="D30" s="676" t="str">
        <f ca="1">IF(ROWS($1:15)&gt;COUNT(Dong9),"",OFFSET(TH!F$1,SMALL(Dong9,ROWS($1:15)),))</f>
        <v/>
      </c>
      <c r="E30" s="675" t="str">
        <f ca="1">IF(ROWS($1:15)&gt;COUNT(Dong9),"",OFFSET(TH!M$1,SMALL(Dong9,ROWS($1:15)),))</f>
        <v/>
      </c>
      <c r="F30" s="677" t="str">
        <f ca="1">IF(ROWS($1:15)&gt;COUNT(Dong9),"",OFFSET(TH!K$1,SMALL(Dong9,ROWS($1:15)),))</f>
        <v/>
      </c>
      <c r="G30" s="677">
        <f t="shared" ca="1" si="0"/>
        <v>0</v>
      </c>
      <c r="H30" s="677">
        <f t="shared" ca="1" si="1"/>
        <v>0</v>
      </c>
      <c r="I30" s="677">
        <f t="shared" ca="1" si="2"/>
        <v>0</v>
      </c>
      <c r="J30" s="677">
        <f t="shared" ca="1" si="3"/>
        <v>0</v>
      </c>
      <c r="K30" s="677">
        <f t="shared" ca="1" si="4"/>
        <v>0</v>
      </c>
      <c r="L30" s="677">
        <f t="shared" ca="1" si="5"/>
        <v>0</v>
      </c>
      <c r="M30" s="677">
        <f t="shared" ca="1" si="6"/>
        <v>0</v>
      </c>
    </row>
    <row r="31" spans="1:13" ht="22.5" customHeight="1">
      <c r="A31" s="675" t="str">
        <f ca="1">IF(ROWS($1:16)&gt;COUNT(Dong9),"",OFFSET(TH!C$1,SMALL(Dong9,ROWS($1:16)),))</f>
        <v/>
      </c>
      <c r="B31" s="675" t="str">
        <f ca="1">IF(ROWS($1:16)&gt;COUNT(Dong9),"",OFFSET(TH!D$1,SMALL(Dong9,ROWS($1:16)),))</f>
        <v/>
      </c>
      <c r="C31" s="675" t="str">
        <f ca="1">IF(ROWS($1:16)&gt;COUNT(Dong9),"",OFFSET(TH!E$1,SMALL(Dong9,ROWS($1:16)),))</f>
        <v/>
      </c>
      <c r="D31" s="676" t="str">
        <f ca="1">IF(ROWS($1:16)&gt;COUNT(Dong9),"",OFFSET(TH!F$1,SMALL(Dong9,ROWS($1:16)),))</f>
        <v/>
      </c>
      <c r="E31" s="675" t="str">
        <f ca="1">IF(ROWS($1:16)&gt;COUNT(Dong9),"",OFFSET(TH!M$1,SMALL(Dong9,ROWS($1:16)),))</f>
        <v/>
      </c>
      <c r="F31" s="677" t="str">
        <f ca="1">IF(ROWS($1:16)&gt;COUNT(Dong9),"",OFFSET(TH!K$1,SMALL(Dong9,ROWS($1:16)),))</f>
        <v/>
      </c>
      <c r="G31" s="677">
        <f t="shared" ca="1" si="0"/>
        <v>0</v>
      </c>
      <c r="H31" s="677">
        <f t="shared" ca="1" si="1"/>
        <v>0</v>
      </c>
      <c r="I31" s="677">
        <f t="shared" ca="1" si="2"/>
        <v>0</v>
      </c>
      <c r="J31" s="677">
        <f t="shared" ca="1" si="3"/>
        <v>0</v>
      </c>
      <c r="K31" s="677">
        <f t="shared" ca="1" si="4"/>
        <v>0</v>
      </c>
      <c r="L31" s="677">
        <f t="shared" ca="1" si="5"/>
        <v>0</v>
      </c>
      <c r="M31" s="677">
        <f t="shared" ca="1" si="6"/>
        <v>0</v>
      </c>
    </row>
    <row r="32" spans="1:13" ht="22.5" customHeight="1">
      <c r="A32" s="675" t="str">
        <f ca="1">IF(ROWS($1:17)&gt;COUNT(Dong9),"",OFFSET(TH!C$1,SMALL(Dong9,ROWS($1:17)),))</f>
        <v/>
      </c>
      <c r="B32" s="675" t="str">
        <f ca="1">IF(ROWS($1:17)&gt;COUNT(Dong9),"",OFFSET(TH!D$1,SMALL(Dong9,ROWS($1:17)),))</f>
        <v/>
      </c>
      <c r="C32" s="675" t="str">
        <f ca="1">IF(ROWS($1:17)&gt;COUNT(Dong9),"",OFFSET(TH!E$1,SMALL(Dong9,ROWS($1:17)),))</f>
        <v/>
      </c>
      <c r="D32" s="676" t="str">
        <f ca="1">IF(ROWS($1:17)&gt;COUNT(Dong9),"",OFFSET(TH!F$1,SMALL(Dong9,ROWS($1:17)),))</f>
        <v/>
      </c>
      <c r="E32" s="675" t="str">
        <f ca="1">IF(ROWS($1:17)&gt;COUNT(Dong9),"",OFFSET(TH!M$1,SMALL(Dong9,ROWS($1:17)),))</f>
        <v/>
      </c>
      <c r="F32" s="677" t="str">
        <f ca="1">IF(ROWS($1:17)&gt;COUNT(Dong9),"",OFFSET(TH!K$1,SMALL(Dong9,ROWS($1:17)),))</f>
        <v/>
      </c>
      <c r="G32" s="677">
        <f t="shared" ca="1" si="0"/>
        <v>0</v>
      </c>
      <c r="H32" s="677">
        <f t="shared" ca="1" si="1"/>
        <v>0</v>
      </c>
      <c r="I32" s="677">
        <f t="shared" ca="1" si="2"/>
        <v>0</v>
      </c>
      <c r="J32" s="677">
        <f t="shared" ca="1" si="3"/>
        <v>0</v>
      </c>
      <c r="K32" s="677">
        <f t="shared" ca="1" si="4"/>
        <v>0</v>
      </c>
      <c r="L32" s="677">
        <f t="shared" ca="1" si="5"/>
        <v>0</v>
      </c>
      <c r="M32" s="677">
        <f t="shared" ca="1" si="6"/>
        <v>0</v>
      </c>
    </row>
    <row r="33" spans="1:13" ht="22.5" customHeight="1">
      <c r="A33" s="675" t="str">
        <f ca="1">IF(ROWS($1:18)&gt;COUNT(Dong9),"",OFFSET(TH!C$1,SMALL(Dong9,ROWS($1:18)),))</f>
        <v/>
      </c>
      <c r="B33" s="675" t="str">
        <f ca="1">IF(ROWS($1:18)&gt;COUNT(Dong9),"",OFFSET(TH!D$1,SMALL(Dong9,ROWS($1:18)),))</f>
        <v/>
      </c>
      <c r="C33" s="675" t="str">
        <f ca="1">IF(ROWS($1:18)&gt;COUNT(Dong9),"",OFFSET(TH!E$1,SMALL(Dong9,ROWS($1:18)),))</f>
        <v/>
      </c>
      <c r="D33" s="676" t="str">
        <f ca="1">IF(ROWS($1:18)&gt;COUNT(Dong9),"",OFFSET(TH!F$1,SMALL(Dong9,ROWS($1:18)),))</f>
        <v/>
      </c>
      <c r="E33" s="675" t="str">
        <f ca="1">IF(ROWS($1:18)&gt;COUNT(Dong9),"",OFFSET(TH!M$1,SMALL(Dong9,ROWS($1:18)),))</f>
        <v/>
      </c>
      <c r="F33" s="677" t="str">
        <f ca="1">IF(ROWS($1:18)&gt;COUNT(Dong9),"",OFFSET(TH!K$1,SMALL(Dong9,ROWS($1:18)),))</f>
        <v/>
      </c>
      <c r="G33" s="677">
        <f t="shared" ca="1" si="0"/>
        <v>0</v>
      </c>
      <c r="H33" s="677">
        <f t="shared" ca="1" si="1"/>
        <v>0</v>
      </c>
      <c r="I33" s="677">
        <f t="shared" ca="1" si="2"/>
        <v>0</v>
      </c>
      <c r="J33" s="677">
        <f t="shared" ca="1" si="3"/>
        <v>0</v>
      </c>
      <c r="K33" s="677">
        <f t="shared" ca="1" si="4"/>
        <v>0</v>
      </c>
      <c r="L33" s="677">
        <f t="shared" ca="1" si="5"/>
        <v>0</v>
      </c>
      <c r="M33" s="677">
        <f t="shared" ca="1" si="6"/>
        <v>0</v>
      </c>
    </row>
    <row r="34" spans="1:13" ht="22.5" customHeight="1">
      <c r="A34" s="675"/>
      <c r="B34" s="678"/>
      <c r="C34" s="675"/>
      <c r="D34" s="679"/>
      <c r="E34" s="680"/>
      <c r="F34" s="681"/>
      <c r="G34" s="681"/>
      <c r="H34" s="681"/>
      <c r="I34" s="681"/>
      <c r="J34" s="681"/>
      <c r="K34" s="681"/>
      <c r="L34" s="681"/>
      <c r="M34" s="681"/>
    </row>
    <row r="35" spans="1:13" ht="22.5" customHeight="1">
      <c r="A35" s="675"/>
      <c r="B35" s="678"/>
      <c r="C35" s="675"/>
      <c r="D35" s="673" t="s">
        <v>133</v>
      </c>
      <c r="E35" s="672" t="s">
        <v>19</v>
      </c>
      <c r="F35" s="674">
        <f t="shared" ref="F35:M35" ca="1" si="7">SUM(F15:F34)</f>
        <v>20690000</v>
      </c>
      <c r="G35" s="674">
        <f t="shared" ca="1" si="7"/>
        <v>0</v>
      </c>
      <c r="H35" s="674">
        <f t="shared" ca="1" si="7"/>
        <v>0</v>
      </c>
      <c r="I35" s="674">
        <f t="shared" ca="1" si="7"/>
        <v>20690000</v>
      </c>
      <c r="J35" s="674">
        <f t="shared" ca="1" si="7"/>
        <v>0</v>
      </c>
      <c r="K35" s="674">
        <f t="shared" ca="1" si="7"/>
        <v>0</v>
      </c>
      <c r="L35" s="674">
        <f t="shared" ca="1" si="7"/>
        <v>0</v>
      </c>
      <c r="M35" s="674">
        <f t="shared" ca="1" si="7"/>
        <v>0</v>
      </c>
    </row>
    <row r="36" spans="1:13" ht="22.5" customHeight="1">
      <c r="A36" s="682"/>
      <c r="B36" s="680"/>
      <c r="C36" s="682"/>
      <c r="D36" s="683" t="s">
        <v>393</v>
      </c>
      <c r="E36" s="678"/>
      <c r="F36" s="684">
        <f ca="1">SUM(G36:M36)</f>
        <v>20690000</v>
      </c>
      <c r="G36" s="684">
        <f t="shared" ref="G36:M36" ca="1" si="8">G35</f>
        <v>0</v>
      </c>
      <c r="H36" s="684">
        <f t="shared" ca="1" si="8"/>
        <v>0</v>
      </c>
      <c r="I36" s="684">
        <f t="shared" ref="I36" ca="1" si="9">I35</f>
        <v>20690000</v>
      </c>
      <c r="J36" s="684">
        <f t="shared" ca="1" si="8"/>
        <v>0</v>
      </c>
      <c r="K36" s="684">
        <f t="shared" ca="1" si="8"/>
        <v>0</v>
      </c>
      <c r="L36" s="684">
        <f t="shared" ref="L36" ca="1" si="10">L35</f>
        <v>0</v>
      </c>
      <c r="M36" s="684">
        <f t="shared" ca="1" si="8"/>
        <v>0</v>
      </c>
    </row>
    <row r="37" spans="1:13" ht="22.5" customHeight="1">
      <c r="A37" s="685"/>
      <c r="B37" s="685"/>
      <c r="C37" s="685"/>
      <c r="D37" s="686" t="s">
        <v>10</v>
      </c>
      <c r="E37" s="685" t="s">
        <v>19</v>
      </c>
      <c r="F37" s="687">
        <f t="shared" ref="F37:M37" ca="1" si="11">F15+F35-F36</f>
        <v>0</v>
      </c>
      <c r="G37" s="687">
        <f t="shared" ca="1" si="11"/>
        <v>0</v>
      </c>
      <c r="H37" s="687">
        <f t="shared" ca="1" si="11"/>
        <v>0</v>
      </c>
      <c r="I37" s="687">
        <f t="shared" ca="1" si="11"/>
        <v>0</v>
      </c>
      <c r="J37" s="687">
        <f t="shared" ca="1" si="11"/>
        <v>0</v>
      </c>
      <c r="K37" s="687">
        <f t="shared" ca="1" si="11"/>
        <v>0</v>
      </c>
      <c r="L37" s="687">
        <f t="shared" ca="1" si="11"/>
        <v>0</v>
      </c>
      <c r="M37" s="687">
        <f t="shared" ca="1" si="11"/>
        <v>0</v>
      </c>
    </row>
    <row r="39" spans="1:13">
      <c r="B39" s="688"/>
      <c r="C39" s="668" t="s">
        <v>394</v>
      </c>
    </row>
    <row r="40" spans="1:13">
      <c r="C40" s="668" t="str">
        <f ca="1">"Ngày mở sổ: "&amp;"01/"&amp;MONTH(A16)&amp;"/ "&amp;YEAR(A16)</f>
        <v>Ngày mở sổ: 01/4/ 2014</v>
      </c>
    </row>
    <row r="41" spans="1:13">
      <c r="E41" s="667"/>
      <c r="F41" s="667"/>
      <c r="G41" s="667"/>
      <c r="H41" s="667"/>
      <c r="I41" s="667"/>
      <c r="J41" s="112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125"/>
      <c r="L41" s="1125"/>
      <c r="M41" s="1125"/>
    </row>
    <row r="42" spans="1:13">
      <c r="B42" s="667"/>
      <c r="C42" s="664" t="s">
        <v>11</v>
      </c>
      <c r="D42" s="667"/>
      <c r="E42" s="667"/>
      <c r="F42" s="667"/>
      <c r="G42" s="667"/>
      <c r="H42" s="667"/>
      <c r="I42" s="667"/>
      <c r="J42" s="1125" t="s">
        <v>12</v>
      </c>
      <c r="K42" s="1125"/>
      <c r="L42" s="1125"/>
      <c r="M42" s="1125"/>
    </row>
    <row r="43" spans="1:13">
      <c r="B43" s="667"/>
      <c r="C43" s="664" t="s">
        <v>13</v>
      </c>
      <c r="D43" s="667"/>
      <c r="E43" s="667"/>
      <c r="F43" s="667"/>
      <c r="G43" s="667"/>
      <c r="H43" s="667"/>
      <c r="I43" s="667"/>
      <c r="J43" s="667"/>
      <c r="K43" s="667" t="s">
        <v>13</v>
      </c>
      <c r="L43" s="66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4" customWidth="1"/>
    <col min="2" max="2" width="8.85546875" style="664" customWidth="1"/>
    <col min="3" max="3" width="10.5703125" style="664" customWidth="1"/>
    <col min="4" max="4" width="31.85546875" style="664" customWidth="1"/>
    <col min="5" max="5" width="10.28515625" style="664" customWidth="1"/>
    <col min="6" max="6" width="15.28515625" style="664" customWidth="1"/>
    <col min="7" max="7" width="9.42578125" style="664" customWidth="1"/>
    <col min="8" max="8" width="15.140625" style="664" customWidth="1"/>
    <col min="9" max="9" width="9.140625" style="664"/>
    <col min="10" max="10" width="16.28515625" style="664" customWidth="1"/>
    <col min="11" max="11" width="6" style="664" customWidth="1"/>
    <col min="12" max="16384" width="9.140625" style="664"/>
  </cols>
  <sheetData>
    <row r="2" spans="1:13">
      <c r="A2" s="663" t="str">
        <f>'154'!A2</f>
        <v>Đơn vị: CÔNG TY TNHH SX TM KIM DUNG PHÁT</v>
      </c>
      <c r="F2" s="665"/>
      <c r="G2" s="1121" t="s">
        <v>381</v>
      </c>
      <c r="H2" s="1121"/>
      <c r="I2" s="1121"/>
      <c r="J2" s="1121"/>
    </row>
    <row r="3" spans="1:13" ht="15" customHeight="1">
      <c r="A3" s="693" t="str">
        <f>'154'!A3</f>
        <v>Địa chỉ: 1A227/1 Ấp 1, Phạm Văn Hai, Bình Chánh, TPHCM</v>
      </c>
      <c r="G3" s="112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24"/>
      <c r="I3" s="1124"/>
      <c r="J3" s="1124"/>
    </row>
    <row r="4" spans="1:13">
      <c r="G4" s="1124"/>
      <c r="H4" s="1124"/>
      <c r="I4" s="1124"/>
      <c r="J4" s="1124"/>
    </row>
    <row r="5" spans="1:13" ht="27" customHeight="1">
      <c r="A5" s="1122" t="s">
        <v>382</v>
      </c>
      <c r="B5" s="1122"/>
      <c r="C5" s="1122"/>
      <c r="D5" s="1122"/>
      <c r="E5" s="1122"/>
      <c r="F5" s="1122"/>
      <c r="G5" s="1122"/>
      <c r="H5" s="1122"/>
      <c r="I5" s="1122"/>
      <c r="J5" s="1122"/>
      <c r="K5" s="666" t="s">
        <v>175</v>
      </c>
      <c r="L5" s="597">
        <f>IF(L13="Quý I",1,IF(L13="Quý II",4,IF(L13="Quý III",7,IF(L13="Quý IV",10,""))))</f>
        <v>4</v>
      </c>
      <c r="M5" s="597">
        <f>IF(L13="Quý I",3,IF(L13="Quý II",6,IF(L13="Quý III",9,IF(L13="Quý IV",12,""))))</f>
        <v>6</v>
      </c>
    </row>
    <row r="6" spans="1:13">
      <c r="A6" s="1123" t="s">
        <v>383</v>
      </c>
      <c r="B6" s="1123"/>
      <c r="C6" s="1123"/>
      <c r="D6" s="1123"/>
      <c r="E6" s="1123"/>
      <c r="F6" s="1123"/>
      <c r="G6" s="1123"/>
      <c r="H6" s="1123"/>
      <c r="I6" s="1123"/>
      <c r="J6" s="1123"/>
    </row>
    <row r="7" spans="1:13">
      <c r="B7" s="667"/>
      <c r="C7" s="667"/>
      <c r="D7" s="667"/>
      <c r="E7" s="668" t="s">
        <v>395</v>
      </c>
      <c r="G7" s="667"/>
      <c r="H7" s="667"/>
      <c r="I7" s="667"/>
      <c r="J7" s="667"/>
    </row>
    <row r="8" spans="1:13">
      <c r="B8" s="667"/>
      <c r="C8" s="667"/>
      <c r="D8" s="667"/>
      <c r="E8" s="668" t="s">
        <v>385</v>
      </c>
      <c r="G8" s="667"/>
      <c r="H8" s="667"/>
      <c r="I8" s="667"/>
      <c r="J8" s="667"/>
    </row>
    <row r="9" spans="1:13">
      <c r="B9" s="669"/>
      <c r="C9" s="669"/>
      <c r="D9" s="669"/>
      <c r="E9" s="668" t="s">
        <v>386</v>
      </c>
      <c r="G9" s="669"/>
      <c r="H9" s="669"/>
      <c r="I9" s="669"/>
      <c r="J9" s="669"/>
    </row>
    <row r="10" spans="1:13" ht="9.75" customHeight="1">
      <c r="C10" s="1120"/>
      <c r="D10" s="1120"/>
      <c r="E10" s="1120"/>
      <c r="F10" s="1120"/>
      <c r="G10" s="1120"/>
      <c r="H10" s="1120"/>
      <c r="I10" s="1120"/>
      <c r="J10" s="1120"/>
    </row>
    <row r="11" spans="1:13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219</v>
      </c>
      <c r="F11" s="1127" t="s">
        <v>396</v>
      </c>
      <c r="G11" s="1127"/>
      <c r="H11" s="1127"/>
      <c r="I11" s="1127"/>
      <c r="J11" s="1127"/>
    </row>
    <row r="12" spans="1:13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388</v>
      </c>
      <c r="G12" s="1128" t="s">
        <v>389</v>
      </c>
      <c r="H12" s="1128"/>
      <c r="I12" s="1128"/>
      <c r="J12" s="1128"/>
    </row>
    <row r="13" spans="1:13" ht="30.75" customHeight="1" thickBot="1">
      <c r="A13" s="1126"/>
      <c r="B13" s="1128"/>
      <c r="C13" s="1128"/>
      <c r="D13" s="1126"/>
      <c r="E13" s="1126"/>
      <c r="F13" s="1128"/>
      <c r="G13" s="670">
        <v>154</v>
      </c>
      <c r="H13" s="670">
        <v>155</v>
      </c>
      <c r="I13" s="670">
        <v>156</v>
      </c>
      <c r="J13" s="670">
        <v>157</v>
      </c>
      <c r="L13" s="692" t="s">
        <v>348</v>
      </c>
    </row>
    <row r="14" spans="1:13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</row>
    <row r="15" spans="1:13" ht="20.2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</row>
    <row r="16" spans="1:13" ht="20.25" customHeight="1">
      <c r="A16" s="675" t="str">
        <f ca="1">IF(ROWS($1:1)&gt;COUNT(Dong8),"",OFFSET(TH!C$1,SMALL(Dong8,ROWS($1:1)),))</f>
        <v/>
      </c>
      <c r="B16" s="675" t="str">
        <f ca="1">IF(ROWS($1:1)&gt;COUNT(Dong8),"",OFFSET(TH!D$1,SMALL(Dong8,ROWS($1:1)),))</f>
        <v/>
      </c>
      <c r="C16" s="675" t="str">
        <f ca="1">IF(ROWS($1:1)&gt;COUNT(Dong8),"",OFFSET(TH!E$1,SMALL(Dong8,ROWS($1:1)),))</f>
        <v/>
      </c>
      <c r="D16" s="676" t="str">
        <f ca="1">IF(ROWS($1:1)&gt;COUNT(Dong8),"",OFFSET(TH!F$1,SMALL(Dong8,ROWS($1:1)),))</f>
        <v/>
      </c>
      <c r="E16" s="675" t="str">
        <f ca="1">IF(ROWS($1:1)&gt;COUNT(Dong8),"",OFFSET(TH!M$1,SMALL(Dong8,ROWS($1:1)),))</f>
        <v/>
      </c>
      <c r="F16" s="677" t="str">
        <f ca="1">IF(ROWS($1:1)&gt;COUNT(Dong8),"",OFFSET(TH!K$1,SMALL(Dong8,ROWS($1:1)),))</f>
        <v/>
      </c>
      <c r="G16" s="677">
        <f ca="1">IF($E16="154",$F16,0)</f>
        <v>0</v>
      </c>
      <c r="H16" s="677">
        <f ca="1">IF($E16="155",$F16,0)</f>
        <v>0</v>
      </c>
      <c r="I16" s="677">
        <f ca="1">IF($E16="156",$F16,0)</f>
        <v>0</v>
      </c>
      <c r="J16" s="677">
        <f ca="1">IF($E16="157",$F16,0)</f>
        <v>0</v>
      </c>
    </row>
    <row r="17" spans="1:10" ht="20.25" customHeight="1">
      <c r="A17" s="675" t="str">
        <f ca="1">IF(ROWS($1:2)&gt;COUNT(Dong8),"",OFFSET(TH!C$1,SMALL(Dong8,ROWS($1:2)),))</f>
        <v/>
      </c>
      <c r="B17" s="675" t="str">
        <f ca="1">IF(ROWS($1:2)&gt;COUNT(Dong8),"",OFFSET(TH!D$1,SMALL(Dong8,ROWS($1:2)),))</f>
        <v/>
      </c>
      <c r="C17" s="675" t="str">
        <f ca="1">IF(ROWS($1:2)&gt;COUNT(Dong8),"",OFFSET(TH!E$1,SMALL(Dong8,ROWS($1:2)),))</f>
        <v/>
      </c>
      <c r="D17" s="676" t="str">
        <f ca="1">IF(ROWS($1:2)&gt;COUNT(Dong8),"",OFFSET(TH!F$1,SMALL(Dong8,ROWS($1:2)),))</f>
        <v/>
      </c>
      <c r="E17" s="675" t="str">
        <f ca="1">IF(ROWS($1:2)&gt;COUNT(Dong8),"",OFFSET(TH!M$1,SMALL(Dong8,ROWS($1:2)),))</f>
        <v/>
      </c>
      <c r="F17" s="677" t="str">
        <f ca="1">IF(ROWS($1:2)&gt;COUNT(Dong8),"",OFFSET(TH!K$1,SMALL(Dong8,ROWS($1:2)),))</f>
        <v/>
      </c>
      <c r="G17" s="677">
        <f t="shared" ref="G17:G20" ca="1" si="0">IF($E17="154",$F17,0)</f>
        <v>0</v>
      </c>
      <c r="H17" s="677">
        <f t="shared" ref="H17:H20" ca="1" si="1">IF($E17="155",$F17,0)</f>
        <v>0</v>
      </c>
      <c r="I17" s="677">
        <f t="shared" ref="I17:I20" ca="1" si="2">IF($E17="156",$F17,0)</f>
        <v>0</v>
      </c>
      <c r="J17" s="677">
        <f t="shared" ref="J17:J20" ca="1" si="3">IF($E17="157",$F17,0)</f>
        <v>0</v>
      </c>
    </row>
    <row r="18" spans="1:10" ht="20.25" customHeight="1">
      <c r="A18" s="675" t="str">
        <f ca="1">IF(ROWS($1:3)&gt;COUNT(Dong8),"",OFFSET(TH!C$1,SMALL(Dong8,ROWS($1:3)),))</f>
        <v/>
      </c>
      <c r="B18" s="675" t="str">
        <f ca="1">IF(ROWS($1:3)&gt;COUNT(Dong8),"",OFFSET(TH!D$1,SMALL(Dong8,ROWS($1:3)),))</f>
        <v/>
      </c>
      <c r="C18" s="675" t="str">
        <f ca="1">IF(ROWS($1:3)&gt;COUNT(Dong8),"",OFFSET(TH!E$1,SMALL(Dong8,ROWS($1:3)),))</f>
        <v/>
      </c>
      <c r="D18" s="676" t="str">
        <f ca="1">IF(ROWS($1:3)&gt;COUNT(Dong8),"",OFFSET(TH!F$1,SMALL(Dong8,ROWS($1:3)),))</f>
        <v/>
      </c>
      <c r="E18" s="675" t="str">
        <f ca="1">IF(ROWS($1:3)&gt;COUNT(Dong8),"",OFFSET(TH!M$1,SMALL(Dong8,ROWS($1:3)),))</f>
        <v/>
      </c>
      <c r="F18" s="677" t="str">
        <f ca="1">IF(ROWS($1:3)&gt;COUNT(Dong8),"",OFFSET(TH!K$1,SMALL(Dong8,ROWS($1:3)),))</f>
        <v/>
      </c>
      <c r="G18" s="677">
        <f t="shared" ca="1" si="0"/>
        <v>0</v>
      </c>
      <c r="H18" s="677">
        <f t="shared" ca="1" si="1"/>
        <v>0</v>
      </c>
      <c r="I18" s="677">
        <f t="shared" ca="1" si="2"/>
        <v>0</v>
      </c>
      <c r="J18" s="677">
        <f t="shared" ca="1" si="3"/>
        <v>0</v>
      </c>
    </row>
    <row r="19" spans="1:10" ht="20.25" customHeight="1">
      <c r="A19" s="675" t="str">
        <f ca="1">IF(ROWS($1:4)&gt;COUNT(Dong8),"",OFFSET(TH!C$1,SMALL(Dong8,ROWS($1:4)),))</f>
        <v/>
      </c>
      <c r="B19" s="675" t="str">
        <f ca="1">IF(ROWS($1:4)&gt;COUNT(Dong8),"",OFFSET(TH!D$1,SMALL(Dong8,ROWS($1:4)),))</f>
        <v/>
      </c>
      <c r="C19" s="675" t="str">
        <f ca="1">IF(ROWS($1:4)&gt;COUNT(Dong8),"",OFFSET(TH!E$1,SMALL(Dong8,ROWS($1:4)),))</f>
        <v/>
      </c>
      <c r="D19" s="676" t="str">
        <f ca="1">IF(ROWS($1:4)&gt;COUNT(Dong8),"",OFFSET(TH!F$1,SMALL(Dong8,ROWS($1:4)),))</f>
        <v/>
      </c>
      <c r="E19" s="675" t="str">
        <f ca="1">IF(ROWS($1:4)&gt;COUNT(Dong8),"",OFFSET(TH!M$1,SMALL(Dong8,ROWS($1:4)),))</f>
        <v/>
      </c>
      <c r="F19" s="677" t="str">
        <f ca="1">IF(ROWS($1:4)&gt;COUNT(Dong8),"",OFFSET(TH!K$1,SMALL(Dong8,ROWS($1:4)),))</f>
        <v/>
      </c>
      <c r="G19" s="677">
        <f t="shared" ca="1" si="0"/>
        <v>0</v>
      </c>
      <c r="H19" s="677">
        <f t="shared" ca="1" si="1"/>
        <v>0</v>
      </c>
      <c r="I19" s="677">
        <f t="shared" ca="1" si="2"/>
        <v>0</v>
      </c>
      <c r="J19" s="677">
        <f t="shared" ca="1" si="3"/>
        <v>0</v>
      </c>
    </row>
    <row r="20" spans="1:10" ht="20.25" customHeight="1">
      <c r="A20" s="675" t="str">
        <f ca="1">IF(ROWS($1:5)&gt;COUNT(Dong8),"",OFFSET(TH!C$1,SMALL(Dong8,ROWS($1:5)),))</f>
        <v/>
      </c>
      <c r="B20" s="675" t="str">
        <f ca="1">IF(ROWS($1:5)&gt;COUNT(Dong8),"",OFFSET(TH!D$1,SMALL(Dong8,ROWS($1:5)),))</f>
        <v/>
      </c>
      <c r="C20" s="675" t="str">
        <f ca="1">IF(ROWS($1:5)&gt;COUNT(Dong8),"",OFFSET(TH!E$1,SMALL(Dong8,ROWS($1:5)),))</f>
        <v/>
      </c>
      <c r="D20" s="676" t="str">
        <f ca="1">IF(ROWS($1:5)&gt;COUNT(Dong8),"",OFFSET(TH!F$1,SMALL(Dong8,ROWS($1:5)),))</f>
        <v/>
      </c>
      <c r="E20" s="675" t="str">
        <f ca="1">IF(ROWS($1:5)&gt;COUNT(Dong8),"",OFFSET(TH!M$1,SMALL(Dong8,ROWS($1:5)),))</f>
        <v/>
      </c>
      <c r="F20" s="677" t="str">
        <f ca="1">IF(ROWS($1:5)&gt;COUNT(Dong8),"",OFFSET(TH!K$1,SMALL(Dong8,ROWS($1:5)),))</f>
        <v/>
      </c>
      <c r="G20" s="677">
        <f t="shared" ca="1" si="0"/>
        <v>0</v>
      </c>
      <c r="H20" s="677">
        <f t="shared" ca="1" si="1"/>
        <v>0</v>
      </c>
      <c r="I20" s="677">
        <f t="shared" ca="1" si="2"/>
        <v>0</v>
      </c>
      <c r="J20" s="677">
        <f t="shared" ca="1" si="3"/>
        <v>0</v>
      </c>
    </row>
    <row r="21" spans="1:10" ht="20.25" customHeight="1">
      <c r="A21" s="675"/>
      <c r="B21" s="678"/>
      <c r="C21" s="675"/>
      <c r="D21" s="679"/>
      <c r="E21" s="680"/>
      <c r="F21" s="681"/>
      <c r="G21" s="681"/>
      <c r="H21" s="681"/>
      <c r="I21" s="681"/>
      <c r="J21" s="681"/>
    </row>
    <row r="22" spans="1:10" ht="20.25" customHeight="1">
      <c r="A22" s="675"/>
      <c r="B22" s="678"/>
      <c r="C22" s="675"/>
      <c r="D22" s="673" t="s">
        <v>133</v>
      </c>
      <c r="E22" s="672" t="s">
        <v>19</v>
      </c>
      <c r="F22" s="674">
        <f ca="1">SUM(F15:F21)</f>
        <v>0</v>
      </c>
      <c r="G22" s="674">
        <f ca="1">SUM(G15:G21)</f>
        <v>0</v>
      </c>
      <c r="H22" s="674">
        <f ca="1">SUM(H15:H21)</f>
        <v>0</v>
      </c>
      <c r="I22" s="674">
        <f ca="1">SUM(I15:I21)</f>
        <v>0</v>
      </c>
      <c r="J22" s="674">
        <f ca="1">SUM(J15:J21)</f>
        <v>0</v>
      </c>
    </row>
    <row r="23" spans="1:10" ht="20.25" customHeight="1">
      <c r="A23" s="682"/>
      <c r="B23" s="680"/>
      <c r="C23" s="682"/>
      <c r="D23" s="683" t="s">
        <v>397</v>
      </c>
      <c r="E23" s="678"/>
      <c r="F23" s="684">
        <f ca="1">SUM(G23:J23)</f>
        <v>0</v>
      </c>
      <c r="G23" s="684">
        <f ca="1">G22</f>
        <v>0</v>
      </c>
      <c r="H23" s="684">
        <f ca="1">H22</f>
        <v>0</v>
      </c>
      <c r="I23" s="684">
        <f ca="1">I22</f>
        <v>0</v>
      </c>
      <c r="J23" s="684">
        <f ca="1">J22</f>
        <v>0</v>
      </c>
    </row>
    <row r="24" spans="1:10" ht="20.25" customHeight="1">
      <c r="A24" s="685"/>
      <c r="B24" s="685"/>
      <c r="C24" s="685"/>
      <c r="D24" s="686" t="s">
        <v>10</v>
      </c>
      <c r="E24" s="685" t="s">
        <v>19</v>
      </c>
      <c r="F24" s="687">
        <f ca="1">F15+F22-F23</f>
        <v>0</v>
      </c>
      <c r="G24" s="687">
        <f ca="1">G15+G22-G23</f>
        <v>0</v>
      </c>
      <c r="H24" s="687">
        <f ca="1">H15+H22-H23</f>
        <v>0</v>
      </c>
      <c r="I24" s="687">
        <f ca="1">I15+I22-I23</f>
        <v>0</v>
      </c>
      <c r="J24" s="687">
        <f ca="1">J15+J22-J23</f>
        <v>0</v>
      </c>
    </row>
    <row r="26" spans="1:10">
      <c r="B26" s="688"/>
      <c r="C26" s="668" t="s">
        <v>398</v>
      </c>
    </row>
    <row r="27" spans="1:10">
      <c r="C27" s="668" t="e">
        <f ca="1">"- Ngày mở sổ: "&amp;"01/"&amp;MONTH(A16)&amp;"/ "&amp;YEAR(A16)</f>
        <v>#VALUE!</v>
      </c>
    </row>
    <row r="28" spans="1:10">
      <c r="E28" s="667"/>
      <c r="F28" s="667"/>
      <c r="G28" s="667"/>
      <c r="H28" s="667"/>
      <c r="I28" s="1125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25"/>
    </row>
    <row r="29" spans="1:10">
      <c r="B29" s="667"/>
      <c r="C29" s="664" t="s">
        <v>11</v>
      </c>
      <c r="D29" s="667"/>
      <c r="E29" s="667"/>
      <c r="F29" s="667"/>
      <c r="G29" s="667"/>
      <c r="H29" s="667"/>
      <c r="I29" s="1125" t="s">
        <v>12</v>
      </c>
      <c r="J29" s="1125"/>
    </row>
    <row r="30" spans="1:10">
      <c r="B30" s="667"/>
      <c r="C30" s="664" t="s">
        <v>13</v>
      </c>
      <c r="D30" s="667"/>
      <c r="E30" s="667"/>
      <c r="F30" s="667"/>
      <c r="G30" s="667"/>
      <c r="H30" s="667"/>
      <c r="I30" s="667"/>
      <c r="J30" s="66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4" customWidth="1"/>
    <col min="3" max="3" width="8.5703125" style="664" customWidth="1"/>
    <col min="4" max="4" width="51.42578125" style="664" customWidth="1"/>
    <col min="5" max="5" width="8" style="664" customWidth="1"/>
    <col min="6" max="6" width="12.28515625" style="664" bestFit="1" customWidth="1"/>
    <col min="7" max="7" width="10.140625" style="664" customWidth="1"/>
    <col min="8" max="8" width="10.7109375" style="664" customWidth="1"/>
    <col min="9" max="9" width="11.42578125" style="664" customWidth="1"/>
    <col min="10" max="10" width="11.5703125" style="664" customWidth="1"/>
    <col min="11" max="11" width="11.42578125" style="664" customWidth="1"/>
    <col min="12" max="12" width="9.42578125" style="664" customWidth="1"/>
    <col min="13" max="13" width="6.7109375" style="664" customWidth="1"/>
    <col min="14" max="16384" width="9.140625" style="664"/>
  </cols>
  <sheetData>
    <row r="2" spans="1:15">
      <c r="A2" s="663" t="str">
        <f>'632'!A2</f>
        <v>Đơn vị: CÔNG TY TNHH SX TM KIM DUNG PHÁT</v>
      </c>
      <c r="F2" s="665"/>
      <c r="G2" s="665"/>
      <c r="H2" s="1121" t="s">
        <v>381</v>
      </c>
      <c r="I2" s="1121"/>
      <c r="J2" s="1121"/>
      <c r="K2" s="1121"/>
      <c r="L2" s="689"/>
    </row>
    <row r="3" spans="1:15" ht="15" customHeight="1">
      <c r="A3" s="693" t="str">
        <f>'632'!A3</f>
        <v>Địa chỉ: 1A227/1 Ấp 1, Phạm Văn Hai, Bình Chánh, TPHCM</v>
      </c>
      <c r="H3" s="1124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4"/>
      <c r="J3" s="1124"/>
      <c r="K3" s="1124"/>
      <c r="L3" s="667"/>
    </row>
    <row r="4" spans="1:15">
      <c r="H4" s="1124"/>
      <c r="I4" s="1124"/>
      <c r="J4" s="1124"/>
      <c r="K4" s="1124"/>
      <c r="L4" s="667"/>
    </row>
    <row r="5" spans="1:15" ht="19.5" customHeight="1">
      <c r="A5" s="1122" t="s">
        <v>382</v>
      </c>
      <c r="B5" s="1122"/>
      <c r="C5" s="1122"/>
      <c r="D5" s="1122"/>
      <c r="E5" s="1122"/>
      <c r="F5" s="1122"/>
      <c r="G5" s="1122"/>
      <c r="H5" s="1122"/>
      <c r="I5" s="1122"/>
      <c r="J5" s="1122"/>
      <c r="K5" s="1122"/>
      <c r="L5" s="1122"/>
      <c r="M5" s="666" t="s">
        <v>83</v>
      </c>
      <c r="N5" s="597">
        <f>IF(N13="Quý I",1,IF(N13="Quý II",4,IF(N13="Quý III",7,IF(N13="Quý IV",10,""))))</f>
        <v>4</v>
      </c>
      <c r="O5" s="597">
        <f>IF(N13="Quý I",3,IF(N13="Quý II",6,IF(N13="Quý III",9,IF(N13="Quý IV",12,""))))</f>
        <v>6</v>
      </c>
    </row>
    <row r="6" spans="1:15">
      <c r="A6" s="1123" t="s">
        <v>383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667"/>
      <c r="C7" s="667"/>
      <c r="D7" s="667"/>
      <c r="E7" s="668" t="s">
        <v>399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385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386</v>
      </c>
      <c r="G9" s="669"/>
      <c r="H9" s="669"/>
      <c r="I9" s="669"/>
      <c r="J9" s="669"/>
      <c r="K9" s="669"/>
      <c r="L9" s="669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219</v>
      </c>
      <c r="F11" s="1127" t="s">
        <v>400</v>
      </c>
      <c r="G11" s="1127"/>
      <c r="H11" s="1127"/>
      <c r="I11" s="1127"/>
      <c r="J11" s="1127"/>
      <c r="K11" s="1127"/>
      <c r="L11" s="1127"/>
    </row>
    <row r="12" spans="1:15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388</v>
      </c>
      <c r="G12" s="1128" t="s">
        <v>389</v>
      </c>
      <c r="H12" s="1128"/>
      <c r="I12" s="1128"/>
      <c r="J12" s="1128"/>
      <c r="K12" s="1128"/>
      <c r="L12" s="1128"/>
    </row>
    <row r="13" spans="1:15" ht="29.25" customHeight="1" thickBot="1">
      <c r="A13" s="1126"/>
      <c r="B13" s="1128"/>
      <c r="C13" s="1128"/>
      <c r="D13" s="1126"/>
      <c r="E13" s="1126"/>
      <c r="F13" s="1128"/>
      <c r="G13" s="690" t="s">
        <v>47</v>
      </c>
      <c r="H13" s="690" t="s">
        <v>24</v>
      </c>
      <c r="I13" s="690" t="s">
        <v>63</v>
      </c>
      <c r="J13" s="690" t="s">
        <v>256</v>
      </c>
      <c r="K13" s="690"/>
      <c r="L13" s="690"/>
      <c r="N13" s="692" t="s">
        <v>348</v>
      </c>
    </row>
    <row r="14" spans="1:15">
      <c r="A14" s="671" t="s">
        <v>2</v>
      </c>
      <c r="B14" s="671" t="s">
        <v>3</v>
      </c>
      <c r="C14" s="671" t="s">
        <v>4</v>
      </c>
      <c r="D14" s="671" t="s">
        <v>5</v>
      </c>
      <c r="E14" s="671" t="s">
        <v>6</v>
      </c>
      <c r="F14" s="671">
        <v>1</v>
      </c>
      <c r="G14" s="671">
        <v>2</v>
      </c>
      <c r="H14" s="671">
        <v>3</v>
      </c>
      <c r="I14" s="671">
        <v>4</v>
      </c>
      <c r="J14" s="671">
        <v>5</v>
      </c>
      <c r="K14" s="671">
        <v>6</v>
      </c>
      <c r="L14" s="67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>
        <f ca="1">IF(ROWS($1:1)&gt;COUNT(Dong7),"",OFFSET(TH!C$1,SMALL(Dong7,ROWS($1:1)),))</f>
        <v>41731</v>
      </c>
      <c r="B16" s="675" t="str">
        <f ca="1">IF(ROWS($1:1)&gt;COUNT(Dong7),"",OFFSET(TH!D$1,SMALL(Dong7,ROWS($1:1)),))</f>
        <v>GBN</v>
      </c>
      <c r="C16" s="675">
        <f ca="1">IF(ROWS($1:1)&gt;COUNT(Dong7),"",OFFSET(TH!E$1,SMALL(Dong7,ROWS($1:1)),))</f>
        <v>41731</v>
      </c>
      <c r="D16" s="676" t="str">
        <f ca="1">IF(ROWS($1:1)&gt;COUNT(Dong7),"",OFFSET(TH!F$1,SMALL(Dong7,ROWS($1:1)),))</f>
        <v>Phí chuyển tiền</v>
      </c>
      <c r="E16" s="675" t="str">
        <f ca="1">IF(ROWS($1:1)&gt;COUNT(Dong7),"",OFFSET(TH!M$1,SMALL(Dong7,ROWS($1:1)),))</f>
        <v>1121</v>
      </c>
      <c r="F16" s="677">
        <f ca="1">IF(ROWS($1:1)&gt;COUNT(Dong7),"",OFFSET(TH!K$1,SMALL(Dong7,ROWS($1:1)),))</f>
        <v>15000</v>
      </c>
      <c r="G16" s="677">
        <f t="shared" ref="G16:J30" ca="1" si="0">IF($E16=G$13,$F16,0)</f>
        <v>0</v>
      </c>
      <c r="H16" s="677">
        <f t="shared" ca="1" si="0"/>
        <v>15000</v>
      </c>
      <c r="I16" s="677">
        <f t="shared" ca="1" si="0"/>
        <v>0</v>
      </c>
      <c r="J16" s="677">
        <f t="shared" ca="1" si="0"/>
        <v>0</v>
      </c>
      <c r="K16" s="677">
        <f ca="1">IF(LEFT($E16,3)=K$13,$F16,0)</f>
        <v>0</v>
      </c>
      <c r="L16" s="677">
        <f ca="1">IF(LEFT($E16,3)=L$13,$F16,0)</f>
        <v>0</v>
      </c>
    </row>
    <row r="17" spans="1:12" ht="21.75" customHeight="1">
      <c r="A17" s="675">
        <f ca="1">IF(ROWS($1:2)&gt;COUNT(Dong7),"",OFFSET(TH!C$1,SMALL(Dong7,ROWS($1:2)),))</f>
        <v>41810</v>
      </c>
      <c r="B17" s="675" t="str">
        <f ca="1">IF(ROWS($1:2)&gt;COUNT(Dong7),"",OFFSET(TH!D$1,SMALL(Dong7,ROWS($1:2)),))</f>
        <v>GBN</v>
      </c>
      <c r="C17" s="675">
        <f ca="1">IF(ROWS($1:2)&gt;COUNT(Dong7),"",OFFSET(TH!E$1,SMALL(Dong7,ROWS($1:2)),))</f>
        <v>41810</v>
      </c>
      <c r="D17" s="676" t="str">
        <f ca="1">IF(ROWS($1:2)&gt;COUNT(Dong7),"",OFFSET(TH!F$1,SMALL(Dong7,ROWS($1:2)),))</f>
        <v>Phí chuyển tiền</v>
      </c>
      <c r="E17" s="675" t="str">
        <f ca="1">IF(ROWS($1:2)&gt;COUNT(Dong7),"",OFFSET(TH!M$1,SMALL(Dong7,ROWS($1:2)),))</f>
        <v>1121</v>
      </c>
      <c r="F17" s="677">
        <f ca="1">IF(ROWS($1:2)&gt;COUNT(Dong7),"",OFFSET(TH!K$1,SMALL(Dong7,ROWS($1:2)),))</f>
        <v>15000</v>
      </c>
      <c r="G17" s="677">
        <f t="shared" ca="1" si="0"/>
        <v>0</v>
      </c>
      <c r="H17" s="677">
        <f t="shared" ca="1" si="0"/>
        <v>15000</v>
      </c>
      <c r="I17" s="677">
        <f t="shared" ca="1" si="0"/>
        <v>0</v>
      </c>
      <c r="J17" s="677">
        <f t="shared" ca="1" si="0"/>
        <v>0</v>
      </c>
      <c r="K17" s="677">
        <f t="shared" ref="K17:L30" ca="1" si="1">IF(LEFT($E17,3)=K$13,$F17,0)</f>
        <v>0</v>
      </c>
      <c r="L17" s="677">
        <f t="shared" ca="1" si="1"/>
        <v>0</v>
      </c>
    </row>
    <row r="18" spans="1:12" ht="21.75" customHeight="1">
      <c r="A18" s="675">
        <f ca="1">IF(ROWS($1:3)&gt;COUNT(Dong7),"",OFFSET(TH!C$1,SMALL(Dong7,ROWS($1:3)),))</f>
        <v>41810</v>
      </c>
      <c r="B18" s="675" t="str">
        <f ca="1">IF(ROWS($1:3)&gt;COUNT(Dong7),"",OFFSET(TH!D$1,SMALL(Dong7,ROWS($1:3)),))</f>
        <v>GBN</v>
      </c>
      <c r="C18" s="675">
        <f ca="1">IF(ROWS($1:3)&gt;COUNT(Dong7),"",OFFSET(TH!E$1,SMALL(Dong7,ROWS($1:3)),))</f>
        <v>41810</v>
      </c>
      <c r="D18" s="676" t="str">
        <f ca="1">IF(ROWS($1:3)&gt;COUNT(Dong7),"",OFFSET(TH!F$1,SMALL(Dong7,ROWS($1:3)),))</f>
        <v>Phí chuyển tiền</v>
      </c>
      <c r="E18" s="675" t="str">
        <f ca="1">IF(ROWS($1:3)&gt;COUNT(Dong7),"",OFFSET(TH!M$1,SMALL(Dong7,ROWS($1:3)),))</f>
        <v>1121</v>
      </c>
      <c r="F18" s="677">
        <f ca="1">IF(ROWS($1:3)&gt;COUNT(Dong7),"",OFFSET(TH!K$1,SMALL(Dong7,ROWS($1:3)),))</f>
        <v>15000</v>
      </c>
      <c r="G18" s="677">
        <f t="shared" ca="1" si="0"/>
        <v>0</v>
      </c>
      <c r="H18" s="677">
        <f t="shared" ca="1" si="0"/>
        <v>15000</v>
      </c>
      <c r="I18" s="677">
        <f t="shared" ca="1" si="0"/>
        <v>0</v>
      </c>
      <c r="J18" s="677">
        <f t="shared" ca="1" si="0"/>
        <v>0</v>
      </c>
      <c r="K18" s="677">
        <f t="shared" ca="1" si="1"/>
        <v>0</v>
      </c>
      <c r="L18" s="677">
        <f t="shared" ca="1" si="1"/>
        <v>0</v>
      </c>
    </row>
    <row r="19" spans="1:12" ht="21.75" customHeight="1">
      <c r="A19" s="675">
        <f ca="1">IF(ROWS($1:4)&gt;COUNT(Dong7),"",OFFSET(TH!C$1,SMALL(Dong7,ROWS($1:4)),))</f>
        <v>41814</v>
      </c>
      <c r="B19" s="675" t="str">
        <f ca="1">IF(ROWS($1:4)&gt;COUNT(Dong7),"",OFFSET(TH!D$1,SMALL(Dong7,ROWS($1:4)),))</f>
        <v>GBN</v>
      </c>
      <c r="C19" s="675">
        <f ca="1">IF(ROWS($1:4)&gt;COUNT(Dong7),"",OFFSET(TH!E$1,SMALL(Dong7,ROWS($1:4)),))</f>
        <v>41814</v>
      </c>
      <c r="D19" s="676" t="str">
        <f ca="1">IF(ROWS($1:4)&gt;COUNT(Dong7),"",OFFSET(TH!F$1,SMALL(Dong7,ROWS($1:4)),))</f>
        <v>Phí chuyển tiền</v>
      </c>
      <c r="E19" s="675" t="str">
        <f ca="1">IF(ROWS($1:4)&gt;COUNT(Dong7),"",OFFSET(TH!M$1,SMALL(Dong7,ROWS($1:4)),))</f>
        <v>1121</v>
      </c>
      <c r="F19" s="677">
        <f ca="1">IF(ROWS($1:4)&gt;COUNT(Dong7),"",OFFSET(TH!K$1,SMALL(Dong7,ROWS($1:4)),))</f>
        <v>15000</v>
      </c>
      <c r="G19" s="677">
        <f t="shared" ca="1" si="0"/>
        <v>0</v>
      </c>
      <c r="H19" s="677">
        <f t="shared" ca="1" si="0"/>
        <v>15000</v>
      </c>
      <c r="I19" s="677">
        <f t="shared" ca="1" si="0"/>
        <v>0</v>
      </c>
      <c r="J19" s="677">
        <f t="shared" ca="1" si="0"/>
        <v>0</v>
      </c>
      <c r="K19" s="677">
        <f t="shared" ca="1" si="1"/>
        <v>0</v>
      </c>
      <c r="L19" s="677">
        <f t="shared" ca="1" si="1"/>
        <v>0</v>
      </c>
    </row>
    <row r="20" spans="1:12" ht="21.75" customHeight="1">
      <c r="A20" s="675">
        <f ca="1">IF(ROWS($1:5)&gt;COUNT(Dong7),"",OFFSET(TH!C$1,SMALL(Dong7,ROWS($1:5)),))</f>
        <v>41814</v>
      </c>
      <c r="B20" s="675" t="str">
        <f ca="1">IF(ROWS($1:5)&gt;COUNT(Dong7),"",OFFSET(TH!D$1,SMALL(Dong7,ROWS($1:5)),))</f>
        <v>GBN</v>
      </c>
      <c r="C20" s="675">
        <f ca="1">IF(ROWS($1:5)&gt;COUNT(Dong7),"",OFFSET(TH!E$1,SMALL(Dong7,ROWS($1:5)),))</f>
        <v>41814</v>
      </c>
      <c r="D20" s="676" t="str">
        <f ca="1">IF(ROWS($1:5)&gt;COUNT(Dong7),"",OFFSET(TH!F$1,SMALL(Dong7,ROWS($1:5)),))</f>
        <v>Phí chuyển tiền</v>
      </c>
      <c r="E20" s="675" t="str">
        <f ca="1">IF(ROWS($1:5)&gt;COUNT(Dong7),"",OFFSET(TH!M$1,SMALL(Dong7,ROWS($1:5)),))</f>
        <v>1121</v>
      </c>
      <c r="F20" s="677">
        <f ca="1">IF(ROWS($1:5)&gt;COUNT(Dong7),"",OFFSET(TH!K$1,SMALL(Dong7,ROWS($1:5)),))</f>
        <v>15000</v>
      </c>
      <c r="G20" s="677">
        <f t="shared" ca="1" si="0"/>
        <v>0</v>
      </c>
      <c r="H20" s="677">
        <f t="shared" ca="1" si="0"/>
        <v>15000</v>
      </c>
      <c r="I20" s="677">
        <f t="shared" ca="1" si="0"/>
        <v>0</v>
      </c>
      <c r="J20" s="677">
        <f t="shared" ca="1" si="0"/>
        <v>0</v>
      </c>
      <c r="K20" s="677">
        <f t="shared" ca="1" si="1"/>
        <v>0</v>
      </c>
      <c r="L20" s="677">
        <f t="shared" ca="1" si="1"/>
        <v>0</v>
      </c>
    </row>
    <row r="21" spans="1:12" ht="21.75" customHeight="1">
      <c r="A21" s="675">
        <f ca="1">IF(ROWS($1:6)&gt;COUNT(Dong7),"",OFFSET(TH!C$1,SMALL(Dong7,ROWS($1:6)),))</f>
        <v>41814</v>
      </c>
      <c r="B21" s="675" t="str">
        <f ca="1">IF(ROWS($1:6)&gt;COUNT(Dong7),"",OFFSET(TH!D$1,SMALL(Dong7,ROWS($1:6)),))</f>
        <v>GBN</v>
      </c>
      <c r="C21" s="675">
        <f ca="1">IF(ROWS($1:6)&gt;COUNT(Dong7),"",OFFSET(TH!E$1,SMALL(Dong7,ROWS($1:6)),))</f>
        <v>41814</v>
      </c>
      <c r="D21" s="676" t="str">
        <f ca="1">IF(ROWS($1:6)&gt;COUNT(Dong7),"",OFFSET(TH!F$1,SMALL(Dong7,ROWS($1:6)),))</f>
        <v>Phí kiểm đếm</v>
      </c>
      <c r="E21" s="675" t="str">
        <f ca="1">IF(ROWS($1:6)&gt;COUNT(Dong7),"",OFFSET(TH!M$1,SMALL(Dong7,ROWS($1:6)),))</f>
        <v>1121</v>
      </c>
      <c r="F21" s="677">
        <f ca="1">IF(ROWS($1:6)&gt;COUNT(Dong7),"",OFFSET(TH!K$1,SMALL(Dong7,ROWS($1:6)),))</f>
        <v>15000</v>
      </c>
      <c r="G21" s="677">
        <f t="shared" ca="1" si="0"/>
        <v>0</v>
      </c>
      <c r="H21" s="677">
        <f t="shared" ca="1" si="0"/>
        <v>15000</v>
      </c>
      <c r="I21" s="677">
        <f t="shared" ca="1" si="0"/>
        <v>0</v>
      </c>
      <c r="J21" s="677">
        <f t="shared" ca="1" si="0"/>
        <v>0</v>
      </c>
      <c r="K21" s="677">
        <f t="shared" ca="1" si="1"/>
        <v>0</v>
      </c>
      <c r="L21" s="677">
        <f t="shared" ca="1" si="1"/>
        <v>0</v>
      </c>
    </row>
    <row r="22" spans="1:12" ht="21.75" customHeight="1">
      <c r="A22" s="675">
        <f ca="1">IF(ROWS($1:7)&gt;COUNT(Dong7),"",OFFSET(TH!C$1,SMALL(Dong7,ROWS($1:7)),))</f>
        <v>41747</v>
      </c>
      <c r="B22" s="675">
        <f ca="1">IF(ROWS($1:7)&gt;COUNT(Dong7),"",OFFSET(TH!D$1,SMALL(Dong7,ROWS($1:7)),))</f>
        <v>0</v>
      </c>
      <c r="C22" s="675">
        <f ca="1">IF(ROWS($1:7)&gt;COUNT(Dong7),"",OFFSET(TH!E$1,SMALL(Dong7,ROWS($1:7)),))</f>
        <v>41747</v>
      </c>
      <c r="D22" s="676" t="str">
        <f ca="1">IF(ROWS($1:7)&gt;COUNT(Dong7),"",OFFSET(TH!F$1,SMALL(Dong7,ROWS($1:7)),))</f>
        <v>Cước viễn thông</v>
      </c>
      <c r="E22" s="675" t="str">
        <f ca="1">IF(ROWS($1:7)&gt;COUNT(Dong7),"",OFFSET(TH!M$1,SMALL(Dong7,ROWS($1:7)),))</f>
        <v>1111</v>
      </c>
      <c r="F22" s="677">
        <f ca="1">IF(ROWS($1:7)&gt;COUNT(Dong7),"",OFFSET(TH!K$1,SMALL(Dong7,ROWS($1:7)),))</f>
        <v>1957106</v>
      </c>
      <c r="G22" s="677">
        <f t="shared" ca="1" si="0"/>
        <v>1957106</v>
      </c>
      <c r="H22" s="677">
        <f t="shared" ca="1" si="0"/>
        <v>0</v>
      </c>
      <c r="I22" s="677">
        <f t="shared" ca="1" si="0"/>
        <v>0</v>
      </c>
      <c r="J22" s="677">
        <f t="shared" ca="1" si="0"/>
        <v>0</v>
      </c>
      <c r="K22" s="677">
        <f t="shared" ca="1" si="1"/>
        <v>0</v>
      </c>
      <c r="L22" s="677">
        <f t="shared" ca="1" si="1"/>
        <v>0</v>
      </c>
    </row>
    <row r="23" spans="1:12" ht="21.75" customHeight="1">
      <c r="A23" s="675">
        <f ca="1">IF(ROWS($1:8)&gt;COUNT(Dong7),"",OFFSET(TH!C$1,SMALL(Dong7,ROWS($1:8)),))</f>
        <v>41748</v>
      </c>
      <c r="B23" s="675">
        <f ca="1">IF(ROWS($1:8)&gt;COUNT(Dong7),"",OFFSET(TH!D$1,SMALL(Dong7,ROWS($1:8)),))</f>
        <v>0</v>
      </c>
      <c r="C23" s="675">
        <f ca="1">IF(ROWS($1:8)&gt;COUNT(Dong7),"",OFFSET(TH!E$1,SMALL(Dong7,ROWS($1:8)),))</f>
        <v>41748</v>
      </c>
      <c r="D23" s="676" t="str">
        <f ca="1">IF(ROWS($1:8)&gt;COUNT(Dong7),"",OFFSET(TH!F$1,SMALL(Dong7,ROWS($1:8)),))</f>
        <v>Văn phòng phẩm</v>
      </c>
      <c r="E23" s="675" t="str">
        <f ca="1">IF(ROWS($1:8)&gt;COUNT(Dong7),"",OFFSET(TH!M$1,SMALL(Dong7,ROWS($1:8)),))</f>
        <v>1111</v>
      </c>
      <c r="F23" s="677">
        <f ca="1">IF(ROWS($1:8)&gt;COUNT(Dong7),"",OFFSET(TH!K$1,SMALL(Dong7,ROWS($1:8)),))</f>
        <v>845909</v>
      </c>
      <c r="G23" s="677">
        <f t="shared" ca="1" si="0"/>
        <v>845909</v>
      </c>
      <c r="H23" s="677">
        <f t="shared" ca="1" si="0"/>
        <v>0</v>
      </c>
      <c r="I23" s="677">
        <f t="shared" ca="1" si="0"/>
        <v>0</v>
      </c>
      <c r="J23" s="677">
        <f t="shared" ca="1" si="0"/>
        <v>0</v>
      </c>
      <c r="K23" s="677">
        <f t="shared" ca="1" si="1"/>
        <v>0</v>
      </c>
      <c r="L23" s="677">
        <f t="shared" ca="1" si="1"/>
        <v>0</v>
      </c>
    </row>
    <row r="24" spans="1:12" ht="21.75" customHeight="1">
      <c r="A24" s="675">
        <f ca="1">IF(ROWS($1:9)&gt;COUNT(Dong7),"",OFFSET(TH!C$1,SMALL(Dong7,ROWS($1:9)),))</f>
        <v>41753</v>
      </c>
      <c r="B24" s="675">
        <f ca="1">IF(ROWS($1:9)&gt;COUNT(Dong7),"",OFFSET(TH!D$1,SMALL(Dong7,ROWS($1:9)),))</f>
        <v>0</v>
      </c>
      <c r="C24" s="675">
        <f ca="1">IF(ROWS($1:9)&gt;COUNT(Dong7),"",OFFSET(TH!E$1,SMALL(Dong7,ROWS($1:9)),))</f>
        <v>41753</v>
      </c>
      <c r="D24" s="676" t="str">
        <f ca="1">IF(ROWS($1:9)&gt;COUNT(Dong7),"",OFFSET(TH!F$1,SMALL(Dong7,ROWS($1:9)),))</f>
        <v>Tiền điện</v>
      </c>
      <c r="E24" s="675" t="str">
        <f ca="1">IF(ROWS($1:9)&gt;COUNT(Dong7),"",OFFSET(TH!M$1,SMALL(Dong7,ROWS($1:9)),))</f>
        <v>1111</v>
      </c>
      <c r="F24" s="677">
        <f ca="1">IF(ROWS($1:9)&gt;COUNT(Dong7),"",OFFSET(TH!K$1,SMALL(Dong7,ROWS($1:9)),))</f>
        <v>1301956</v>
      </c>
      <c r="G24" s="677">
        <f t="shared" ca="1" si="0"/>
        <v>1301956</v>
      </c>
      <c r="H24" s="677">
        <f t="shared" ca="1" si="0"/>
        <v>0</v>
      </c>
      <c r="I24" s="677">
        <f t="shared" ca="1" si="0"/>
        <v>0</v>
      </c>
      <c r="J24" s="677">
        <f t="shared" ca="1" si="0"/>
        <v>0</v>
      </c>
      <c r="K24" s="677">
        <f t="shared" ca="1" si="1"/>
        <v>0</v>
      </c>
      <c r="L24" s="677">
        <f t="shared" ca="1" si="1"/>
        <v>0</v>
      </c>
    </row>
    <row r="25" spans="1:12" ht="21.75" customHeight="1">
      <c r="A25" s="675">
        <f ca="1">IF(ROWS($1:10)&gt;COUNT(Dong7),"",OFFSET(TH!C$1,SMALL(Dong7,ROWS($1:10)),))</f>
        <v>41755</v>
      </c>
      <c r="B25" s="675">
        <f ca="1">IF(ROWS($1:10)&gt;COUNT(Dong7),"",OFFSET(TH!D$1,SMALL(Dong7,ROWS($1:10)),))</f>
        <v>0</v>
      </c>
      <c r="C25" s="675">
        <f ca="1">IF(ROWS($1:10)&gt;COUNT(Dong7),"",OFFSET(TH!E$1,SMALL(Dong7,ROWS($1:10)),))</f>
        <v>41755</v>
      </c>
      <c r="D25" s="676" t="str">
        <f ca="1">IF(ROWS($1:10)&gt;COUNT(Dong7),"",OFFSET(TH!F$1,SMALL(Dong7,ROWS($1:10)),))</f>
        <v>Xe nâng tay</v>
      </c>
      <c r="E25" s="675" t="str">
        <f ca="1">IF(ROWS($1:10)&gt;COUNT(Dong7),"",OFFSET(TH!M$1,SMALL(Dong7,ROWS($1:10)),))</f>
        <v>1111</v>
      </c>
      <c r="F25" s="677">
        <f ca="1">IF(ROWS($1:10)&gt;COUNT(Dong7),"",OFFSET(TH!K$1,SMALL(Dong7,ROWS($1:10)),))</f>
        <v>3300000</v>
      </c>
      <c r="G25" s="677">
        <f t="shared" ca="1" si="0"/>
        <v>3300000</v>
      </c>
      <c r="H25" s="677">
        <f t="shared" ca="1" si="0"/>
        <v>0</v>
      </c>
      <c r="I25" s="677">
        <f t="shared" ca="1" si="0"/>
        <v>0</v>
      </c>
      <c r="J25" s="677">
        <f t="shared" ca="1" si="0"/>
        <v>0</v>
      </c>
      <c r="K25" s="677">
        <f t="shared" ca="1" si="1"/>
        <v>0</v>
      </c>
      <c r="L25" s="677">
        <f t="shared" ca="1" si="1"/>
        <v>0</v>
      </c>
    </row>
    <row r="26" spans="1:12" ht="21.75" customHeight="1">
      <c r="A26" s="675">
        <f ca="1">IF(ROWS($1:11)&gt;COUNT(Dong7),"",OFFSET(TH!C$1,SMALL(Dong7,ROWS($1:11)),))</f>
        <v>41783</v>
      </c>
      <c r="B26" s="675">
        <f ca="1">IF(ROWS($1:11)&gt;COUNT(Dong7),"",OFFSET(TH!D$1,SMALL(Dong7,ROWS($1:11)),))</f>
        <v>0</v>
      </c>
      <c r="C26" s="675">
        <f ca="1">IF(ROWS($1:11)&gt;COUNT(Dong7),"",OFFSET(TH!E$1,SMALL(Dong7,ROWS($1:11)),))</f>
        <v>41783</v>
      </c>
      <c r="D26" s="676" t="str">
        <f ca="1">IF(ROWS($1:11)&gt;COUNT(Dong7),"",OFFSET(TH!F$1,SMALL(Dong7,ROWS($1:11)),))</f>
        <v>Tiền điện</v>
      </c>
      <c r="E26" s="675" t="str">
        <f ca="1">IF(ROWS($1:11)&gt;COUNT(Dong7),"",OFFSET(TH!M$1,SMALL(Dong7,ROWS($1:11)),))</f>
        <v>1111</v>
      </c>
      <c r="F26" s="677">
        <f ca="1">IF(ROWS($1:11)&gt;COUNT(Dong7),"",OFFSET(TH!K$1,SMALL(Dong7,ROWS($1:11)),))</f>
        <v>756428</v>
      </c>
      <c r="G26" s="677">
        <f t="shared" ca="1" si="0"/>
        <v>756428</v>
      </c>
      <c r="H26" s="677">
        <f t="shared" ca="1" si="0"/>
        <v>0</v>
      </c>
      <c r="I26" s="677">
        <f t="shared" ca="1" si="0"/>
        <v>0</v>
      </c>
      <c r="J26" s="677">
        <f t="shared" ca="1" si="0"/>
        <v>0</v>
      </c>
      <c r="K26" s="677">
        <f t="shared" ca="1" si="1"/>
        <v>0</v>
      </c>
      <c r="L26" s="677">
        <f t="shared" ca="1" si="1"/>
        <v>0</v>
      </c>
    </row>
    <row r="27" spans="1:12" ht="21.75" customHeight="1">
      <c r="A27" s="675">
        <f ca="1">IF(ROWS($1:12)&gt;COUNT(Dong7),"",OFFSET(TH!C$1,SMALL(Dong7,ROWS($1:12)),))</f>
        <v>41796</v>
      </c>
      <c r="B27" s="675">
        <f ca="1">IF(ROWS($1:12)&gt;COUNT(Dong7),"",OFFSET(TH!D$1,SMALL(Dong7,ROWS($1:12)),))</f>
        <v>0</v>
      </c>
      <c r="C27" s="675">
        <f ca="1">IF(ROWS($1:12)&gt;COUNT(Dong7),"",OFFSET(TH!E$1,SMALL(Dong7,ROWS($1:12)),))</f>
        <v>41796</v>
      </c>
      <c r="D27" s="676" t="str">
        <f ca="1">IF(ROWS($1:12)&gt;COUNT(Dong7),"",OFFSET(TH!F$1,SMALL(Dong7,ROWS($1:12)),))</f>
        <v>Cân điện tử</v>
      </c>
      <c r="E27" s="675" t="str">
        <f ca="1">IF(ROWS($1:12)&gt;COUNT(Dong7),"",OFFSET(TH!M$1,SMALL(Dong7,ROWS($1:12)),))</f>
        <v>1111</v>
      </c>
      <c r="F27" s="677">
        <f ca="1">IF(ROWS($1:12)&gt;COUNT(Dong7),"",OFFSET(TH!K$1,SMALL(Dong7,ROWS($1:12)),))</f>
        <v>2500000</v>
      </c>
      <c r="G27" s="677">
        <f t="shared" ca="1" si="0"/>
        <v>2500000</v>
      </c>
      <c r="H27" s="677">
        <f t="shared" ca="1" si="0"/>
        <v>0</v>
      </c>
      <c r="I27" s="677">
        <f t="shared" ca="1" si="0"/>
        <v>0</v>
      </c>
      <c r="J27" s="677">
        <f t="shared" ca="1" si="0"/>
        <v>0</v>
      </c>
      <c r="K27" s="677">
        <f t="shared" ca="1" si="1"/>
        <v>0</v>
      </c>
      <c r="L27" s="677">
        <f t="shared" ca="1" si="1"/>
        <v>0</v>
      </c>
    </row>
    <row r="28" spans="1:12" ht="21.75" customHeight="1">
      <c r="A28" s="675">
        <f ca="1">IF(ROWS($1:13)&gt;COUNT(Dong7),"",OFFSET(TH!C$1,SMALL(Dong7,ROWS($1:13)),))</f>
        <v>41807</v>
      </c>
      <c r="B28" s="675">
        <f ca="1">IF(ROWS($1:13)&gt;COUNT(Dong7),"",OFFSET(TH!D$1,SMALL(Dong7,ROWS($1:13)),))</f>
        <v>0</v>
      </c>
      <c r="C28" s="675">
        <f ca="1">IF(ROWS($1:13)&gt;COUNT(Dong7),"",OFFSET(TH!E$1,SMALL(Dong7,ROWS($1:13)),))</f>
        <v>41807</v>
      </c>
      <c r="D28" s="676" t="str">
        <f ca="1">IF(ROWS($1:13)&gt;COUNT(Dong7),"",OFFSET(TH!F$1,SMALL(Dong7,ROWS($1:13)),))</f>
        <v>Máy bơm nước</v>
      </c>
      <c r="E28" s="675" t="str">
        <f ca="1">IF(ROWS($1:13)&gt;COUNT(Dong7),"",OFFSET(TH!M$1,SMALL(Dong7,ROWS($1:13)),))</f>
        <v>1111</v>
      </c>
      <c r="F28" s="677">
        <f ca="1">IF(ROWS($1:13)&gt;COUNT(Dong7),"",OFFSET(TH!K$1,SMALL(Dong7,ROWS($1:13)),))</f>
        <v>1950000</v>
      </c>
      <c r="G28" s="677">
        <f t="shared" ca="1" si="0"/>
        <v>1950000</v>
      </c>
      <c r="H28" s="677">
        <f t="shared" ca="1" si="0"/>
        <v>0</v>
      </c>
      <c r="I28" s="677">
        <f t="shared" ca="1" si="0"/>
        <v>0</v>
      </c>
      <c r="J28" s="677">
        <f t="shared" ca="1" si="0"/>
        <v>0</v>
      </c>
      <c r="K28" s="677">
        <f t="shared" ca="1" si="1"/>
        <v>0</v>
      </c>
      <c r="L28" s="677">
        <f t="shared" ca="1" si="1"/>
        <v>0</v>
      </c>
    </row>
    <row r="29" spans="1:12" ht="21.75" customHeight="1">
      <c r="A29" s="675">
        <f ca="1">IF(ROWS($1:14)&gt;COUNT(Dong7),"",OFFSET(TH!C$1,SMALL(Dong7,ROWS($1:14)),))</f>
        <v>41814</v>
      </c>
      <c r="B29" s="675">
        <f ca="1">IF(ROWS($1:14)&gt;COUNT(Dong7),"",OFFSET(TH!D$1,SMALL(Dong7,ROWS($1:14)),))</f>
        <v>0</v>
      </c>
      <c r="C29" s="675">
        <f ca="1">IF(ROWS($1:14)&gt;COUNT(Dong7),"",OFFSET(TH!E$1,SMALL(Dong7,ROWS($1:14)),))</f>
        <v>41814</v>
      </c>
      <c r="D29" s="676" t="str">
        <f ca="1">IF(ROWS($1:14)&gt;COUNT(Dong7),"",OFFSET(TH!F$1,SMALL(Dong7,ROWS($1:14)),))</f>
        <v>Tiền điện</v>
      </c>
      <c r="E29" s="675" t="str">
        <f ca="1">IF(ROWS($1:14)&gt;COUNT(Dong7),"",OFFSET(TH!M$1,SMALL(Dong7,ROWS($1:14)),))</f>
        <v>1111</v>
      </c>
      <c r="F29" s="677">
        <f ca="1">IF(ROWS($1:14)&gt;COUNT(Dong7),"",OFFSET(TH!K$1,SMALL(Dong7,ROWS($1:14)),))</f>
        <v>1247712</v>
      </c>
      <c r="G29" s="677">
        <f t="shared" ca="1" si="0"/>
        <v>1247712</v>
      </c>
      <c r="H29" s="677">
        <f t="shared" ca="1" si="0"/>
        <v>0</v>
      </c>
      <c r="I29" s="677">
        <f t="shared" ca="1" si="0"/>
        <v>0</v>
      </c>
      <c r="J29" s="677">
        <f t="shared" ca="1" si="0"/>
        <v>0</v>
      </c>
      <c r="K29" s="677">
        <f t="shared" ca="1" si="1"/>
        <v>0</v>
      </c>
      <c r="L29" s="677">
        <f t="shared" ca="1" si="1"/>
        <v>0</v>
      </c>
    </row>
    <row r="30" spans="1:12" ht="21.75" customHeight="1">
      <c r="A30" s="675">
        <f ca="1">IF(ROWS($1:15)&gt;COUNT(Dong7),"",OFFSET(TH!C$1,SMALL(Dong7,ROWS($1:15)),))</f>
        <v>41789</v>
      </c>
      <c r="B30" s="675" t="str">
        <f ca="1">IF(ROWS($1:15)&gt;COUNT(Dong7),"",OFFSET(TH!D$1,SMALL(Dong7,ROWS($1:15)),))</f>
        <v>GBN</v>
      </c>
      <c r="C30" s="675">
        <f ca="1">IF(ROWS($1:15)&gt;COUNT(Dong7),"",OFFSET(TH!E$1,SMALL(Dong7,ROWS($1:15)),))</f>
        <v>41789</v>
      </c>
      <c r="D30" s="676" t="str">
        <f ca="1">IF(ROWS($1:15)&gt;COUNT(Dong7),"",OFFSET(TH!F$1,SMALL(Dong7,ROWS($1:15)),))</f>
        <v>Thu tiền bán 2 cuốn sec</v>
      </c>
      <c r="E30" s="675" t="str">
        <f ca="1">IF(ROWS($1:15)&gt;COUNT(Dong7),"",OFFSET(TH!M$1,SMALL(Dong7,ROWS($1:15)),))</f>
        <v>1121</v>
      </c>
      <c r="F30" s="677">
        <f ca="1">IF(ROWS($1:15)&gt;COUNT(Dong7),"",OFFSET(TH!K$1,SMALL(Dong7,ROWS($1:15)),))</f>
        <v>30000</v>
      </c>
      <c r="G30" s="677">
        <f t="shared" ca="1" si="0"/>
        <v>0</v>
      </c>
      <c r="H30" s="677">
        <f t="shared" ca="1" si="0"/>
        <v>30000</v>
      </c>
      <c r="I30" s="677">
        <f t="shared" ca="1" si="0"/>
        <v>0</v>
      </c>
      <c r="J30" s="677">
        <f t="shared" ca="1" si="0"/>
        <v>0</v>
      </c>
      <c r="K30" s="677">
        <f t="shared" ca="1" si="1"/>
        <v>0</v>
      </c>
      <c r="L30" s="677">
        <f t="shared" ca="1" si="1"/>
        <v>0</v>
      </c>
    </row>
    <row r="31" spans="1:12" ht="21.75" customHeight="1">
      <c r="A31" s="675"/>
      <c r="B31" s="678"/>
      <c r="C31" s="675"/>
      <c r="D31" s="679"/>
      <c r="E31" s="680"/>
      <c r="F31" s="681"/>
      <c r="G31" s="681"/>
      <c r="H31" s="681"/>
      <c r="I31" s="681"/>
      <c r="J31" s="681"/>
      <c r="K31" s="681"/>
      <c r="L31" s="681"/>
    </row>
    <row r="32" spans="1:12" ht="21.75" customHeight="1">
      <c r="A32" s="675"/>
      <c r="B32" s="678"/>
      <c r="C32" s="675"/>
      <c r="D32" s="673" t="s">
        <v>133</v>
      </c>
      <c r="E32" s="672" t="s">
        <v>19</v>
      </c>
      <c r="F32" s="674">
        <f ca="1">SUM(F15:F31)</f>
        <v>13979111</v>
      </c>
      <c r="G32" s="674">
        <f t="shared" ref="G32:L32" ca="1" si="2">SUM(G15:G31)</f>
        <v>13859111</v>
      </c>
      <c r="H32" s="674">
        <f t="shared" ca="1" si="2"/>
        <v>120000</v>
      </c>
      <c r="I32" s="674">
        <f t="shared" ca="1" si="2"/>
        <v>0</v>
      </c>
      <c r="J32" s="674">
        <f t="shared" ca="1" si="2"/>
        <v>0</v>
      </c>
      <c r="K32" s="674">
        <f t="shared" ca="1" si="2"/>
        <v>0</v>
      </c>
      <c r="L32" s="674">
        <f t="shared" ca="1" si="2"/>
        <v>0</v>
      </c>
    </row>
    <row r="33" spans="1:12" ht="21.75" customHeight="1">
      <c r="A33" s="682"/>
      <c r="B33" s="680"/>
      <c r="C33" s="682"/>
      <c r="D33" s="683" t="s">
        <v>401</v>
      </c>
      <c r="E33" s="678"/>
      <c r="F33" s="684">
        <f ca="1">SUM(G33:L33)</f>
        <v>13979111</v>
      </c>
      <c r="G33" s="684">
        <f t="shared" ref="G33:L33" ca="1" si="3">G32</f>
        <v>13859111</v>
      </c>
      <c r="H33" s="684">
        <f t="shared" ca="1" si="3"/>
        <v>120000</v>
      </c>
      <c r="I33" s="684">
        <f t="shared" ca="1" si="3"/>
        <v>0</v>
      </c>
      <c r="J33" s="684">
        <f t="shared" ca="1" si="3"/>
        <v>0</v>
      </c>
      <c r="K33" s="684">
        <f t="shared" ca="1" si="3"/>
        <v>0</v>
      </c>
      <c r="L33" s="684">
        <f t="shared" ca="1" si="3"/>
        <v>0</v>
      </c>
    </row>
    <row r="34" spans="1:12" ht="21.75" customHeight="1">
      <c r="A34" s="685"/>
      <c r="B34" s="685"/>
      <c r="C34" s="685"/>
      <c r="D34" s="686" t="s">
        <v>10</v>
      </c>
      <c r="E34" s="685" t="s">
        <v>19</v>
      </c>
      <c r="F34" s="687">
        <f t="shared" ref="F34:L34" ca="1" si="4">F15+F32-F33</f>
        <v>0</v>
      </c>
      <c r="G34" s="687">
        <f t="shared" ca="1" si="4"/>
        <v>0</v>
      </c>
      <c r="H34" s="687">
        <f t="shared" ca="1" si="4"/>
        <v>0</v>
      </c>
      <c r="I34" s="687">
        <f t="shared" ca="1" si="4"/>
        <v>0</v>
      </c>
      <c r="J34" s="687">
        <f t="shared" ca="1" si="4"/>
        <v>0</v>
      </c>
      <c r="K34" s="687">
        <f t="shared" ca="1" si="4"/>
        <v>0</v>
      </c>
      <c r="L34" s="687">
        <f t="shared" ca="1" si="4"/>
        <v>0</v>
      </c>
    </row>
    <row r="36" spans="1:12">
      <c r="B36" s="688"/>
      <c r="C36" s="668" t="s">
        <v>394</v>
      </c>
    </row>
    <row r="37" spans="1:12">
      <c r="C37" s="668" t="str">
        <f ca="1">"- Ngày mở sổ: "&amp;"01/"&amp;MONTH(A16)&amp;"/"&amp;YEAR(A16)</f>
        <v>- Ngày mở sổ: 01/4/2014</v>
      </c>
    </row>
    <row r="38" spans="1:12">
      <c r="E38" s="667"/>
      <c r="F38" s="667"/>
      <c r="G38" s="667"/>
      <c r="H38" s="667"/>
      <c r="I38" s="667"/>
      <c r="J38" s="112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125"/>
      <c r="L38" s="1125"/>
    </row>
    <row r="39" spans="1:12">
      <c r="B39" s="667"/>
      <c r="C39" s="664" t="s">
        <v>11</v>
      </c>
      <c r="D39" s="667"/>
      <c r="E39" s="667"/>
      <c r="F39" s="667"/>
      <c r="G39" s="667"/>
      <c r="H39" s="667"/>
      <c r="I39" s="667"/>
      <c r="J39" s="1125" t="s">
        <v>12</v>
      </c>
      <c r="K39" s="1125"/>
      <c r="L39" s="1125"/>
    </row>
    <row r="40" spans="1:12">
      <c r="B40" s="667"/>
      <c r="C40" s="664" t="s">
        <v>13</v>
      </c>
      <c r="D40" s="667"/>
      <c r="E40" s="667"/>
      <c r="F40" s="667"/>
      <c r="G40" s="667"/>
      <c r="H40" s="667"/>
      <c r="I40" s="667"/>
      <c r="J40" s="1123" t="s">
        <v>13</v>
      </c>
      <c r="K40" s="1123"/>
      <c r="L40" s="1123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63" t="str">
        <f>'632'!A2</f>
        <v>Đơn vị: CÔNG TY TNHH SX TM KIM DUNG PHÁT</v>
      </c>
      <c r="F2" s="759"/>
      <c r="G2" s="759"/>
      <c r="H2" s="1121" t="s">
        <v>381</v>
      </c>
      <c r="I2" s="1121"/>
      <c r="J2" s="1121"/>
      <c r="K2" s="1121"/>
      <c r="L2" s="689"/>
    </row>
    <row r="3" spans="1:15" ht="15" customHeight="1">
      <c r="A3" s="693" t="str">
        <f>'632'!A3</f>
        <v>Địa chỉ: 1A227/1 Ấp 1, Phạm Văn Hai, Bình Chánh, TPHCM</v>
      </c>
      <c r="H3" s="112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4"/>
      <c r="J3" s="1124"/>
      <c r="K3" s="1124"/>
      <c r="L3" s="667"/>
    </row>
    <row r="4" spans="1:15">
      <c r="H4" s="1124"/>
      <c r="I4" s="1124"/>
      <c r="J4" s="1124"/>
      <c r="K4" s="1124"/>
      <c r="L4" s="667"/>
    </row>
    <row r="5" spans="1:15" ht="19.5" customHeight="1">
      <c r="A5" s="1122" t="s">
        <v>382</v>
      </c>
      <c r="B5" s="1122"/>
      <c r="C5" s="1122"/>
      <c r="D5" s="1122"/>
      <c r="E5" s="1122"/>
      <c r="F5" s="1122"/>
      <c r="G5" s="1122"/>
      <c r="H5" s="1122"/>
      <c r="I5" s="1122"/>
      <c r="J5" s="1122"/>
      <c r="K5" s="1122"/>
      <c r="L5" s="1122"/>
      <c r="M5" s="666" t="s">
        <v>255</v>
      </c>
      <c r="N5" s="597">
        <f>IF(N13="Quý I",1,IF(N13="Quý II",4,IF(N13="Quý III",7,IF(N13="Quý IV",10,""))))</f>
        <v>7</v>
      </c>
      <c r="O5" s="597">
        <f>IF(N13="Quý I",3,IF(N13="Quý II",6,IF(N13="Quý III",9,IF(N13="Quý IV",12,""))))</f>
        <v>9</v>
      </c>
    </row>
    <row r="6" spans="1:15">
      <c r="A6" s="1123" t="s">
        <v>383</v>
      </c>
      <c r="B6" s="1123"/>
      <c r="C6" s="1123"/>
      <c r="D6" s="1123"/>
      <c r="E6" s="1123"/>
      <c r="F6" s="1123"/>
      <c r="G6" s="1123"/>
      <c r="H6" s="1123"/>
      <c r="I6" s="1123"/>
      <c r="J6" s="1123"/>
      <c r="K6" s="1123"/>
      <c r="L6" s="1123"/>
    </row>
    <row r="7" spans="1:15">
      <c r="B7" s="667"/>
      <c r="C7" s="667"/>
      <c r="D7" s="667"/>
      <c r="E7" s="668" t="s">
        <v>408</v>
      </c>
      <c r="G7" s="667"/>
      <c r="H7" s="667"/>
      <c r="I7" s="667"/>
      <c r="J7" s="667"/>
      <c r="K7" s="667"/>
      <c r="L7" s="667"/>
      <c r="M7" s="694"/>
    </row>
    <row r="8" spans="1:15">
      <c r="B8" s="667"/>
      <c r="C8" s="667"/>
      <c r="D8" s="667"/>
      <c r="E8" s="668" t="s">
        <v>385</v>
      </c>
      <c r="G8" s="667"/>
      <c r="H8" s="667"/>
      <c r="I8" s="667"/>
      <c r="J8" s="667"/>
      <c r="K8" s="667"/>
      <c r="L8" s="667"/>
    </row>
    <row r="9" spans="1:15">
      <c r="B9" s="669"/>
      <c r="C9" s="669"/>
      <c r="D9" s="669"/>
      <c r="E9" s="668" t="s">
        <v>386</v>
      </c>
      <c r="G9" s="669"/>
      <c r="H9" s="669"/>
      <c r="I9" s="669"/>
      <c r="J9" s="669"/>
      <c r="K9" s="669"/>
      <c r="L9" s="669"/>
    </row>
    <row r="10" spans="1:15" ht="9" customHeight="1">
      <c r="C10" s="1120"/>
      <c r="D10" s="1120"/>
      <c r="E10" s="1120"/>
      <c r="F10" s="1120"/>
      <c r="G10" s="1120"/>
      <c r="H10" s="1120"/>
      <c r="I10" s="1120"/>
      <c r="J10" s="1120"/>
      <c r="K10" s="1120"/>
      <c r="L10" s="1120"/>
    </row>
    <row r="11" spans="1:15" ht="15.75" customHeight="1">
      <c r="A11" s="1126" t="s">
        <v>20</v>
      </c>
      <c r="B11" s="1127" t="s">
        <v>1</v>
      </c>
      <c r="C11" s="1127"/>
      <c r="D11" s="1126" t="s">
        <v>0</v>
      </c>
      <c r="E11" s="1126" t="s">
        <v>219</v>
      </c>
      <c r="F11" s="1127" t="s">
        <v>407</v>
      </c>
      <c r="G11" s="1127"/>
      <c r="H11" s="1127"/>
      <c r="I11" s="1127"/>
      <c r="J11" s="1127"/>
      <c r="K11" s="1127"/>
      <c r="L11" s="1127"/>
    </row>
    <row r="12" spans="1:15" ht="15.75" customHeight="1" thickBot="1">
      <c r="A12" s="1126"/>
      <c r="B12" s="1128" t="s">
        <v>15</v>
      </c>
      <c r="C12" s="1128" t="s">
        <v>32</v>
      </c>
      <c r="D12" s="1126"/>
      <c r="E12" s="1126"/>
      <c r="F12" s="1128" t="s">
        <v>388</v>
      </c>
      <c r="G12" s="1128" t="s">
        <v>389</v>
      </c>
      <c r="H12" s="1128"/>
      <c r="I12" s="1128"/>
      <c r="J12" s="1128"/>
      <c r="K12" s="1128"/>
      <c r="L12" s="1128"/>
    </row>
    <row r="13" spans="1:15" ht="29.25" customHeight="1" thickBot="1">
      <c r="A13" s="1126"/>
      <c r="B13" s="1128"/>
      <c r="C13" s="1128"/>
      <c r="D13" s="1126"/>
      <c r="E13" s="1126"/>
      <c r="F13" s="1128"/>
      <c r="G13" s="690" t="s">
        <v>47</v>
      </c>
      <c r="H13" s="690" t="s">
        <v>24</v>
      </c>
      <c r="I13" s="690"/>
      <c r="J13" s="690"/>
      <c r="K13" s="690"/>
      <c r="L13" s="690"/>
      <c r="N13" s="692" t="s">
        <v>410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72"/>
      <c r="B15" s="672"/>
      <c r="C15" s="672"/>
      <c r="D15" s="673" t="s">
        <v>7</v>
      </c>
      <c r="E15" s="672"/>
      <c r="F15" s="674"/>
      <c r="G15" s="674"/>
      <c r="H15" s="674"/>
      <c r="I15" s="674"/>
      <c r="J15" s="674"/>
      <c r="K15" s="674"/>
      <c r="L15" s="674"/>
    </row>
    <row r="16" spans="1:15" ht="21.75" customHeight="1">
      <c r="A16" s="675" t="str">
        <f ca="1">IF(ROWS($1:1)&gt;COUNT(Dong13),"",OFFSET(TH!C$1,SMALL(Dong13,ROWS($1:1)),))</f>
        <v/>
      </c>
      <c r="B16" s="675" t="str">
        <f ca="1">IF(ROWS($1:1)&gt;COUNT(Dong13),"",OFFSET(TH!D$1,SMALL(Dong13,ROWS($1:1)),))</f>
        <v/>
      </c>
      <c r="C16" s="675" t="str">
        <f ca="1">IF(ROWS($1:1)&gt;COUNT(Dong13),"",OFFSET(TH!E$1,SMALL(Dong13,ROWS($1:1)),))</f>
        <v/>
      </c>
      <c r="D16" s="676" t="str">
        <f ca="1">IF(ROWS($1:1)&gt;COUNT(Dong13),"",OFFSET(TH!F$1,SMALL(Dong13,ROWS($1:1)),))</f>
        <v/>
      </c>
      <c r="E16" s="675" t="str">
        <f ca="1">IF(ROWS($1:1)&gt;COUNT(Dong13),"",OFFSET(TH!M$1,SMALL(Dong13,ROWS($1:1)),))</f>
        <v/>
      </c>
      <c r="F16" s="765" t="str">
        <f ca="1">IF(ROWS($1:1)&gt;COUNT(Dong13),"",OFFSET(TH!K$1,SMALL(Dong13,ROWS($1:1)),))</f>
        <v/>
      </c>
      <c r="G16" s="677">
        <f t="shared" ref="G16:J25" ca="1" si="0">IF($E16=G$13,$F16,0)</f>
        <v>0</v>
      </c>
      <c r="H16" s="677">
        <f t="shared" ca="1" si="0"/>
        <v>0</v>
      </c>
      <c r="I16" s="677" t="str">
        <f t="shared" ca="1" si="0"/>
        <v/>
      </c>
      <c r="J16" s="677" t="str">
        <f t="shared" ca="1" si="0"/>
        <v/>
      </c>
      <c r="K16" s="677" t="str">
        <f ca="1">IF(LEFT($E16,3)=K$13,$F16,0)</f>
        <v/>
      </c>
      <c r="L16" s="677" t="str">
        <f ca="1">IF(LEFT($E16,3)=L$13,$F16,0)</f>
        <v/>
      </c>
    </row>
    <row r="17" spans="1:12" ht="21.75" customHeight="1">
      <c r="A17" s="675" t="str">
        <f ca="1">IF(ROWS($1:2)&gt;COUNT(Dong13),"",OFFSET(TH!C$1,SMALL(Dong13,ROWS($1:2)),))</f>
        <v/>
      </c>
      <c r="B17" s="675" t="str">
        <f ca="1">IF(ROWS($1:2)&gt;COUNT(Dong13),"",OFFSET(TH!D$1,SMALL(Dong13,ROWS($1:2)),))</f>
        <v/>
      </c>
      <c r="C17" s="675" t="str">
        <f ca="1">IF(ROWS($1:2)&gt;COUNT(Dong13),"",OFFSET(TH!E$1,SMALL(Dong13,ROWS($1:2)),))</f>
        <v/>
      </c>
      <c r="D17" s="676" t="str">
        <f ca="1">IF(ROWS($1:2)&gt;COUNT(Dong13),"",OFFSET(TH!F$1,SMALL(Dong13,ROWS($1:2)),))</f>
        <v/>
      </c>
      <c r="E17" s="675" t="str">
        <f ca="1">IF(ROWS($1:2)&gt;COUNT(Dong13),"",OFFSET(TH!M$1,SMALL(Dong13,ROWS($1:2)),))</f>
        <v/>
      </c>
      <c r="F17" s="765" t="str">
        <f ca="1">IF(ROWS($1:2)&gt;COUNT(Dong13),"",OFFSET(TH!K$1,SMALL(Dong13,ROWS($1:2)),))</f>
        <v/>
      </c>
      <c r="G17" s="677">
        <f t="shared" ca="1" si="0"/>
        <v>0</v>
      </c>
      <c r="H17" s="677">
        <f t="shared" ca="1" si="0"/>
        <v>0</v>
      </c>
      <c r="I17" s="677" t="str">
        <f t="shared" ca="1" si="0"/>
        <v/>
      </c>
      <c r="J17" s="677" t="str">
        <f t="shared" ca="1" si="0"/>
        <v/>
      </c>
      <c r="K17" s="677" t="str">
        <f t="shared" ref="K17:L25" ca="1" si="1">IF(LEFT($E17,3)=K$13,$F17,0)</f>
        <v/>
      </c>
      <c r="L17" s="677" t="str">
        <f t="shared" ca="1" si="1"/>
        <v/>
      </c>
    </row>
    <row r="18" spans="1:12" ht="21.75" customHeight="1">
      <c r="A18" s="675" t="str">
        <f ca="1">IF(ROWS($1:3)&gt;COUNT(Dong13),"",OFFSET(TH!C$1,SMALL(Dong13,ROWS($1:3)),))</f>
        <v/>
      </c>
      <c r="B18" s="675" t="str">
        <f ca="1">IF(ROWS($1:3)&gt;COUNT(Dong13),"",OFFSET(TH!D$1,SMALL(Dong13,ROWS($1:3)),))</f>
        <v/>
      </c>
      <c r="C18" s="675" t="str">
        <f ca="1">IF(ROWS($1:3)&gt;COUNT(Dong13),"",OFFSET(TH!E$1,SMALL(Dong13,ROWS($1:3)),))</f>
        <v/>
      </c>
      <c r="D18" s="676" t="str">
        <f ca="1">IF(ROWS($1:3)&gt;COUNT(Dong13),"",OFFSET(TH!F$1,SMALL(Dong13,ROWS($1:3)),))</f>
        <v/>
      </c>
      <c r="E18" s="675" t="str">
        <f ca="1">IF(ROWS($1:3)&gt;COUNT(Dong13),"",OFFSET(TH!M$1,SMALL(Dong13,ROWS($1:3)),))</f>
        <v/>
      </c>
      <c r="F18" s="765" t="str">
        <f ca="1">IF(ROWS($1:3)&gt;COUNT(Dong13),"",OFFSET(TH!K$1,SMALL(Dong13,ROWS($1:3)),))</f>
        <v/>
      </c>
      <c r="G18" s="677">
        <f t="shared" ca="1" si="0"/>
        <v>0</v>
      </c>
      <c r="H18" s="677">
        <f t="shared" ca="1" si="0"/>
        <v>0</v>
      </c>
      <c r="I18" s="677" t="str">
        <f t="shared" ca="1" si="0"/>
        <v/>
      </c>
      <c r="J18" s="677" t="str">
        <f t="shared" ca="1" si="0"/>
        <v/>
      </c>
      <c r="K18" s="677" t="str">
        <f t="shared" ca="1" si="1"/>
        <v/>
      </c>
      <c r="L18" s="677" t="str">
        <f t="shared" ca="1" si="1"/>
        <v/>
      </c>
    </row>
    <row r="19" spans="1:12" ht="21.75" customHeight="1">
      <c r="A19" s="675" t="str">
        <f ca="1">IF(ROWS($1:4)&gt;COUNT(Dong13),"",OFFSET(TH!C$1,SMALL(Dong13,ROWS($1:4)),))</f>
        <v/>
      </c>
      <c r="B19" s="675" t="str">
        <f ca="1">IF(ROWS($1:4)&gt;COUNT(Dong13),"",OFFSET(TH!D$1,SMALL(Dong13,ROWS($1:4)),))</f>
        <v/>
      </c>
      <c r="C19" s="675" t="str">
        <f ca="1">IF(ROWS($1:4)&gt;COUNT(Dong13),"",OFFSET(TH!E$1,SMALL(Dong13,ROWS($1:4)),))</f>
        <v/>
      </c>
      <c r="D19" s="676" t="str">
        <f ca="1">IF(ROWS($1:4)&gt;COUNT(Dong13),"",OFFSET(TH!F$1,SMALL(Dong13,ROWS($1:4)),))</f>
        <v/>
      </c>
      <c r="E19" s="675" t="str">
        <f ca="1">IF(ROWS($1:4)&gt;COUNT(Dong13),"",OFFSET(TH!M$1,SMALL(Dong13,ROWS($1:4)),))</f>
        <v/>
      </c>
      <c r="F19" s="765" t="str">
        <f ca="1">IF(ROWS($1:4)&gt;COUNT(Dong13),"",OFFSET(TH!K$1,SMALL(Dong13,ROWS($1:4)),))</f>
        <v/>
      </c>
      <c r="G19" s="677">
        <f t="shared" ca="1" si="0"/>
        <v>0</v>
      </c>
      <c r="H19" s="677">
        <f t="shared" ca="1" si="0"/>
        <v>0</v>
      </c>
      <c r="I19" s="677" t="str">
        <f t="shared" ca="1" si="0"/>
        <v/>
      </c>
      <c r="J19" s="677" t="str">
        <f t="shared" ca="1" si="0"/>
        <v/>
      </c>
      <c r="K19" s="677" t="str">
        <f t="shared" ca="1" si="1"/>
        <v/>
      </c>
      <c r="L19" s="677" t="str">
        <f t="shared" ca="1" si="1"/>
        <v/>
      </c>
    </row>
    <row r="20" spans="1:12" ht="21.75" customHeight="1">
      <c r="A20" s="675" t="str">
        <f ca="1">IF(ROWS($1:5)&gt;COUNT(Dong13),"",OFFSET(TH!C$1,SMALL(Dong13,ROWS($1:5)),))</f>
        <v/>
      </c>
      <c r="B20" s="675" t="str">
        <f ca="1">IF(ROWS($1:5)&gt;COUNT(Dong13),"",OFFSET(TH!D$1,SMALL(Dong13,ROWS($1:5)),))</f>
        <v/>
      </c>
      <c r="C20" s="675" t="str">
        <f ca="1">IF(ROWS($1:5)&gt;COUNT(Dong13),"",OFFSET(TH!E$1,SMALL(Dong13,ROWS($1:5)),))</f>
        <v/>
      </c>
      <c r="D20" s="676" t="str">
        <f ca="1">IF(ROWS($1:5)&gt;COUNT(Dong13),"",OFFSET(TH!F$1,SMALL(Dong13,ROWS($1:5)),))</f>
        <v/>
      </c>
      <c r="E20" s="675" t="str">
        <f ca="1">IF(ROWS($1:5)&gt;COUNT(Dong13),"",OFFSET(TH!M$1,SMALL(Dong13,ROWS($1:5)),))</f>
        <v/>
      </c>
      <c r="F20" s="765" t="str">
        <f ca="1">IF(ROWS($1:5)&gt;COUNT(Dong13),"",OFFSET(TH!K$1,SMALL(Dong13,ROWS($1:5)),))</f>
        <v/>
      </c>
      <c r="G20" s="677">
        <f t="shared" ca="1" si="0"/>
        <v>0</v>
      </c>
      <c r="H20" s="677">
        <f t="shared" ca="1" si="0"/>
        <v>0</v>
      </c>
      <c r="I20" s="677" t="str">
        <f t="shared" ca="1" si="0"/>
        <v/>
      </c>
      <c r="J20" s="677" t="str">
        <f t="shared" ca="1" si="0"/>
        <v/>
      </c>
      <c r="K20" s="677" t="str">
        <f t="shared" ca="1" si="1"/>
        <v/>
      </c>
      <c r="L20" s="677" t="str">
        <f t="shared" ca="1" si="1"/>
        <v/>
      </c>
    </row>
    <row r="21" spans="1:12" ht="21.75" customHeight="1">
      <c r="A21" s="675" t="str">
        <f ca="1">IF(ROWS($1:6)&gt;COUNT(Dong13),"",OFFSET(TH!C$1,SMALL(Dong13,ROWS($1:6)),))</f>
        <v/>
      </c>
      <c r="B21" s="675" t="str">
        <f ca="1">IF(ROWS($1:6)&gt;COUNT(Dong13),"",OFFSET(TH!D$1,SMALL(Dong13,ROWS($1:6)),))</f>
        <v/>
      </c>
      <c r="C21" s="675" t="str">
        <f ca="1">IF(ROWS($1:6)&gt;COUNT(Dong13),"",OFFSET(TH!E$1,SMALL(Dong13,ROWS($1:6)),))</f>
        <v/>
      </c>
      <c r="D21" s="676" t="str">
        <f ca="1">IF(ROWS($1:6)&gt;COUNT(Dong13),"",OFFSET(TH!F$1,SMALL(Dong13,ROWS($1:6)),))</f>
        <v/>
      </c>
      <c r="E21" s="675" t="str">
        <f ca="1">IF(ROWS($1:6)&gt;COUNT(Dong13),"",OFFSET(TH!M$1,SMALL(Dong13,ROWS($1:6)),))</f>
        <v/>
      </c>
      <c r="F21" s="765" t="str">
        <f ca="1">IF(ROWS($1:6)&gt;COUNT(Dong13),"",OFFSET(TH!K$1,SMALL(Dong13,ROWS($1:6)),))</f>
        <v/>
      </c>
      <c r="G21" s="677">
        <f t="shared" ca="1" si="0"/>
        <v>0</v>
      </c>
      <c r="H21" s="677">
        <f t="shared" ca="1" si="0"/>
        <v>0</v>
      </c>
      <c r="I21" s="677" t="str">
        <f t="shared" ca="1" si="0"/>
        <v/>
      </c>
      <c r="J21" s="677" t="str">
        <f t="shared" ca="1" si="0"/>
        <v/>
      </c>
      <c r="K21" s="677" t="str">
        <f t="shared" ca="1" si="1"/>
        <v/>
      </c>
      <c r="L21" s="677" t="str">
        <f t="shared" ca="1" si="1"/>
        <v/>
      </c>
    </row>
    <row r="22" spans="1:12" ht="21.75" customHeight="1">
      <c r="A22" s="675" t="str">
        <f ca="1">IF(ROWS($1:7)&gt;COUNT(Dong13),"",OFFSET(TH!C$1,SMALL(Dong13,ROWS($1:7)),))</f>
        <v/>
      </c>
      <c r="B22" s="675" t="str">
        <f ca="1">IF(ROWS($1:7)&gt;COUNT(Dong13),"",OFFSET(TH!D$1,SMALL(Dong13,ROWS($1:7)),))</f>
        <v/>
      </c>
      <c r="C22" s="675" t="str">
        <f ca="1">IF(ROWS($1:7)&gt;COUNT(Dong13),"",OFFSET(TH!E$1,SMALL(Dong13,ROWS($1:7)),))</f>
        <v/>
      </c>
      <c r="D22" s="676" t="str">
        <f ca="1">IF(ROWS($1:7)&gt;COUNT(Dong13),"",OFFSET(TH!F$1,SMALL(Dong13,ROWS($1:7)),))</f>
        <v/>
      </c>
      <c r="E22" s="675" t="str">
        <f ca="1">IF(ROWS($1:7)&gt;COUNT(Dong13),"",OFFSET(TH!M$1,SMALL(Dong13,ROWS($1:7)),))</f>
        <v/>
      </c>
      <c r="F22" s="765" t="str">
        <f ca="1">IF(ROWS($1:7)&gt;COUNT(Dong13),"",OFFSET(TH!K$1,SMALL(Dong13,ROWS($1:7)),))</f>
        <v/>
      </c>
      <c r="G22" s="677">
        <f t="shared" ca="1" si="0"/>
        <v>0</v>
      </c>
      <c r="H22" s="677">
        <f t="shared" ca="1" si="0"/>
        <v>0</v>
      </c>
      <c r="I22" s="677" t="str">
        <f t="shared" ca="1" si="0"/>
        <v/>
      </c>
      <c r="J22" s="677" t="str">
        <f t="shared" ca="1" si="0"/>
        <v/>
      </c>
      <c r="K22" s="677" t="str">
        <f t="shared" ca="1" si="1"/>
        <v/>
      </c>
      <c r="L22" s="677" t="str">
        <f t="shared" ca="1" si="1"/>
        <v/>
      </c>
    </row>
    <row r="23" spans="1:12" ht="21.75" customHeight="1">
      <c r="A23" s="675" t="str">
        <f ca="1">IF(ROWS($1:8)&gt;COUNT(Dong13),"",OFFSET(TH!C$1,SMALL(Dong13,ROWS($1:8)),))</f>
        <v/>
      </c>
      <c r="B23" s="675" t="str">
        <f ca="1">IF(ROWS($1:8)&gt;COUNT(Dong13),"",OFFSET(TH!D$1,SMALL(Dong13,ROWS($1:8)),))</f>
        <v/>
      </c>
      <c r="C23" s="675" t="str">
        <f ca="1">IF(ROWS($1:8)&gt;COUNT(Dong13),"",OFFSET(TH!E$1,SMALL(Dong13,ROWS($1:8)),))</f>
        <v/>
      </c>
      <c r="D23" s="676" t="str">
        <f ca="1">IF(ROWS($1:8)&gt;COUNT(Dong13),"",OFFSET(TH!F$1,SMALL(Dong13,ROWS($1:8)),))</f>
        <v/>
      </c>
      <c r="E23" s="675" t="str">
        <f ca="1">IF(ROWS($1:8)&gt;COUNT(Dong13),"",OFFSET(TH!M$1,SMALL(Dong13,ROWS($1:8)),))</f>
        <v/>
      </c>
      <c r="F23" s="765" t="str">
        <f ca="1">IF(ROWS($1:8)&gt;COUNT(Dong13),"",OFFSET(TH!K$1,SMALL(Dong13,ROWS($1:8)),))</f>
        <v/>
      </c>
      <c r="G23" s="677">
        <f t="shared" ca="1" si="0"/>
        <v>0</v>
      </c>
      <c r="H23" s="677">
        <f t="shared" ca="1" si="0"/>
        <v>0</v>
      </c>
      <c r="I23" s="677" t="str">
        <f t="shared" ca="1" si="0"/>
        <v/>
      </c>
      <c r="J23" s="677" t="str">
        <f t="shared" ca="1" si="0"/>
        <v/>
      </c>
      <c r="K23" s="677" t="str">
        <f t="shared" ca="1" si="1"/>
        <v/>
      </c>
      <c r="L23" s="677" t="str">
        <f t="shared" ca="1" si="1"/>
        <v/>
      </c>
    </row>
    <row r="24" spans="1:12" ht="21.75" customHeight="1">
      <c r="A24" s="675" t="str">
        <f ca="1">IF(ROWS($1:9)&gt;COUNT(Dong13),"",OFFSET(TH!C$1,SMALL(Dong13,ROWS($1:9)),))</f>
        <v/>
      </c>
      <c r="B24" s="675" t="str">
        <f ca="1">IF(ROWS($1:9)&gt;COUNT(Dong13),"",OFFSET(TH!D$1,SMALL(Dong13,ROWS($1:9)),))</f>
        <v/>
      </c>
      <c r="C24" s="675" t="str">
        <f ca="1">IF(ROWS($1:9)&gt;COUNT(Dong13),"",OFFSET(TH!E$1,SMALL(Dong13,ROWS($1:9)),))</f>
        <v/>
      </c>
      <c r="D24" s="676" t="str">
        <f ca="1">IF(ROWS($1:9)&gt;COUNT(Dong13),"",OFFSET(TH!F$1,SMALL(Dong13,ROWS($1:9)),))</f>
        <v/>
      </c>
      <c r="E24" s="675" t="str">
        <f ca="1">IF(ROWS($1:9)&gt;COUNT(Dong13),"",OFFSET(TH!M$1,SMALL(Dong13,ROWS($1:9)),))</f>
        <v/>
      </c>
      <c r="F24" s="765" t="str">
        <f ca="1">IF(ROWS($1:9)&gt;COUNT(Dong13),"",OFFSET(TH!K$1,SMALL(Dong13,ROWS($1:9)),))</f>
        <v/>
      </c>
      <c r="G24" s="677">
        <f t="shared" ca="1" si="0"/>
        <v>0</v>
      </c>
      <c r="H24" s="677">
        <f t="shared" ca="1" si="0"/>
        <v>0</v>
      </c>
      <c r="I24" s="677" t="str">
        <f t="shared" ca="1" si="0"/>
        <v/>
      </c>
      <c r="J24" s="677" t="str">
        <f t="shared" ca="1" si="0"/>
        <v/>
      </c>
      <c r="K24" s="677" t="str">
        <f t="shared" ca="1" si="1"/>
        <v/>
      </c>
      <c r="L24" s="677" t="str">
        <f t="shared" ca="1" si="1"/>
        <v/>
      </c>
    </row>
    <row r="25" spans="1:12" ht="21.75" customHeight="1">
      <c r="A25" s="675" t="str">
        <f ca="1">IF(ROWS($1:10)&gt;COUNT(Dong13),"",OFFSET(TH!C$1,SMALL(Dong13,ROWS($1:10)),))</f>
        <v/>
      </c>
      <c r="B25" s="675" t="str">
        <f ca="1">IF(ROWS($1:10)&gt;COUNT(Dong13),"",OFFSET(TH!D$1,SMALL(Dong13,ROWS($1:10)),))</f>
        <v/>
      </c>
      <c r="C25" s="675" t="str">
        <f ca="1">IF(ROWS($1:10)&gt;COUNT(Dong13),"",OFFSET(TH!E$1,SMALL(Dong13,ROWS($1:10)),))</f>
        <v/>
      </c>
      <c r="D25" s="676" t="str">
        <f ca="1">IF(ROWS($1:10)&gt;COUNT(Dong13),"",OFFSET(TH!F$1,SMALL(Dong13,ROWS($1:10)),))</f>
        <v/>
      </c>
      <c r="E25" s="675" t="str">
        <f ca="1">IF(ROWS($1:10)&gt;COUNT(Dong13),"",OFFSET(TH!M$1,SMALL(Dong13,ROWS($1:10)),))</f>
        <v/>
      </c>
      <c r="F25" s="765" t="str">
        <f ca="1">IF(ROWS($1:10)&gt;COUNT(Dong13),"",OFFSET(TH!K$1,SMALL(Dong13,ROWS($1:10)),))</f>
        <v/>
      </c>
      <c r="G25" s="677">
        <f t="shared" ca="1" si="0"/>
        <v>0</v>
      </c>
      <c r="H25" s="677">
        <f t="shared" ca="1" si="0"/>
        <v>0</v>
      </c>
      <c r="I25" s="677" t="str">
        <f t="shared" ca="1" si="0"/>
        <v/>
      </c>
      <c r="J25" s="677" t="str">
        <f t="shared" ca="1" si="0"/>
        <v/>
      </c>
      <c r="K25" s="677" t="str">
        <f t="shared" ca="1" si="1"/>
        <v/>
      </c>
      <c r="L25" s="677" t="str">
        <f t="shared" ca="1" si="1"/>
        <v/>
      </c>
    </row>
    <row r="26" spans="1:12" ht="21.75" customHeight="1">
      <c r="A26" s="675"/>
      <c r="B26" s="678"/>
      <c r="C26" s="675"/>
      <c r="D26" s="679"/>
      <c r="E26" s="680"/>
      <c r="F26" s="681"/>
      <c r="G26" s="681"/>
      <c r="H26" s="681"/>
      <c r="I26" s="681"/>
      <c r="J26" s="681"/>
      <c r="K26" s="681"/>
      <c r="L26" s="681"/>
    </row>
    <row r="27" spans="1:12" ht="21.75" customHeight="1">
      <c r="A27" s="675"/>
      <c r="B27" s="678"/>
      <c r="C27" s="675"/>
      <c r="D27" s="673" t="s">
        <v>133</v>
      </c>
      <c r="E27" s="672" t="s">
        <v>19</v>
      </c>
      <c r="F27" s="674">
        <f t="shared" ref="F27:L27" ca="1" si="2">SUM(F15:F26)</f>
        <v>0</v>
      </c>
      <c r="G27" s="674">
        <f t="shared" ca="1" si="2"/>
        <v>0</v>
      </c>
      <c r="H27" s="674">
        <f t="shared" ca="1" si="2"/>
        <v>0</v>
      </c>
      <c r="I27" s="674">
        <f t="shared" ca="1" si="2"/>
        <v>0</v>
      </c>
      <c r="J27" s="674">
        <f t="shared" ca="1" si="2"/>
        <v>0</v>
      </c>
      <c r="K27" s="674">
        <f t="shared" ca="1" si="2"/>
        <v>0</v>
      </c>
      <c r="L27" s="674">
        <f t="shared" ca="1" si="2"/>
        <v>0</v>
      </c>
    </row>
    <row r="28" spans="1:12" ht="21.75" customHeight="1">
      <c r="A28" s="682"/>
      <c r="B28" s="680"/>
      <c r="C28" s="682"/>
      <c r="D28" s="683" t="s">
        <v>409</v>
      </c>
      <c r="E28" s="678"/>
      <c r="F28" s="674">
        <f ca="1">SUM(G28:L28)</f>
        <v>0</v>
      </c>
      <c r="G28" s="684">
        <f t="shared" ref="G28:L28" ca="1" si="3">G27</f>
        <v>0</v>
      </c>
      <c r="H28" s="684">
        <f t="shared" ca="1" si="3"/>
        <v>0</v>
      </c>
      <c r="I28" s="684">
        <f t="shared" ca="1" si="3"/>
        <v>0</v>
      </c>
      <c r="J28" s="684">
        <f t="shared" ca="1" si="3"/>
        <v>0</v>
      </c>
      <c r="K28" s="684">
        <f t="shared" ca="1" si="3"/>
        <v>0</v>
      </c>
      <c r="L28" s="684">
        <f t="shared" ca="1" si="3"/>
        <v>0</v>
      </c>
    </row>
    <row r="29" spans="1:12" ht="21.75" customHeight="1">
      <c r="A29" s="685"/>
      <c r="B29" s="685"/>
      <c r="C29" s="685"/>
      <c r="D29" s="686" t="s">
        <v>10</v>
      </c>
      <c r="E29" s="685" t="s">
        <v>19</v>
      </c>
      <c r="F29" s="687">
        <f t="shared" ref="F29:L29" ca="1" si="4">F15+F27-F28</f>
        <v>0</v>
      </c>
      <c r="G29" s="687">
        <f t="shared" ca="1" si="4"/>
        <v>0</v>
      </c>
      <c r="H29" s="687">
        <f t="shared" ca="1" si="4"/>
        <v>0</v>
      </c>
      <c r="I29" s="687">
        <f t="shared" ca="1" si="4"/>
        <v>0</v>
      </c>
      <c r="J29" s="687">
        <f t="shared" ca="1" si="4"/>
        <v>0</v>
      </c>
      <c r="K29" s="687">
        <f t="shared" ca="1" si="4"/>
        <v>0</v>
      </c>
      <c r="L29" s="687">
        <f t="shared" ca="1" si="4"/>
        <v>0</v>
      </c>
    </row>
    <row r="31" spans="1:12">
      <c r="B31" s="688"/>
      <c r="C31" s="668" t="s">
        <v>394</v>
      </c>
    </row>
    <row r="32" spans="1:12">
      <c r="C32" s="668" t="e">
        <f ca="1">"- Ngày mở sổ: "&amp;"01/"&amp;MONTH(A16)&amp;"/"&amp;YEAR(A16)</f>
        <v>#VALUE!</v>
      </c>
    </row>
    <row r="33" spans="2:12">
      <c r="E33" s="667"/>
      <c r="F33" s="667"/>
      <c r="G33" s="667"/>
      <c r="H33" s="667"/>
      <c r="I33" s="667"/>
      <c r="J33" s="1125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5"/>
      <c r="L33" s="1125"/>
    </row>
    <row r="34" spans="2:12">
      <c r="B34" s="667"/>
      <c r="C34" s="760" t="s">
        <v>11</v>
      </c>
      <c r="D34" s="667"/>
      <c r="E34" s="667"/>
      <c r="F34" s="667"/>
      <c r="G34" s="667"/>
      <c r="H34" s="667"/>
      <c r="I34" s="667"/>
      <c r="J34" s="1125" t="s">
        <v>12</v>
      </c>
      <c r="K34" s="1125"/>
      <c r="L34" s="1125"/>
    </row>
    <row r="35" spans="2:12">
      <c r="B35" s="667"/>
      <c r="C35" s="760" t="s">
        <v>13</v>
      </c>
      <c r="D35" s="667"/>
      <c r="E35" s="667"/>
      <c r="F35" s="667"/>
      <c r="G35" s="667"/>
      <c r="H35" s="667"/>
      <c r="I35" s="667"/>
      <c r="J35" s="1123" t="s">
        <v>13</v>
      </c>
      <c r="K35" s="1123"/>
      <c r="L35" s="1123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53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2016-10-13T06:49:55Z</dcterms:modified>
</cp:coreProperties>
</file>