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510" windowWidth="15150" windowHeight="8280" tabRatio="897"/>
  </bookViews>
  <sheets>
    <sheet name="TH" sheetId="15" r:id="rId1"/>
    <sheet name="CC -1" sheetId="47" r:id="rId2"/>
    <sheet name="L - 1" sheetId="48" r:id="rId3"/>
    <sheet name="CC -2" sheetId="49" r:id="rId4"/>
    <sheet name="L - 2" sheetId="50" r:id="rId5"/>
    <sheet name="CC -3" sheetId="51" r:id="rId6"/>
    <sheet name="L - 3" sheetId="52" r:id="rId7"/>
    <sheet name="CC -4" sheetId="53" r:id="rId8"/>
    <sheet name="L - 4" sheetId="54" r:id="rId9"/>
    <sheet name="CC -5" sheetId="14" r:id="rId10"/>
    <sheet name="L - 5" sheetId="16" r:id="rId11"/>
    <sheet name="CC -6" sheetId="33" r:id="rId12"/>
    <sheet name="L - 6" sheetId="34" r:id="rId13"/>
    <sheet name="CC -7" sheetId="35" r:id="rId14"/>
    <sheet name="L - 7" sheetId="36" r:id="rId15"/>
    <sheet name="CC - 8" sheetId="37" r:id="rId16"/>
    <sheet name="L - 8" sheetId="38" r:id="rId17"/>
    <sheet name="CC -9" sheetId="39" r:id="rId18"/>
    <sheet name="L - 9" sheetId="40" r:id="rId19"/>
    <sheet name="CC -10" sheetId="41" r:id="rId20"/>
    <sheet name="L - 10" sheetId="42" r:id="rId21"/>
    <sheet name="CC -11" sheetId="43" r:id="rId22"/>
    <sheet name="L - 11" sheetId="44" r:id="rId23"/>
    <sheet name="CC -12" sheetId="45" r:id="rId24"/>
    <sheet name="L - 12" sheetId="46" r:id="rId25"/>
  </sheets>
  <definedNames>
    <definedName name="____a1" hidden="1">{"'Sheet1'!$L$16"}</definedName>
    <definedName name="_a1" localSheetId="15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5" hidden="1">'CC - 8'!$A$7:$AS$7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-2'!$A$7:$AQ$7</definedName>
    <definedName name="_xlnm._FilterDatabase" localSheetId="5" hidden="1">'CC -3'!$A$7:$AS$7</definedName>
    <definedName name="_xlnm._FilterDatabase" localSheetId="7" hidden="1">'CC -4'!$A$7:$AR$7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7" hidden="1">'CC -9'!$A$7:$AS$7</definedName>
    <definedName name="_xlnm._FilterDatabase" localSheetId="2" hidden="1">'L - 1'!$A$7:$AE$9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24" hidden="1">'L - 12'!$A$7:$AE$10</definedName>
    <definedName name="_xlnm._FilterDatabase" localSheetId="4" hidden="1">'L - 2'!$A$7:$AE$10</definedName>
    <definedName name="_xlnm._FilterDatabase" localSheetId="6" hidden="1">'L - 3'!$A$7:$AE$10</definedName>
    <definedName name="_xlnm._FilterDatabase" localSheetId="8" hidden="1">'L - 4'!$A$7:$AE$10</definedName>
    <definedName name="_xlnm._FilterDatabase" localSheetId="10" hidden="1">'L - 5'!$A$7:$AE$10</definedName>
    <definedName name="_xlnm._FilterDatabase" localSheetId="12" hidden="1">'L - 6'!$A$7:$AE$10</definedName>
    <definedName name="_xlnm._FilterDatabase" localSheetId="14" hidden="1">'L - 7'!$A$7:$AE$10</definedName>
    <definedName name="_xlnm._FilterDatabase" localSheetId="16" hidden="1">'L - 8'!$A$7:$AE$10</definedName>
    <definedName name="_xlnm._FilterDatabase" localSheetId="18" hidden="1">'L - 9'!$A$7:$AE$10</definedName>
    <definedName name="_xlnm._FilterDatabase" localSheetId="0" hidden="1">TH!$A$10:$Z$17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5" hidden="1">{#N/A,#N/A,FALSE,"Chi tiÆt"}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TH!$B$11:$X$27</definedName>
    <definedName name="GFSAH" localSheetId="15" hidden="1">{"'Sheet1'!$L$16"}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5" hidden="1">{#N/A,#N/A,FALSE,"Chi tiÆt"}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5" hidden="1">{"'Sheet1'!$L$16"}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5" hidden="1">{#N/A,#N/A,FALSE,"Chi tiÆt"}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5" hidden="1">{"'Sheet1'!$L$16"}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5" hidden="1">{"'Sheet1'!$L$16"}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5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5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_xlnm.Print_Area" localSheetId="15">'CC - 8'!$A$1:$AS$51</definedName>
    <definedName name="_xlnm.Print_Area" localSheetId="1">'CC -1'!$A$1:$AS$39</definedName>
    <definedName name="_xlnm.Print_Area" localSheetId="19">'CC -10'!$A$1:$AS$51</definedName>
    <definedName name="_xlnm.Print_Area" localSheetId="21">'CC -11'!$A$1:$AS$51</definedName>
    <definedName name="_xlnm.Print_Area" localSheetId="23">'CC -12'!$A$1:$AS$51</definedName>
    <definedName name="_xlnm.Print_Area" localSheetId="3">'CC -2'!$A$1:$AQ$39</definedName>
    <definedName name="_xlnm.Print_Area" localSheetId="5">'CC -3'!$A$1:$AS$39</definedName>
    <definedName name="_xlnm.Print_Area" localSheetId="7">'CC -4'!$A$1:$AR$39</definedName>
    <definedName name="_xlnm.Print_Area" localSheetId="9">'CC -5'!$A$1:$AS$39</definedName>
    <definedName name="_xlnm.Print_Area" localSheetId="11">'CC -6'!$A$1:$AS$39</definedName>
    <definedName name="_xlnm.Print_Area" localSheetId="13">'CC -7'!$A$1:$AS$51</definedName>
    <definedName name="_xlnm.Print_Area" localSheetId="17">'CC -9'!$A$1:$AS$51</definedName>
    <definedName name="ưer" localSheetId="15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5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E17" i="46" l="1"/>
  <c r="E18" i="46"/>
  <c r="E19" i="46"/>
  <c r="E20" i="46"/>
  <c r="E21" i="46"/>
  <c r="E22" i="46"/>
  <c r="E16" i="46"/>
  <c r="E11" i="46"/>
  <c r="E12" i="46"/>
  <c r="E10" i="46"/>
  <c r="E17" i="44"/>
  <c r="E18" i="44"/>
  <c r="E19" i="44"/>
  <c r="E20" i="44"/>
  <c r="E21" i="44"/>
  <c r="E22" i="44"/>
  <c r="E16" i="44"/>
  <c r="E12" i="44"/>
  <c r="E11" i="44"/>
  <c r="E10" i="44"/>
  <c r="E17" i="42"/>
  <c r="E18" i="42"/>
  <c r="E19" i="42"/>
  <c r="E20" i="42"/>
  <c r="E21" i="42"/>
  <c r="E22" i="42"/>
  <c r="E16" i="42"/>
  <c r="E11" i="42"/>
  <c r="E12" i="42"/>
  <c r="E10" i="42"/>
  <c r="E17" i="40"/>
  <c r="E18" i="40"/>
  <c r="E19" i="40"/>
  <c r="E20" i="40"/>
  <c r="E21" i="40"/>
  <c r="E22" i="40"/>
  <c r="E16" i="40"/>
  <c r="E11" i="40"/>
  <c r="E12" i="40"/>
  <c r="E10" i="40"/>
  <c r="E17" i="38"/>
  <c r="E18" i="38"/>
  <c r="E19" i="38"/>
  <c r="E20" i="38"/>
  <c r="E21" i="38"/>
  <c r="E22" i="38"/>
  <c r="E16" i="38"/>
  <c r="E11" i="38"/>
  <c r="E12" i="38"/>
  <c r="E10" i="38"/>
  <c r="E17" i="36"/>
  <c r="E18" i="36"/>
  <c r="E19" i="36"/>
  <c r="E20" i="36"/>
  <c r="E21" i="36"/>
  <c r="E22" i="36"/>
  <c r="E16" i="36"/>
  <c r="E11" i="36"/>
  <c r="E12" i="36"/>
  <c r="E10" i="36"/>
  <c r="R18" i="46" l="1"/>
  <c r="P18" i="46"/>
  <c r="O18" i="46"/>
  <c r="N18" i="46"/>
  <c r="H18" i="46"/>
  <c r="F18" i="46"/>
  <c r="D18" i="46"/>
  <c r="C18" i="46"/>
  <c r="R17" i="46"/>
  <c r="P17" i="46"/>
  <c r="O17" i="46"/>
  <c r="N17" i="46"/>
  <c r="H17" i="46"/>
  <c r="F17" i="46"/>
  <c r="L17" i="46" s="1"/>
  <c r="D17" i="46"/>
  <c r="C17" i="46"/>
  <c r="R20" i="46"/>
  <c r="P20" i="46"/>
  <c r="O20" i="46"/>
  <c r="N20" i="46"/>
  <c r="H20" i="46"/>
  <c r="F20" i="46"/>
  <c r="D20" i="46"/>
  <c r="C20" i="46"/>
  <c r="R19" i="46"/>
  <c r="P19" i="46"/>
  <c r="O19" i="46"/>
  <c r="N19" i="46"/>
  <c r="H19" i="46"/>
  <c r="F19" i="46"/>
  <c r="L19" i="46" s="1"/>
  <c r="D19" i="46"/>
  <c r="C19" i="46"/>
  <c r="R11" i="46"/>
  <c r="P11" i="46"/>
  <c r="O11" i="46"/>
  <c r="N11" i="46"/>
  <c r="H11" i="46"/>
  <c r="F11" i="46"/>
  <c r="D11" i="46"/>
  <c r="C11" i="46"/>
  <c r="AM20" i="45"/>
  <c r="AL20" i="45"/>
  <c r="AK20" i="45"/>
  <c r="AN20" i="45" s="1"/>
  <c r="D20" i="45"/>
  <c r="C20" i="45"/>
  <c r="AM18" i="45"/>
  <c r="AL18" i="45"/>
  <c r="AK18" i="45"/>
  <c r="AN18" i="45" s="1"/>
  <c r="D18" i="45"/>
  <c r="C18" i="45"/>
  <c r="AM24" i="45"/>
  <c r="AL24" i="45"/>
  <c r="AK24" i="45"/>
  <c r="AN24" i="45" s="1"/>
  <c r="D24" i="45"/>
  <c r="C24" i="45"/>
  <c r="AM22" i="45"/>
  <c r="AL22" i="45"/>
  <c r="AK22" i="45"/>
  <c r="AN22" i="45" s="1"/>
  <c r="D22" i="45"/>
  <c r="C22" i="45"/>
  <c r="AM11" i="45"/>
  <c r="AL11" i="45"/>
  <c r="AK11" i="45"/>
  <c r="D11" i="45"/>
  <c r="C11" i="45"/>
  <c r="R18" i="44"/>
  <c r="P18" i="44"/>
  <c r="O18" i="44"/>
  <c r="N18" i="44"/>
  <c r="H18" i="44"/>
  <c r="F18" i="44"/>
  <c r="D18" i="44"/>
  <c r="C18" i="44"/>
  <c r="R17" i="44"/>
  <c r="P17" i="44"/>
  <c r="O17" i="44"/>
  <c r="N17" i="44"/>
  <c r="H17" i="44"/>
  <c r="F17" i="44"/>
  <c r="L17" i="44" s="1"/>
  <c r="D17" i="44"/>
  <c r="C17" i="44"/>
  <c r="R20" i="44"/>
  <c r="P20" i="44"/>
  <c r="O20" i="44"/>
  <c r="N20" i="44"/>
  <c r="H20" i="44"/>
  <c r="F20" i="44"/>
  <c r="D20" i="44"/>
  <c r="C20" i="44"/>
  <c r="R19" i="44"/>
  <c r="P19" i="44"/>
  <c r="O19" i="44"/>
  <c r="N19" i="44"/>
  <c r="H19" i="44"/>
  <c r="F19" i="44"/>
  <c r="D19" i="44"/>
  <c r="C19" i="44"/>
  <c r="R11" i="44"/>
  <c r="P11" i="44"/>
  <c r="O11" i="44"/>
  <c r="N11" i="44"/>
  <c r="H11" i="44"/>
  <c r="F11" i="44"/>
  <c r="D11" i="44"/>
  <c r="C11" i="44"/>
  <c r="AM20" i="43"/>
  <c r="AL20" i="43"/>
  <c r="AK20" i="43"/>
  <c r="AN20" i="43" s="1"/>
  <c r="D20" i="43"/>
  <c r="C20" i="43"/>
  <c r="AM18" i="43"/>
  <c r="AL18" i="43"/>
  <c r="AK18" i="43"/>
  <c r="AN18" i="43" s="1"/>
  <c r="D18" i="43"/>
  <c r="C18" i="43"/>
  <c r="AM24" i="43"/>
  <c r="AL24" i="43"/>
  <c r="AK24" i="43"/>
  <c r="AN24" i="43" s="1"/>
  <c r="D24" i="43"/>
  <c r="C24" i="43"/>
  <c r="AM22" i="43"/>
  <c r="AL22" i="43"/>
  <c r="AK22" i="43"/>
  <c r="AN22" i="43" s="1"/>
  <c r="D22" i="43"/>
  <c r="C22" i="43"/>
  <c r="AM11" i="43"/>
  <c r="AL11" i="43"/>
  <c r="AK11" i="43"/>
  <c r="AN11" i="43" s="1"/>
  <c r="D11" i="43"/>
  <c r="C11" i="43"/>
  <c r="R18" i="42"/>
  <c r="P18" i="42"/>
  <c r="O18" i="42"/>
  <c r="N18" i="42"/>
  <c r="H18" i="42"/>
  <c r="F18" i="42"/>
  <c r="D18" i="42"/>
  <c r="C18" i="42"/>
  <c r="R17" i="42"/>
  <c r="P17" i="42"/>
  <c r="O17" i="42"/>
  <c r="N17" i="42"/>
  <c r="H17" i="42"/>
  <c r="F17" i="42"/>
  <c r="L17" i="42" s="1"/>
  <c r="D17" i="42"/>
  <c r="C17" i="42"/>
  <c r="R20" i="42"/>
  <c r="P20" i="42"/>
  <c r="O20" i="42"/>
  <c r="N20" i="42"/>
  <c r="H20" i="42"/>
  <c r="F20" i="42"/>
  <c r="D20" i="42"/>
  <c r="C20" i="42"/>
  <c r="R19" i="42"/>
  <c r="P19" i="42"/>
  <c r="O19" i="42"/>
  <c r="N19" i="42"/>
  <c r="H19" i="42"/>
  <c r="F19" i="42"/>
  <c r="L19" i="42" s="1"/>
  <c r="D19" i="42"/>
  <c r="C19" i="42"/>
  <c r="R11" i="42"/>
  <c r="P11" i="42"/>
  <c r="O11" i="42"/>
  <c r="N11" i="42"/>
  <c r="H11" i="42"/>
  <c r="F11" i="42"/>
  <c r="D11" i="42"/>
  <c r="C11" i="42"/>
  <c r="AM20" i="41"/>
  <c r="AL20" i="41"/>
  <c r="AK20" i="41"/>
  <c r="AN20" i="41" s="1"/>
  <c r="D20" i="41"/>
  <c r="C20" i="41"/>
  <c r="AM18" i="41"/>
  <c r="AL18" i="41"/>
  <c r="AK18" i="41"/>
  <c r="AN18" i="41" s="1"/>
  <c r="D18" i="41"/>
  <c r="C18" i="41"/>
  <c r="AM24" i="41"/>
  <c r="AL24" i="41"/>
  <c r="AK24" i="41"/>
  <c r="AN24" i="41" s="1"/>
  <c r="D24" i="41"/>
  <c r="C24" i="41"/>
  <c r="AM22" i="41"/>
  <c r="AL22" i="41"/>
  <c r="AK22" i="41"/>
  <c r="AN22" i="41" s="1"/>
  <c r="D22" i="41"/>
  <c r="C22" i="41"/>
  <c r="AM11" i="41"/>
  <c r="AL11" i="41"/>
  <c r="AK11" i="41"/>
  <c r="D11" i="41"/>
  <c r="C11" i="41"/>
  <c r="R18" i="40"/>
  <c r="P18" i="40"/>
  <c r="O18" i="40"/>
  <c r="N18" i="40"/>
  <c r="H18" i="40"/>
  <c r="F18" i="40"/>
  <c r="D18" i="40"/>
  <c r="C18" i="40"/>
  <c r="R17" i="40"/>
  <c r="P17" i="40"/>
  <c r="O17" i="40"/>
  <c r="N17" i="40"/>
  <c r="H17" i="40"/>
  <c r="F17" i="40"/>
  <c r="L17" i="40" s="1"/>
  <c r="D17" i="40"/>
  <c r="C17" i="40"/>
  <c r="R20" i="40"/>
  <c r="P20" i="40"/>
  <c r="O20" i="40"/>
  <c r="N20" i="40"/>
  <c r="H20" i="40"/>
  <c r="F20" i="40"/>
  <c r="D20" i="40"/>
  <c r="C20" i="40"/>
  <c r="R19" i="40"/>
  <c r="P19" i="40"/>
  <c r="O19" i="40"/>
  <c r="N19" i="40"/>
  <c r="H19" i="40"/>
  <c r="F19" i="40"/>
  <c r="L19" i="40" s="1"/>
  <c r="D19" i="40"/>
  <c r="C19" i="40"/>
  <c r="R11" i="40"/>
  <c r="P11" i="40"/>
  <c r="O11" i="40"/>
  <c r="N11" i="40"/>
  <c r="H11" i="40"/>
  <c r="F11" i="40"/>
  <c r="D11" i="40"/>
  <c r="C11" i="40"/>
  <c r="AM20" i="39"/>
  <c r="AL20" i="39"/>
  <c r="AK20" i="39"/>
  <c r="AN20" i="39" s="1"/>
  <c r="D20" i="39"/>
  <c r="C20" i="39"/>
  <c r="AM18" i="39"/>
  <c r="AL18" i="39"/>
  <c r="AK18" i="39"/>
  <c r="AN18" i="39" s="1"/>
  <c r="D18" i="39"/>
  <c r="C18" i="39"/>
  <c r="AM24" i="39"/>
  <c r="AL24" i="39"/>
  <c r="AK24" i="39"/>
  <c r="AN24" i="39" s="1"/>
  <c r="D24" i="39"/>
  <c r="C24" i="39"/>
  <c r="AM22" i="39"/>
  <c r="AL22" i="39"/>
  <c r="AK22" i="39"/>
  <c r="AN22" i="39" s="1"/>
  <c r="D22" i="39"/>
  <c r="C22" i="39"/>
  <c r="AM11" i="39"/>
  <c r="AL11" i="39"/>
  <c r="AK11" i="39"/>
  <c r="D11" i="39"/>
  <c r="C11" i="39"/>
  <c r="R18" i="38"/>
  <c r="P18" i="38"/>
  <c r="O18" i="38"/>
  <c r="N18" i="38"/>
  <c r="H18" i="38"/>
  <c r="F18" i="38"/>
  <c r="D18" i="38"/>
  <c r="C18" i="38"/>
  <c r="R17" i="38"/>
  <c r="P17" i="38"/>
  <c r="O17" i="38"/>
  <c r="N17" i="38"/>
  <c r="H17" i="38"/>
  <c r="F17" i="38"/>
  <c r="L17" i="38" s="1"/>
  <c r="D17" i="38"/>
  <c r="C17" i="38"/>
  <c r="R20" i="38"/>
  <c r="P20" i="38"/>
  <c r="O20" i="38"/>
  <c r="N20" i="38"/>
  <c r="H20" i="38"/>
  <c r="F20" i="38"/>
  <c r="D20" i="38"/>
  <c r="C20" i="38"/>
  <c r="R19" i="38"/>
  <c r="P19" i="38"/>
  <c r="O19" i="38"/>
  <c r="N19" i="38"/>
  <c r="H19" i="38"/>
  <c r="F19" i="38"/>
  <c r="L19" i="38" s="1"/>
  <c r="D19" i="38"/>
  <c r="C19" i="38"/>
  <c r="R11" i="38"/>
  <c r="P11" i="38"/>
  <c r="O11" i="38"/>
  <c r="N11" i="38"/>
  <c r="H11" i="38"/>
  <c r="F11" i="38"/>
  <c r="L11" i="38" s="1"/>
  <c r="D11" i="38"/>
  <c r="C11" i="38"/>
  <c r="AM20" i="37"/>
  <c r="AL20" i="37"/>
  <c r="AK20" i="37"/>
  <c r="AN20" i="37" s="1"/>
  <c r="D20" i="37"/>
  <c r="C20" i="37"/>
  <c r="AM18" i="37"/>
  <c r="AL18" i="37"/>
  <c r="AK18" i="37"/>
  <c r="AN18" i="37" s="1"/>
  <c r="D18" i="37"/>
  <c r="C18" i="37"/>
  <c r="AM24" i="37"/>
  <c r="AL24" i="37"/>
  <c r="AK24" i="37"/>
  <c r="AN24" i="37" s="1"/>
  <c r="D24" i="37"/>
  <c r="C24" i="37"/>
  <c r="AM22" i="37"/>
  <c r="AL22" i="37"/>
  <c r="AK22" i="37"/>
  <c r="AN22" i="37" s="1"/>
  <c r="D22" i="37"/>
  <c r="C22" i="37"/>
  <c r="AM11" i="37"/>
  <c r="AL11" i="37"/>
  <c r="AK11" i="37"/>
  <c r="D11" i="37"/>
  <c r="C11" i="37"/>
  <c r="R18" i="36"/>
  <c r="P18" i="36"/>
  <c r="O18" i="36"/>
  <c r="N18" i="36"/>
  <c r="H18" i="36"/>
  <c r="F18" i="36"/>
  <c r="D18" i="36"/>
  <c r="C18" i="36"/>
  <c r="R17" i="36"/>
  <c r="P17" i="36"/>
  <c r="O17" i="36"/>
  <c r="N17" i="36"/>
  <c r="H17" i="36"/>
  <c r="F17" i="36"/>
  <c r="L17" i="36" s="1"/>
  <c r="D17" i="36"/>
  <c r="C17" i="36"/>
  <c r="R20" i="36"/>
  <c r="P20" i="36"/>
  <c r="O20" i="36"/>
  <c r="N20" i="36"/>
  <c r="H20" i="36"/>
  <c r="F20" i="36"/>
  <c r="D20" i="36"/>
  <c r="C20" i="36"/>
  <c r="R19" i="36"/>
  <c r="P19" i="36"/>
  <c r="O19" i="36"/>
  <c r="N19" i="36"/>
  <c r="H19" i="36"/>
  <c r="F19" i="36"/>
  <c r="L19" i="36" s="1"/>
  <c r="D19" i="36"/>
  <c r="C19" i="36"/>
  <c r="C11" i="36"/>
  <c r="D11" i="36"/>
  <c r="F11" i="36"/>
  <c r="L11" i="36" s="1"/>
  <c r="H11" i="36"/>
  <c r="N11" i="36"/>
  <c r="O11" i="36"/>
  <c r="P11" i="36"/>
  <c r="R11" i="36"/>
  <c r="C12" i="36"/>
  <c r="D12" i="36"/>
  <c r="F12" i="36"/>
  <c r="L12" i="36" s="1"/>
  <c r="H12" i="36"/>
  <c r="N12" i="36"/>
  <c r="O12" i="36"/>
  <c r="P12" i="36"/>
  <c r="R12" i="36"/>
  <c r="AM20" i="35"/>
  <c r="AL20" i="35"/>
  <c r="AK20" i="35"/>
  <c r="AN20" i="35" s="1"/>
  <c r="D20" i="35"/>
  <c r="C20" i="35"/>
  <c r="AM18" i="35"/>
  <c r="AL18" i="35"/>
  <c r="AK18" i="35"/>
  <c r="AN18" i="35" s="1"/>
  <c r="D18" i="35"/>
  <c r="C18" i="35"/>
  <c r="AM24" i="35"/>
  <c r="AL24" i="35"/>
  <c r="AK24" i="35"/>
  <c r="AN24" i="35" s="1"/>
  <c r="D24" i="35"/>
  <c r="C24" i="35"/>
  <c r="AM22" i="35"/>
  <c r="AL22" i="35"/>
  <c r="AK22" i="35"/>
  <c r="AN22" i="35" s="1"/>
  <c r="D22" i="35"/>
  <c r="C22" i="35"/>
  <c r="AM11" i="35"/>
  <c r="AL11" i="35"/>
  <c r="AK11" i="35"/>
  <c r="D11" i="35"/>
  <c r="C11" i="35"/>
  <c r="A22" i="15"/>
  <c r="A23" i="15"/>
  <c r="A18" i="15"/>
  <c r="A19" i="15"/>
  <c r="A20" i="15"/>
  <c r="A21" i="15"/>
  <c r="A13" i="15"/>
  <c r="A14" i="15"/>
  <c r="J18" i="46" l="1"/>
  <c r="J11" i="36"/>
  <c r="J19" i="44"/>
  <c r="J18" i="36"/>
  <c r="J18" i="40"/>
  <c r="J18" i="44"/>
  <c r="J18" i="38"/>
  <c r="J18" i="42"/>
  <c r="J20" i="46"/>
  <c r="L18" i="46"/>
  <c r="J17" i="46"/>
  <c r="J11" i="46"/>
  <c r="L20" i="46"/>
  <c r="J19" i="46"/>
  <c r="L11" i="46"/>
  <c r="AN11" i="45"/>
  <c r="L19" i="44"/>
  <c r="J20" i="44"/>
  <c r="L18" i="44"/>
  <c r="J11" i="44"/>
  <c r="J17" i="44"/>
  <c r="L20" i="44"/>
  <c r="L11" i="44"/>
  <c r="J20" i="42"/>
  <c r="L18" i="42"/>
  <c r="J17" i="42"/>
  <c r="J11" i="42"/>
  <c r="L20" i="42"/>
  <c r="J19" i="42"/>
  <c r="L11" i="42"/>
  <c r="AN11" i="41"/>
  <c r="J20" i="40"/>
  <c r="L18" i="40"/>
  <c r="J17" i="40"/>
  <c r="J11" i="40"/>
  <c r="L20" i="40"/>
  <c r="J19" i="40"/>
  <c r="L11" i="40"/>
  <c r="AN11" i="39"/>
  <c r="J20" i="38"/>
  <c r="L18" i="38"/>
  <c r="J17" i="38"/>
  <c r="L20" i="38"/>
  <c r="J19" i="38"/>
  <c r="J11" i="38"/>
  <c r="AN11" i="37"/>
  <c r="J20" i="36"/>
  <c r="L18" i="36"/>
  <c r="J17" i="36"/>
  <c r="L20" i="36"/>
  <c r="J19" i="36"/>
  <c r="J12" i="36"/>
  <c r="AN11" i="35"/>
  <c r="C21" i="46"/>
  <c r="D21" i="46"/>
  <c r="N21" i="46"/>
  <c r="O21" i="46"/>
  <c r="P21" i="46"/>
  <c r="R21" i="46"/>
  <c r="C22" i="46"/>
  <c r="D22" i="46"/>
  <c r="N22" i="46"/>
  <c r="O22" i="46"/>
  <c r="P22" i="46"/>
  <c r="R22" i="46"/>
  <c r="AL28" i="45"/>
  <c r="D28" i="45"/>
  <c r="C28" i="45"/>
  <c r="AL26" i="45"/>
  <c r="D26" i="45"/>
  <c r="C26" i="45"/>
  <c r="AL16" i="45"/>
  <c r="D16" i="45"/>
  <c r="C16" i="45"/>
  <c r="C21" i="44"/>
  <c r="D21" i="44"/>
  <c r="N21" i="44"/>
  <c r="O21" i="44"/>
  <c r="P21" i="44"/>
  <c r="R21" i="44"/>
  <c r="C22" i="44"/>
  <c r="D22" i="44"/>
  <c r="N22" i="44"/>
  <c r="O22" i="44"/>
  <c r="P22" i="44"/>
  <c r="R22" i="44"/>
  <c r="AL28" i="43"/>
  <c r="D28" i="43"/>
  <c r="C28" i="43"/>
  <c r="AL26" i="43"/>
  <c r="D26" i="43"/>
  <c r="C26" i="43"/>
  <c r="AL16" i="43"/>
  <c r="D16" i="43"/>
  <c r="C16" i="43"/>
  <c r="C21" i="42"/>
  <c r="D21" i="42"/>
  <c r="N21" i="42"/>
  <c r="O21" i="42"/>
  <c r="P21" i="42"/>
  <c r="R21" i="42"/>
  <c r="C22" i="42"/>
  <c r="D22" i="42"/>
  <c r="N22" i="42"/>
  <c r="O22" i="42"/>
  <c r="P22" i="42"/>
  <c r="R22" i="42"/>
  <c r="AL28" i="41"/>
  <c r="D28" i="41"/>
  <c r="C28" i="41"/>
  <c r="AL26" i="41"/>
  <c r="D26" i="41"/>
  <c r="C26" i="41"/>
  <c r="AL16" i="41"/>
  <c r="D16" i="41"/>
  <c r="C16" i="41"/>
  <c r="C21" i="40"/>
  <c r="D21" i="40"/>
  <c r="N21" i="40"/>
  <c r="O21" i="40"/>
  <c r="P21" i="40"/>
  <c r="R21" i="40"/>
  <c r="C22" i="40"/>
  <c r="D22" i="40"/>
  <c r="N22" i="40"/>
  <c r="O22" i="40"/>
  <c r="P22" i="40"/>
  <c r="R22" i="40"/>
  <c r="AL28" i="39"/>
  <c r="D28" i="39"/>
  <c r="C28" i="39"/>
  <c r="AL26" i="39"/>
  <c r="D26" i="39"/>
  <c r="C26" i="39"/>
  <c r="AL16" i="39"/>
  <c r="D16" i="39"/>
  <c r="C16" i="39"/>
  <c r="C21" i="38"/>
  <c r="D21" i="38"/>
  <c r="N21" i="38"/>
  <c r="O21" i="38"/>
  <c r="P21" i="38"/>
  <c r="R21" i="38"/>
  <c r="C22" i="38"/>
  <c r="D22" i="38"/>
  <c r="N22" i="38"/>
  <c r="O22" i="38"/>
  <c r="P22" i="38"/>
  <c r="R22" i="38"/>
  <c r="AL28" i="37"/>
  <c r="D28" i="37"/>
  <c r="C28" i="37"/>
  <c r="AL26" i="37"/>
  <c r="D26" i="37"/>
  <c r="C26" i="37"/>
  <c r="AL16" i="37"/>
  <c r="D16" i="37"/>
  <c r="C16" i="37"/>
  <c r="C21" i="36"/>
  <c r="D21" i="36"/>
  <c r="N21" i="36"/>
  <c r="O21" i="36"/>
  <c r="P21" i="36"/>
  <c r="R21" i="36"/>
  <c r="C22" i="36"/>
  <c r="D22" i="36"/>
  <c r="N22" i="36"/>
  <c r="O22" i="36"/>
  <c r="P22" i="36"/>
  <c r="R22" i="36"/>
  <c r="AL28" i="35"/>
  <c r="D28" i="35"/>
  <c r="C28" i="35"/>
  <c r="AL26" i="35"/>
  <c r="D26" i="35"/>
  <c r="C26" i="35"/>
  <c r="AL16" i="35"/>
  <c r="D16" i="35"/>
  <c r="C16" i="35"/>
  <c r="C16" i="34"/>
  <c r="D16" i="34"/>
  <c r="E16" i="34"/>
  <c r="N16" i="34"/>
  <c r="O16" i="34"/>
  <c r="P16" i="34"/>
  <c r="R16" i="34"/>
  <c r="AL16" i="33"/>
  <c r="D16" i="33"/>
  <c r="C16" i="33"/>
  <c r="AL14" i="33"/>
  <c r="D14" i="33"/>
  <c r="C14" i="33"/>
  <c r="C16" i="16"/>
  <c r="D16" i="16"/>
  <c r="E16" i="16"/>
  <c r="N16" i="16"/>
  <c r="O16" i="16"/>
  <c r="P16" i="16"/>
  <c r="R16" i="16"/>
  <c r="AL16" i="14"/>
  <c r="D16" i="14"/>
  <c r="C16" i="14"/>
  <c r="AL14" i="14"/>
  <c r="D14" i="14"/>
  <c r="C14" i="14"/>
  <c r="C16" i="54"/>
  <c r="D16" i="54"/>
  <c r="E16" i="54"/>
  <c r="N16" i="54"/>
  <c r="O16" i="54"/>
  <c r="P16" i="54"/>
  <c r="R16" i="54"/>
  <c r="C16" i="53"/>
  <c r="AK16" i="53"/>
  <c r="D16" i="53"/>
  <c r="A16" i="53"/>
  <c r="AK14" i="53"/>
  <c r="D14" i="53"/>
  <c r="C14" i="53"/>
  <c r="C16" i="52"/>
  <c r="D16" i="52"/>
  <c r="E16" i="52"/>
  <c r="N16" i="52"/>
  <c r="O16" i="52"/>
  <c r="P16" i="52"/>
  <c r="R16" i="52"/>
  <c r="C16" i="51"/>
  <c r="AL16" i="51"/>
  <c r="D16" i="51"/>
  <c r="A16" i="51"/>
  <c r="AL14" i="51"/>
  <c r="D14" i="51"/>
  <c r="C14" i="51"/>
  <c r="C16" i="50"/>
  <c r="D16" i="50"/>
  <c r="E16" i="50"/>
  <c r="N16" i="50"/>
  <c r="O16" i="50"/>
  <c r="P16" i="50"/>
  <c r="R16" i="50"/>
  <c r="R15" i="54"/>
  <c r="P15" i="54"/>
  <c r="O15" i="54"/>
  <c r="N15" i="54"/>
  <c r="E15" i="54"/>
  <c r="D15" i="54"/>
  <c r="C15" i="54"/>
  <c r="R11" i="54"/>
  <c r="P11" i="54"/>
  <c r="O11" i="54"/>
  <c r="N11" i="54"/>
  <c r="E11" i="54"/>
  <c r="D11" i="54"/>
  <c r="C11" i="54"/>
  <c r="R10" i="54"/>
  <c r="P10" i="54"/>
  <c r="O10" i="54"/>
  <c r="N10" i="54"/>
  <c r="E10" i="54"/>
  <c r="D10" i="54"/>
  <c r="C10" i="54"/>
  <c r="E4" i="54"/>
  <c r="S20" i="54" s="1"/>
  <c r="AK11" i="53"/>
  <c r="D11" i="53"/>
  <c r="C11" i="53"/>
  <c r="AK9" i="53"/>
  <c r="D9" i="53"/>
  <c r="C9" i="53"/>
  <c r="F5" i="53"/>
  <c r="F6" i="53" s="1"/>
  <c r="S1" i="53"/>
  <c r="R15" i="52"/>
  <c r="P15" i="52"/>
  <c r="O15" i="52"/>
  <c r="N15" i="52"/>
  <c r="E15" i="52"/>
  <c r="D15" i="52"/>
  <c r="C15" i="52"/>
  <c r="R11" i="52"/>
  <c r="P11" i="52"/>
  <c r="O11" i="52"/>
  <c r="N11" i="52"/>
  <c r="E11" i="52"/>
  <c r="D11" i="52"/>
  <c r="C11" i="52"/>
  <c r="R10" i="52"/>
  <c r="P10" i="52"/>
  <c r="O10" i="52"/>
  <c r="N10" i="52"/>
  <c r="E10" i="52"/>
  <c r="D10" i="52"/>
  <c r="C10" i="52"/>
  <c r="E4" i="52"/>
  <c r="S20" i="52" s="1"/>
  <c r="AL11" i="51"/>
  <c r="D11" i="51"/>
  <c r="C11" i="51"/>
  <c r="AL9" i="51"/>
  <c r="D9" i="51"/>
  <c r="C9" i="51"/>
  <c r="F5" i="51"/>
  <c r="F6" i="51" s="1"/>
  <c r="S1" i="51"/>
  <c r="R15" i="50"/>
  <c r="P15" i="50"/>
  <c r="O15" i="50"/>
  <c r="N15" i="50"/>
  <c r="E15" i="50"/>
  <c r="D15" i="50"/>
  <c r="C15" i="50"/>
  <c r="R11" i="50"/>
  <c r="P11" i="50"/>
  <c r="O11" i="50"/>
  <c r="N11" i="50"/>
  <c r="E11" i="50"/>
  <c r="D11" i="50"/>
  <c r="C11" i="50"/>
  <c r="R10" i="50"/>
  <c r="P10" i="50"/>
  <c r="O10" i="50"/>
  <c r="N10" i="50"/>
  <c r="E10" i="50"/>
  <c r="D10" i="50"/>
  <c r="C10" i="50"/>
  <c r="E4" i="50"/>
  <c r="S20" i="50" s="1"/>
  <c r="AJ16" i="49"/>
  <c r="D16" i="49"/>
  <c r="C16" i="49"/>
  <c r="AJ14" i="49"/>
  <c r="D14" i="49"/>
  <c r="C14" i="49"/>
  <c r="AJ11" i="49"/>
  <c r="D11" i="49"/>
  <c r="C11" i="49"/>
  <c r="AJ9" i="49"/>
  <c r="D9" i="49"/>
  <c r="C9" i="49"/>
  <c r="F5" i="49"/>
  <c r="F6" i="49" s="1"/>
  <c r="S1" i="49"/>
  <c r="R16" i="48"/>
  <c r="P16" i="48"/>
  <c r="O16" i="48"/>
  <c r="N16" i="48"/>
  <c r="E16" i="48"/>
  <c r="D16" i="48"/>
  <c r="C16" i="48"/>
  <c r="R15" i="48"/>
  <c r="P15" i="48"/>
  <c r="O15" i="48"/>
  <c r="N15" i="48"/>
  <c r="E15" i="48"/>
  <c r="D15" i="48"/>
  <c r="C15" i="48"/>
  <c r="R11" i="48"/>
  <c r="P11" i="48"/>
  <c r="O11" i="48"/>
  <c r="N11" i="48"/>
  <c r="E11" i="48"/>
  <c r="D11" i="48"/>
  <c r="C11" i="48"/>
  <c r="R10" i="48"/>
  <c r="P10" i="48"/>
  <c r="O10" i="48"/>
  <c r="N10" i="48"/>
  <c r="E10" i="48"/>
  <c r="D10" i="48"/>
  <c r="C10" i="48"/>
  <c r="E4" i="48"/>
  <c r="S20" i="48" s="1"/>
  <c r="AL16" i="47"/>
  <c r="D16" i="47"/>
  <c r="C16" i="47"/>
  <c r="A16" i="47"/>
  <c r="AL14" i="47"/>
  <c r="D14" i="47"/>
  <c r="C14" i="47"/>
  <c r="AL11" i="47"/>
  <c r="D11" i="47"/>
  <c r="C11" i="47"/>
  <c r="AL9" i="47"/>
  <c r="D9" i="47"/>
  <c r="C9" i="47"/>
  <c r="F5" i="47"/>
  <c r="F6" i="47" s="1"/>
  <c r="S1" i="47"/>
  <c r="E18" i="52" l="1"/>
  <c r="R18" i="52"/>
  <c r="O18" i="54"/>
  <c r="P18" i="52"/>
  <c r="E18" i="50"/>
  <c r="R18" i="50"/>
  <c r="E18" i="54"/>
  <c r="R18" i="54"/>
  <c r="N18" i="54"/>
  <c r="D1" i="50"/>
  <c r="R13" i="52"/>
  <c r="E18" i="48"/>
  <c r="N13" i="50"/>
  <c r="P13" i="54"/>
  <c r="N13" i="52"/>
  <c r="O13" i="54"/>
  <c r="N13" i="54"/>
  <c r="R13" i="54"/>
  <c r="P18" i="54"/>
  <c r="D1" i="52"/>
  <c r="D1" i="48"/>
  <c r="D1" i="54"/>
  <c r="R13" i="48"/>
  <c r="O13" i="52"/>
  <c r="N18" i="52"/>
  <c r="G5" i="53"/>
  <c r="E13" i="54"/>
  <c r="N13" i="48"/>
  <c r="R18" i="48"/>
  <c r="R13" i="50"/>
  <c r="P18" i="50"/>
  <c r="P13" i="52"/>
  <c r="O18" i="52"/>
  <c r="O13" i="50"/>
  <c r="N18" i="50"/>
  <c r="G5" i="51"/>
  <c r="E13" i="52"/>
  <c r="P18" i="48"/>
  <c r="P13" i="50"/>
  <c r="O18" i="50"/>
  <c r="O13" i="48"/>
  <c r="N18" i="48"/>
  <c r="G5" i="49"/>
  <c r="E13" i="50"/>
  <c r="P13" i="48"/>
  <c r="O18" i="48"/>
  <c r="G5" i="47"/>
  <c r="E13" i="48"/>
  <c r="K30" i="15"/>
  <c r="G6" i="53" l="1"/>
  <c r="H5" i="53"/>
  <c r="G6" i="51"/>
  <c r="H5" i="51"/>
  <c r="G6" i="49"/>
  <c r="H5" i="49"/>
  <c r="H5" i="47"/>
  <c r="G6" i="47"/>
  <c r="K31" i="15"/>
  <c r="I5" i="53" l="1"/>
  <c r="H6" i="53"/>
  <c r="I5" i="51"/>
  <c r="H6" i="51"/>
  <c r="I5" i="49"/>
  <c r="H6" i="49"/>
  <c r="I5" i="47"/>
  <c r="H6" i="47"/>
  <c r="R16" i="46"/>
  <c r="P16" i="46"/>
  <c r="O16" i="46"/>
  <c r="N16" i="46"/>
  <c r="D16" i="46"/>
  <c r="C16" i="46"/>
  <c r="R12" i="46"/>
  <c r="P12" i="46"/>
  <c r="O12" i="46"/>
  <c r="N12" i="46"/>
  <c r="D12" i="46"/>
  <c r="C12" i="46"/>
  <c r="R10" i="46"/>
  <c r="P10" i="46"/>
  <c r="O10" i="46"/>
  <c r="N10" i="46"/>
  <c r="D10" i="46"/>
  <c r="C10" i="46"/>
  <c r="E4" i="46"/>
  <c r="S26" i="46" s="1"/>
  <c r="AL13" i="45"/>
  <c r="D13" i="45"/>
  <c r="C13" i="45"/>
  <c r="AL9" i="45"/>
  <c r="D9" i="45"/>
  <c r="C9" i="45"/>
  <c r="F5" i="45"/>
  <c r="G5" i="45" s="1"/>
  <c r="S1" i="45"/>
  <c r="R16" i="44"/>
  <c r="P16" i="44"/>
  <c r="O16" i="44"/>
  <c r="N16" i="44"/>
  <c r="D16" i="44"/>
  <c r="C16" i="44"/>
  <c r="R12" i="44"/>
  <c r="P12" i="44"/>
  <c r="O12" i="44"/>
  <c r="N12" i="44"/>
  <c r="D12" i="44"/>
  <c r="C12" i="44"/>
  <c r="R10" i="44"/>
  <c r="P10" i="44"/>
  <c r="O10" i="44"/>
  <c r="N10" i="44"/>
  <c r="D10" i="44"/>
  <c r="C10" i="44"/>
  <c r="E4" i="44"/>
  <c r="S26" i="44" s="1"/>
  <c r="AL13" i="43"/>
  <c r="D13" i="43"/>
  <c r="C13" i="43"/>
  <c r="AL9" i="43"/>
  <c r="D9" i="43"/>
  <c r="C9" i="43"/>
  <c r="F5" i="43"/>
  <c r="G5" i="43" s="1"/>
  <c r="S1" i="43"/>
  <c r="R16" i="42"/>
  <c r="P16" i="42"/>
  <c r="O16" i="42"/>
  <c r="N16" i="42"/>
  <c r="D16" i="42"/>
  <c r="C16" i="42"/>
  <c r="R12" i="42"/>
  <c r="P12" i="42"/>
  <c r="O12" i="42"/>
  <c r="N12" i="42"/>
  <c r="D12" i="42"/>
  <c r="C12" i="42"/>
  <c r="R10" i="42"/>
  <c r="P10" i="42"/>
  <c r="O10" i="42"/>
  <c r="N10" i="42"/>
  <c r="D10" i="42"/>
  <c r="C10" i="42"/>
  <c r="E4" i="42"/>
  <c r="S26" i="42" s="1"/>
  <c r="AL13" i="41"/>
  <c r="D13" i="41"/>
  <c r="C13" i="41"/>
  <c r="AL9" i="41"/>
  <c r="D9" i="41"/>
  <c r="C9" i="41"/>
  <c r="F5" i="41"/>
  <c r="G5" i="41" s="1"/>
  <c r="S1" i="41"/>
  <c r="E14" i="46" l="1"/>
  <c r="R14" i="46"/>
  <c r="J5" i="53"/>
  <c r="I6" i="53"/>
  <c r="J5" i="51"/>
  <c r="I6" i="51"/>
  <c r="E14" i="44"/>
  <c r="R14" i="44"/>
  <c r="N14" i="46"/>
  <c r="P14" i="44"/>
  <c r="J5" i="49"/>
  <c r="I6" i="49"/>
  <c r="O14" i="44"/>
  <c r="P14" i="46"/>
  <c r="N14" i="44"/>
  <c r="O14" i="46"/>
  <c r="I6" i="47"/>
  <c r="J5" i="47"/>
  <c r="F6" i="43"/>
  <c r="E24" i="42"/>
  <c r="R24" i="42"/>
  <c r="E24" i="44"/>
  <c r="R24" i="44"/>
  <c r="F6" i="45"/>
  <c r="F6" i="41"/>
  <c r="N14" i="42"/>
  <c r="E24" i="46"/>
  <c r="P24" i="42"/>
  <c r="D1" i="42"/>
  <c r="P24" i="44"/>
  <c r="D1" i="44"/>
  <c r="O24" i="46"/>
  <c r="P24" i="46"/>
  <c r="N24" i="46"/>
  <c r="R24" i="46"/>
  <c r="D1" i="46"/>
  <c r="G6" i="45"/>
  <c r="H5" i="45"/>
  <c r="N24" i="44"/>
  <c r="O24" i="44"/>
  <c r="G6" i="43"/>
  <c r="H5" i="43"/>
  <c r="N24" i="42"/>
  <c r="O14" i="42"/>
  <c r="P14" i="42"/>
  <c r="R14" i="42"/>
  <c r="O24" i="42"/>
  <c r="G6" i="41"/>
  <c r="H5" i="41"/>
  <c r="E14" i="42"/>
  <c r="R16" i="40"/>
  <c r="P16" i="40"/>
  <c r="O16" i="40"/>
  <c r="N16" i="40"/>
  <c r="D16" i="40"/>
  <c r="C16" i="40"/>
  <c r="R12" i="40"/>
  <c r="P12" i="40"/>
  <c r="O12" i="40"/>
  <c r="N12" i="40"/>
  <c r="D12" i="40"/>
  <c r="C12" i="40"/>
  <c r="R10" i="40"/>
  <c r="P10" i="40"/>
  <c r="O10" i="40"/>
  <c r="N10" i="40"/>
  <c r="D10" i="40"/>
  <c r="C10" i="40"/>
  <c r="E4" i="40"/>
  <c r="S26" i="40" s="1"/>
  <c r="AL13" i="39"/>
  <c r="D13" i="39"/>
  <c r="C13" i="39"/>
  <c r="AL9" i="39"/>
  <c r="D9" i="39"/>
  <c r="C9" i="39"/>
  <c r="F5" i="39"/>
  <c r="G5" i="39" s="1"/>
  <c r="S1" i="39"/>
  <c r="R16" i="38"/>
  <c r="P16" i="38"/>
  <c r="O16" i="38"/>
  <c r="N16" i="38"/>
  <c r="D16" i="38"/>
  <c r="C16" i="38"/>
  <c r="R12" i="38"/>
  <c r="P12" i="38"/>
  <c r="O12" i="38"/>
  <c r="N12" i="38"/>
  <c r="D12" i="38"/>
  <c r="C12" i="38"/>
  <c r="R10" i="38"/>
  <c r="P10" i="38"/>
  <c r="O10" i="38"/>
  <c r="N10" i="38"/>
  <c r="D10" i="38"/>
  <c r="C10" i="38"/>
  <c r="E4" i="38"/>
  <c r="S26" i="38" s="1"/>
  <c r="AL13" i="37"/>
  <c r="D13" i="37"/>
  <c r="C13" i="37"/>
  <c r="AL9" i="37"/>
  <c r="D9" i="37"/>
  <c r="C9" i="37"/>
  <c r="F5" i="37"/>
  <c r="F6" i="37" s="1"/>
  <c r="S1" i="37"/>
  <c r="R16" i="36"/>
  <c r="P16" i="36"/>
  <c r="O16" i="36"/>
  <c r="N16" i="36"/>
  <c r="D16" i="36"/>
  <c r="C16" i="36"/>
  <c r="R10" i="36"/>
  <c r="P10" i="36"/>
  <c r="O10" i="36"/>
  <c r="N10" i="36"/>
  <c r="D10" i="36"/>
  <c r="C10" i="36"/>
  <c r="E4" i="36"/>
  <c r="S26" i="36" s="1"/>
  <c r="AL13" i="35"/>
  <c r="D13" i="35"/>
  <c r="C13" i="35"/>
  <c r="AL9" i="35"/>
  <c r="D9" i="35"/>
  <c r="C9" i="35"/>
  <c r="F5" i="35"/>
  <c r="F6" i="35" s="1"/>
  <c r="S1" i="35"/>
  <c r="D1" i="36" l="1"/>
  <c r="J6" i="53"/>
  <c r="K5" i="53"/>
  <c r="J6" i="51"/>
  <c r="K5" i="51"/>
  <c r="J6" i="49"/>
  <c r="K5" i="49"/>
  <c r="J6" i="47"/>
  <c r="K5" i="47"/>
  <c r="D1" i="38"/>
  <c r="N14" i="40"/>
  <c r="P24" i="40"/>
  <c r="I5" i="45"/>
  <c r="H6" i="45"/>
  <c r="R14" i="38"/>
  <c r="P24" i="38"/>
  <c r="O14" i="40"/>
  <c r="N24" i="40"/>
  <c r="I5" i="43"/>
  <c r="H6" i="43"/>
  <c r="E24" i="40"/>
  <c r="R24" i="40"/>
  <c r="I5" i="41"/>
  <c r="H6" i="41"/>
  <c r="R14" i="36"/>
  <c r="P24" i="36"/>
  <c r="N14" i="38"/>
  <c r="E24" i="38"/>
  <c r="R24" i="38"/>
  <c r="P14" i="40"/>
  <c r="R14" i="40"/>
  <c r="O24" i="40"/>
  <c r="F6" i="39"/>
  <c r="D1" i="40"/>
  <c r="G6" i="39"/>
  <c r="H5" i="39"/>
  <c r="E14" i="40"/>
  <c r="N14" i="36"/>
  <c r="E24" i="36"/>
  <c r="R24" i="36"/>
  <c r="O14" i="38"/>
  <c r="N24" i="38"/>
  <c r="O14" i="36"/>
  <c r="P14" i="38"/>
  <c r="O24" i="38"/>
  <c r="G5" i="37"/>
  <c r="E14" i="38"/>
  <c r="N24" i="36"/>
  <c r="P14" i="36"/>
  <c r="O24" i="36"/>
  <c r="G5" i="35"/>
  <c r="E14" i="36"/>
  <c r="C11" i="34"/>
  <c r="D11" i="34"/>
  <c r="E11" i="34"/>
  <c r="N11" i="34"/>
  <c r="O11" i="34"/>
  <c r="P11" i="34"/>
  <c r="R11" i="34"/>
  <c r="AL11" i="33"/>
  <c r="D11" i="33"/>
  <c r="C11" i="33"/>
  <c r="A11" i="33"/>
  <c r="C15" i="16"/>
  <c r="D15" i="16"/>
  <c r="E15" i="16"/>
  <c r="N15" i="16"/>
  <c r="O15" i="16"/>
  <c r="P15" i="16"/>
  <c r="R15" i="16"/>
  <c r="C10" i="16"/>
  <c r="D10" i="16"/>
  <c r="E10" i="16"/>
  <c r="N10" i="16"/>
  <c r="O10" i="16"/>
  <c r="P10" i="16"/>
  <c r="R10" i="16"/>
  <c r="C11" i="16"/>
  <c r="D11" i="16"/>
  <c r="E11" i="16"/>
  <c r="N11" i="16"/>
  <c r="O11" i="16"/>
  <c r="P11" i="16"/>
  <c r="R11" i="16"/>
  <c r="K6" i="53" l="1"/>
  <c r="L5" i="53"/>
  <c r="K6" i="51"/>
  <c r="L5" i="51"/>
  <c r="K6" i="49"/>
  <c r="L5" i="49"/>
  <c r="L5" i="47"/>
  <c r="K6" i="47"/>
  <c r="J5" i="45"/>
  <c r="I6" i="45"/>
  <c r="J5" i="43"/>
  <c r="I6" i="43"/>
  <c r="J5" i="41"/>
  <c r="I6" i="41"/>
  <c r="I5" i="39"/>
  <c r="H6" i="39"/>
  <c r="E13" i="16"/>
  <c r="G6" i="37"/>
  <c r="H5" i="37"/>
  <c r="P18" i="16"/>
  <c r="P13" i="16"/>
  <c r="O18" i="16"/>
  <c r="E18" i="16"/>
  <c r="R18" i="16"/>
  <c r="N18" i="16"/>
  <c r="N13" i="16"/>
  <c r="R13" i="16"/>
  <c r="G6" i="35"/>
  <c r="H5" i="35"/>
  <c r="O13" i="16"/>
  <c r="AL11" i="14"/>
  <c r="D11" i="14"/>
  <c r="C11" i="14"/>
  <c r="A11" i="15"/>
  <c r="A12" i="15"/>
  <c r="A15" i="15"/>
  <c r="A16" i="15"/>
  <c r="A17" i="15"/>
  <c r="A24" i="15"/>
  <c r="M5" i="53" l="1"/>
  <c r="L6" i="53"/>
  <c r="M5" i="51"/>
  <c r="L6" i="51"/>
  <c r="M5" i="49"/>
  <c r="L6" i="49"/>
  <c r="M5" i="47"/>
  <c r="L6" i="47"/>
  <c r="J6" i="45"/>
  <c r="K5" i="45"/>
  <c r="J6" i="43"/>
  <c r="K5" i="43"/>
  <c r="J6" i="41"/>
  <c r="K5" i="41"/>
  <c r="J5" i="39"/>
  <c r="I6" i="39"/>
  <c r="I5" i="37"/>
  <c r="H6" i="37"/>
  <c r="I5" i="35"/>
  <c r="H6" i="35"/>
  <c r="R15" i="34"/>
  <c r="P15" i="34"/>
  <c r="O15" i="34"/>
  <c r="N15" i="34"/>
  <c r="E15" i="34"/>
  <c r="D15" i="34"/>
  <c r="C15" i="34"/>
  <c r="R10" i="34"/>
  <c r="R13" i="34" s="1"/>
  <c r="P10" i="34"/>
  <c r="P13" i="34" s="1"/>
  <c r="O10" i="34"/>
  <c r="O13" i="34" s="1"/>
  <c r="N10" i="34"/>
  <c r="N13" i="34" s="1"/>
  <c r="E10" i="34"/>
  <c r="E13" i="34" s="1"/>
  <c r="D10" i="34"/>
  <c r="C10" i="34"/>
  <c r="E4" i="34"/>
  <c r="AL9" i="33"/>
  <c r="D9" i="33"/>
  <c r="C9" i="33"/>
  <c r="F5" i="33"/>
  <c r="G5" i="33" s="1"/>
  <c r="S1" i="33"/>
  <c r="N5" i="53" l="1"/>
  <c r="M6" i="53"/>
  <c r="N5" i="51"/>
  <c r="M6" i="51"/>
  <c r="M6" i="49"/>
  <c r="N5" i="49"/>
  <c r="N5" i="47"/>
  <c r="M6" i="47"/>
  <c r="K6" i="45"/>
  <c r="L5" i="45"/>
  <c r="K6" i="43"/>
  <c r="L5" i="43"/>
  <c r="N18" i="34"/>
  <c r="K6" i="41"/>
  <c r="L5" i="41"/>
  <c r="J6" i="39"/>
  <c r="K5" i="39"/>
  <c r="O18" i="34"/>
  <c r="J5" i="37"/>
  <c r="I6" i="37"/>
  <c r="P18" i="34"/>
  <c r="E18" i="34"/>
  <c r="R18" i="34"/>
  <c r="J5" i="35"/>
  <c r="I6" i="35"/>
  <c r="S20" i="34"/>
  <c r="F6" i="33"/>
  <c r="G6" i="33"/>
  <c r="H5" i="33"/>
  <c r="D1" i="34"/>
  <c r="N6" i="53" l="1"/>
  <c r="O5" i="53"/>
  <c r="N6" i="51"/>
  <c r="O5" i="51"/>
  <c r="N6" i="49"/>
  <c r="O5" i="49"/>
  <c r="N6" i="47"/>
  <c r="O5" i="47"/>
  <c r="M5" i="45"/>
  <c r="L6" i="45"/>
  <c r="M5" i="43"/>
  <c r="L6" i="43"/>
  <c r="M5" i="41"/>
  <c r="L6" i="41"/>
  <c r="K6" i="39"/>
  <c r="L5" i="39"/>
  <c r="J6" i="37"/>
  <c r="K5" i="37"/>
  <c r="J6" i="35"/>
  <c r="K5" i="35"/>
  <c r="I5" i="33"/>
  <c r="H6" i="33"/>
  <c r="J25" i="15"/>
  <c r="F25" i="15"/>
  <c r="O6" i="53" l="1"/>
  <c r="P5" i="53"/>
  <c r="O6" i="51"/>
  <c r="P5" i="51"/>
  <c r="O6" i="49"/>
  <c r="P5" i="49"/>
  <c r="P5" i="47"/>
  <c r="O6" i="47"/>
  <c r="N5" i="45"/>
  <c r="M6" i="45"/>
  <c r="N5" i="43"/>
  <c r="M6" i="43"/>
  <c r="N5" i="41"/>
  <c r="M6" i="41"/>
  <c r="M5" i="39"/>
  <c r="L6" i="39"/>
  <c r="K6" i="37"/>
  <c r="L5" i="37"/>
  <c r="K6" i="35"/>
  <c r="L5" i="35"/>
  <c r="J5" i="33"/>
  <c r="I6" i="33"/>
  <c r="E4" i="16"/>
  <c r="Q5" i="53" l="1"/>
  <c r="P6" i="53"/>
  <c r="Q5" i="51"/>
  <c r="P6" i="51"/>
  <c r="Q5" i="49"/>
  <c r="P6" i="49"/>
  <c r="Q5" i="47"/>
  <c r="P6" i="47"/>
  <c r="N6" i="45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0" i="16"/>
  <c r="R5" i="53" l="1"/>
  <c r="Q6" i="53"/>
  <c r="R5" i="51"/>
  <c r="Q6" i="51"/>
  <c r="R5" i="49"/>
  <c r="Q6" i="49"/>
  <c r="R5" i="47"/>
  <c r="Q6" i="47"/>
  <c r="O6" i="45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80" i="15"/>
  <c r="N108" i="15" s="1"/>
  <c r="M81" i="15"/>
  <c r="N110" i="15" s="1"/>
  <c r="M82" i="15"/>
  <c r="N112" i="15" s="1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52" i="15"/>
  <c r="J26" i="15" a="1"/>
  <c r="J26" i="15" s="1"/>
  <c r="R6" i="53" l="1"/>
  <c r="S5" i="53"/>
  <c r="R6" i="51"/>
  <c r="S5" i="51"/>
  <c r="R6" i="49"/>
  <c r="S5" i="49"/>
  <c r="R6" i="47"/>
  <c r="S5" i="47"/>
  <c r="Q5" i="45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9" i="14"/>
  <c r="S6" i="53" l="1"/>
  <c r="T5" i="53"/>
  <c r="S6" i="51"/>
  <c r="T5" i="51"/>
  <c r="S6" i="49"/>
  <c r="T5" i="49"/>
  <c r="S6" i="47"/>
  <c r="T5" i="47"/>
  <c r="R5" i="45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4" i="15"/>
  <c r="N56" i="15"/>
  <c r="N58" i="15"/>
  <c r="N60" i="15"/>
  <c r="N62" i="15"/>
  <c r="N64" i="15"/>
  <c r="N66" i="15"/>
  <c r="N68" i="15"/>
  <c r="N70" i="15"/>
  <c r="N72" i="15"/>
  <c r="N74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104" i="15"/>
  <c r="N106" i="15"/>
  <c r="N52" i="15"/>
  <c r="U5" i="53" l="1"/>
  <c r="T6" i="53"/>
  <c r="U5" i="51"/>
  <c r="T6" i="51"/>
  <c r="U5" i="49"/>
  <c r="T6" i="49"/>
  <c r="U5" i="47"/>
  <c r="T6" i="47"/>
  <c r="R6" i="45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5" i="15"/>
  <c r="V5" i="53" l="1"/>
  <c r="U6" i="53"/>
  <c r="V5" i="51"/>
  <c r="U6" i="51"/>
  <c r="V5" i="49"/>
  <c r="U6" i="49"/>
  <c r="U6" i="47"/>
  <c r="V5" i="47"/>
  <c r="S6" i="45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6" i="15" a="1"/>
  <c r="K26" i="15" s="1"/>
  <c r="L26" i="15" a="1"/>
  <c r="L26" i="15" s="1"/>
  <c r="M26" i="15" a="1"/>
  <c r="M26" i="15" s="1"/>
  <c r="N26" i="15" a="1"/>
  <c r="N26" i="15" s="1"/>
  <c r="O26" i="15" a="1"/>
  <c r="O26" i="15" s="1"/>
  <c r="P26" i="15" a="1"/>
  <c r="P26" i="15" s="1"/>
  <c r="Q26" i="15" a="1"/>
  <c r="Q26" i="15" s="1"/>
  <c r="R26" i="15" a="1"/>
  <c r="R26" i="15" s="1"/>
  <c r="S26" i="15" a="1"/>
  <c r="S26" i="15" s="1"/>
  <c r="T26" i="15" a="1"/>
  <c r="T26" i="15" s="1"/>
  <c r="U26" i="15" a="1"/>
  <c r="U26" i="15" s="1"/>
  <c r="U25" i="15"/>
  <c r="K25" i="15"/>
  <c r="L25" i="15"/>
  <c r="M25" i="15"/>
  <c r="N25" i="15"/>
  <c r="O25" i="15"/>
  <c r="P25" i="15"/>
  <c r="Q25" i="15"/>
  <c r="R25" i="15"/>
  <c r="S25" i="15"/>
  <c r="T25" i="15"/>
  <c r="G25" i="15"/>
  <c r="H25" i="15"/>
  <c r="A6" i="15"/>
  <c r="V6" i="53" l="1"/>
  <c r="W5" i="53"/>
  <c r="V6" i="51"/>
  <c r="W5" i="51"/>
  <c r="V6" i="49"/>
  <c r="W5" i="49"/>
  <c r="V6" i="47"/>
  <c r="W5" i="47"/>
  <c r="U5" i="45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D9" i="14"/>
  <c r="C9" i="14"/>
  <c r="F5" i="14"/>
  <c r="W6" i="53" l="1"/>
  <c r="X5" i="53"/>
  <c r="W6" i="51"/>
  <c r="X5" i="51"/>
  <c r="W6" i="49"/>
  <c r="X5" i="49"/>
  <c r="X5" i="47"/>
  <c r="W6" i="47"/>
  <c r="V5" i="45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Y5" i="53" l="1"/>
  <c r="X6" i="53"/>
  <c r="Y5" i="51"/>
  <c r="X6" i="51"/>
  <c r="Y5" i="49"/>
  <c r="X6" i="49"/>
  <c r="Y5" i="47"/>
  <c r="X6" i="47"/>
  <c r="V6" i="45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Z5" i="53" l="1"/>
  <c r="Y6" i="53"/>
  <c r="Z5" i="51"/>
  <c r="Y6" i="51"/>
  <c r="Z5" i="49"/>
  <c r="Y6" i="49"/>
  <c r="Y6" i="47"/>
  <c r="Z5" i="47"/>
  <c r="W6" i="45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Z6" i="53" l="1"/>
  <c r="AA5" i="53"/>
  <c r="Z6" i="51"/>
  <c r="AA5" i="51"/>
  <c r="Z6" i="49"/>
  <c r="AA5" i="49"/>
  <c r="Z6" i="47"/>
  <c r="AA5" i="47"/>
  <c r="Y5" i="45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AA6" i="53" l="1"/>
  <c r="AB5" i="53"/>
  <c r="AA6" i="51"/>
  <c r="AB5" i="51"/>
  <c r="AA6" i="49"/>
  <c r="AB5" i="49"/>
  <c r="AB5" i="47"/>
  <c r="AA6" i="47"/>
  <c r="Z5" i="45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AC5" i="53" l="1"/>
  <c r="AB6" i="53"/>
  <c r="AC5" i="51"/>
  <c r="AB6" i="51"/>
  <c r="AC5" i="49"/>
  <c r="AB6" i="49"/>
  <c r="AC5" i="47"/>
  <c r="AB6" i="47"/>
  <c r="Z6" i="45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D5" i="53" l="1"/>
  <c r="AC6" i="53"/>
  <c r="AD5" i="51"/>
  <c r="AC6" i="51"/>
  <c r="AD5" i="49"/>
  <c r="AC6" i="49"/>
  <c r="AD5" i="47"/>
  <c r="AC6" i="47"/>
  <c r="AA6" i="45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D6" i="53" l="1"/>
  <c r="AE5" i="53"/>
  <c r="AD6" i="51"/>
  <c r="AE5" i="51"/>
  <c r="AD6" i="49"/>
  <c r="AE5" i="49"/>
  <c r="AD6" i="47"/>
  <c r="AE5" i="47"/>
  <c r="AC5" i="45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E6" i="53" l="1"/>
  <c r="AF5" i="53"/>
  <c r="AE6" i="51"/>
  <c r="AF5" i="51"/>
  <c r="AE6" i="49"/>
  <c r="AF5" i="49"/>
  <c r="AF5" i="47"/>
  <c r="AE6" i="47"/>
  <c r="AD5" i="45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G5" i="53" l="1"/>
  <c r="AF6" i="53"/>
  <c r="AG5" i="51"/>
  <c r="AF6" i="51"/>
  <c r="AG5" i="49"/>
  <c r="AF6" i="49"/>
  <c r="AG5" i="47"/>
  <c r="AF6" i="47"/>
  <c r="AD6" i="45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H5" i="53" l="1"/>
  <c r="AG6" i="53"/>
  <c r="AH5" i="51"/>
  <c r="AG6" i="51"/>
  <c r="AH5" i="49"/>
  <c r="AG6" i="49"/>
  <c r="AH5" i="47"/>
  <c r="AG6" i="47"/>
  <c r="AE6" i="45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H6" i="53" l="1"/>
  <c r="AI5" i="53"/>
  <c r="AH6" i="51"/>
  <c r="AI5" i="51"/>
  <c r="AH6" i="49"/>
  <c r="AH6" i="47"/>
  <c r="AI5" i="47"/>
  <c r="AG5" i="45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I6" i="53" l="1"/>
  <c r="AI6" i="51"/>
  <c r="AJ5" i="51"/>
  <c r="AJ6" i="51" s="1"/>
  <c r="AJ5" i="47"/>
  <c r="AJ6" i="47" s="1"/>
  <c r="AI6" i="47"/>
  <c r="AH5" i="45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M14" i="51" l="1"/>
  <c r="AM16" i="51"/>
  <c r="H16" i="52" s="1"/>
  <c r="AK16" i="51"/>
  <c r="AK14" i="51"/>
  <c r="AJ16" i="53"/>
  <c r="F16" i="54" s="1"/>
  <c r="AL14" i="53"/>
  <c r="H15" i="54" s="1"/>
  <c r="AJ14" i="53"/>
  <c r="AL16" i="53"/>
  <c r="H16" i="54" s="1"/>
  <c r="AJ9" i="53"/>
  <c r="AL11" i="53"/>
  <c r="AL9" i="53"/>
  <c r="AJ11" i="53"/>
  <c r="AM9" i="51"/>
  <c r="H10" i="52" s="1"/>
  <c r="AK9" i="51"/>
  <c r="AM11" i="51"/>
  <c r="H11" i="52" s="1"/>
  <c r="AK11" i="51"/>
  <c r="AK9" i="49"/>
  <c r="AK16" i="49"/>
  <c r="H16" i="50" s="1"/>
  <c r="AI11" i="49"/>
  <c r="AI9" i="49"/>
  <c r="AK11" i="49"/>
  <c r="AI16" i="49"/>
  <c r="F16" i="50" s="1"/>
  <c r="AI14" i="49"/>
  <c r="F15" i="50" s="1"/>
  <c r="AK14" i="49"/>
  <c r="H15" i="50" s="1"/>
  <c r="AK9" i="47"/>
  <c r="F10" i="48" s="1"/>
  <c r="AM14" i="47"/>
  <c r="AK16" i="47"/>
  <c r="F16" i="48" s="1"/>
  <c r="AM9" i="47"/>
  <c r="AM11" i="47"/>
  <c r="AK11" i="47"/>
  <c r="F11" i="48" s="1"/>
  <c r="AK14" i="47"/>
  <c r="F15" i="48" s="1"/>
  <c r="AM16" i="47"/>
  <c r="AH6" i="45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N14" i="51" l="1"/>
  <c r="H11" i="54"/>
  <c r="H10" i="54"/>
  <c r="F11" i="54"/>
  <c r="F10" i="54"/>
  <c r="H11" i="50"/>
  <c r="H10" i="50"/>
  <c r="F11" i="50"/>
  <c r="F10" i="50"/>
  <c r="AM14" i="53"/>
  <c r="F15" i="54"/>
  <c r="L16" i="54"/>
  <c r="J16" i="54"/>
  <c r="H15" i="52"/>
  <c r="F16" i="52"/>
  <c r="AN16" i="51"/>
  <c r="L16" i="50"/>
  <c r="J16" i="50"/>
  <c r="H10" i="48"/>
  <c r="H16" i="48"/>
  <c r="H11" i="48"/>
  <c r="H15" i="48"/>
  <c r="AM16" i="53"/>
  <c r="AM11" i="53"/>
  <c r="AM9" i="53"/>
  <c r="F15" i="52"/>
  <c r="F11" i="52"/>
  <c r="AN11" i="51"/>
  <c r="AN9" i="51"/>
  <c r="F10" i="52"/>
  <c r="AL14" i="49"/>
  <c r="AL16" i="49"/>
  <c r="AL11" i="49"/>
  <c r="AL9" i="49"/>
  <c r="AN14" i="47"/>
  <c r="AN16" i="47"/>
  <c r="AN11" i="47"/>
  <c r="AN9" i="47"/>
  <c r="AI6" i="45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6" i="45" l="1"/>
  <c r="AM26" i="45"/>
  <c r="H21" i="46" s="1"/>
  <c r="AM16" i="45"/>
  <c r="AK28" i="45"/>
  <c r="AM28" i="45"/>
  <c r="H22" i="46" s="1"/>
  <c r="AK16" i="45"/>
  <c r="AN16" i="45" s="1"/>
  <c r="AM26" i="43"/>
  <c r="AK28" i="43"/>
  <c r="AK26" i="43"/>
  <c r="AM16" i="43"/>
  <c r="AM28" i="43"/>
  <c r="AK16" i="43"/>
  <c r="AK28" i="41"/>
  <c r="AM26" i="41"/>
  <c r="H21" i="42" s="1"/>
  <c r="AK16" i="41"/>
  <c r="AN16" i="41" s="1"/>
  <c r="AM16" i="41"/>
  <c r="AM28" i="41"/>
  <c r="H22" i="42" s="1"/>
  <c r="AK26" i="41"/>
  <c r="U2" i="54"/>
  <c r="U2" i="50"/>
  <c r="G16" i="50" s="1"/>
  <c r="L16" i="52"/>
  <c r="J16" i="52"/>
  <c r="U2" i="48"/>
  <c r="G15" i="48" s="1"/>
  <c r="U2" i="52"/>
  <c r="G11" i="52" s="1"/>
  <c r="L10" i="54"/>
  <c r="J10" i="54"/>
  <c r="J15" i="54"/>
  <c r="L15" i="54"/>
  <c r="L11" i="54"/>
  <c r="J11" i="54"/>
  <c r="L11" i="52"/>
  <c r="J11" i="52"/>
  <c r="L10" i="52"/>
  <c r="J10" i="52"/>
  <c r="J15" i="52"/>
  <c r="L15" i="52"/>
  <c r="L10" i="50"/>
  <c r="J10" i="50"/>
  <c r="L11" i="50"/>
  <c r="J11" i="50"/>
  <c r="J15" i="50"/>
  <c r="L15" i="50"/>
  <c r="J15" i="48"/>
  <c r="L15" i="48"/>
  <c r="J11" i="48"/>
  <c r="L11" i="48"/>
  <c r="L10" i="48"/>
  <c r="J10" i="48"/>
  <c r="L16" i="48"/>
  <c r="J16" i="48"/>
  <c r="AK13" i="45"/>
  <c r="AM13" i="45"/>
  <c r="AK9" i="45"/>
  <c r="AM9" i="45"/>
  <c r="H10" i="46" s="1"/>
  <c r="AK13" i="43"/>
  <c r="AM13" i="43"/>
  <c r="AK9" i="43"/>
  <c r="F10" i="44" s="1"/>
  <c r="AM9" i="43"/>
  <c r="H10" i="44" s="1"/>
  <c r="AK13" i="41"/>
  <c r="AK9" i="41"/>
  <c r="AM13" i="41"/>
  <c r="AM9" i="41"/>
  <c r="H10" i="42" s="1"/>
  <c r="AI6" i="39"/>
  <c r="AJ5" i="39"/>
  <c r="AJ6" i="39" s="1"/>
  <c r="AH6" i="37"/>
  <c r="AI5" i="37"/>
  <c r="AH6" i="35"/>
  <c r="AI5" i="35"/>
  <c r="AG5" i="33"/>
  <c r="AF6" i="33"/>
  <c r="V5" i="14"/>
  <c r="U6" i="14"/>
  <c r="AN16" i="43" l="1"/>
  <c r="L18" i="54"/>
  <c r="H12" i="46"/>
  <c r="H12" i="42"/>
  <c r="I11" i="54"/>
  <c r="G10" i="54"/>
  <c r="I10" i="54"/>
  <c r="I16" i="54"/>
  <c r="I15" i="54"/>
  <c r="G11" i="54"/>
  <c r="G15" i="54"/>
  <c r="G16" i="54"/>
  <c r="AN28" i="45"/>
  <c r="F22" i="46"/>
  <c r="F21" i="46"/>
  <c r="AN26" i="45"/>
  <c r="F21" i="44"/>
  <c r="L21" i="44" s="1"/>
  <c r="AN26" i="43"/>
  <c r="H21" i="44" s="1"/>
  <c r="AN28" i="43"/>
  <c r="H22" i="44" s="1"/>
  <c r="F22" i="44"/>
  <c r="F21" i="42"/>
  <c r="AN26" i="41"/>
  <c r="F22" i="42"/>
  <c r="AN28" i="41"/>
  <c r="AM28" i="39"/>
  <c r="H22" i="40" s="1"/>
  <c r="AM16" i="39"/>
  <c r="AK26" i="39"/>
  <c r="AK28" i="39"/>
  <c r="AM26" i="39"/>
  <c r="H21" i="40" s="1"/>
  <c r="AK16" i="39"/>
  <c r="AN16" i="39" s="1"/>
  <c r="I16" i="50"/>
  <c r="K16" i="50" s="1"/>
  <c r="M16" i="50" s="1"/>
  <c r="Q16" i="50" s="1"/>
  <c r="S16" i="50" s="1"/>
  <c r="G15" i="50"/>
  <c r="G10" i="50"/>
  <c r="G11" i="50"/>
  <c r="I11" i="50"/>
  <c r="I10" i="50"/>
  <c r="I15" i="50"/>
  <c r="G10" i="48"/>
  <c r="G11" i="48"/>
  <c r="G16" i="48"/>
  <c r="I10" i="48"/>
  <c r="I11" i="48"/>
  <c r="I16" i="48"/>
  <c r="I15" i="48"/>
  <c r="K15" i="48" s="1"/>
  <c r="G10" i="52"/>
  <c r="G15" i="52"/>
  <c r="L13" i="52"/>
  <c r="G16" i="52"/>
  <c r="I16" i="52"/>
  <c r="I11" i="52"/>
  <c r="K11" i="52" s="1"/>
  <c r="M11" i="52" s="1"/>
  <c r="Q11" i="52" s="1"/>
  <c r="S11" i="52" s="1"/>
  <c r="I10" i="52"/>
  <c r="I15" i="52"/>
  <c r="H16" i="46"/>
  <c r="H16" i="44"/>
  <c r="H16" i="42"/>
  <c r="L13" i="54"/>
  <c r="L18" i="50"/>
  <c r="L18" i="52"/>
  <c r="L13" i="50"/>
  <c r="L18" i="48"/>
  <c r="L13" i="48"/>
  <c r="F12" i="46"/>
  <c r="AN13" i="45"/>
  <c r="F16" i="46"/>
  <c r="AN9" i="45"/>
  <c r="F10" i="46"/>
  <c r="F12" i="44"/>
  <c r="AN13" i="43"/>
  <c r="AN9" i="43"/>
  <c r="H12" i="44" s="1"/>
  <c r="F16" i="44"/>
  <c r="AN9" i="41"/>
  <c r="F10" i="42"/>
  <c r="F16" i="42"/>
  <c r="AN13" i="41"/>
  <c r="F12" i="42"/>
  <c r="AK13" i="39"/>
  <c r="AM9" i="39"/>
  <c r="H10" i="40" s="1"/>
  <c r="AK9" i="39"/>
  <c r="AM13" i="39"/>
  <c r="AI6" i="37"/>
  <c r="AJ5" i="37"/>
  <c r="AJ6" i="37" s="1"/>
  <c r="AI6" i="35"/>
  <c r="AJ5" i="35"/>
  <c r="AJ6" i="35" s="1"/>
  <c r="AH5" i="33"/>
  <c r="AG6" i="33"/>
  <c r="W5" i="14"/>
  <c r="V6" i="14"/>
  <c r="K10" i="50" l="1"/>
  <c r="K10" i="48"/>
  <c r="M10" i="48" s="1"/>
  <c r="Q10" i="48" s="1"/>
  <c r="S10" i="48" s="1"/>
  <c r="K11" i="54"/>
  <c r="M11" i="54" s="1"/>
  <c r="Q11" i="54" s="1"/>
  <c r="S11" i="54" s="1"/>
  <c r="K15" i="54"/>
  <c r="M15" i="54" s="1"/>
  <c r="U2" i="44"/>
  <c r="G18" i="50"/>
  <c r="K15" i="50"/>
  <c r="M15" i="50" s="1"/>
  <c r="K16" i="54"/>
  <c r="M16" i="54" s="1"/>
  <c r="Q16" i="54" s="1"/>
  <c r="S16" i="54" s="1"/>
  <c r="I13" i="54"/>
  <c r="J21" i="44"/>
  <c r="H12" i="40"/>
  <c r="K10" i="54"/>
  <c r="I18" i="54"/>
  <c r="G13" i="54"/>
  <c r="G18" i="54"/>
  <c r="G18" i="52"/>
  <c r="L21" i="46"/>
  <c r="J21" i="46"/>
  <c r="L22" i="46"/>
  <c r="J22" i="46"/>
  <c r="L22" i="44"/>
  <c r="J22" i="44"/>
  <c r="L22" i="42"/>
  <c r="J22" i="42"/>
  <c r="L21" i="42"/>
  <c r="J21" i="42"/>
  <c r="F22" i="40"/>
  <c r="AN28" i="39"/>
  <c r="AN26" i="39"/>
  <c r="F21" i="40"/>
  <c r="AK26" i="37"/>
  <c r="AM28" i="37"/>
  <c r="H22" i="38" s="1"/>
  <c r="AK28" i="37"/>
  <c r="AM16" i="37"/>
  <c r="AK16" i="37"/>
  <c r="AM26" i="37"/>
  <c r="H21" i="38" s="1"/>
  <c r="I13" i="50"/>
  <c r="I18" i="50"/>
  <c r="K11" i="50"/>
  <c r="M11" i="50" s="1"/>
  <c r="Q11" i="50" s="1"/>
  <c r="S11" i="50" s="1"/>
  <c r="G13" i="50"/>
  <c r="K16" i="48"/>
  <c r="M16" i="48" s="1"/>
  <c r="Q16" i="48" s="1"/>
  <c r="S16" i="48" s="1"/>
  <c r="AK26" i="35"/>
  <c r="AM16" i="35"/>
  <c r="AM26" i="35"/>
  <c r="H21" i="36" s="1"/>
  <c r="AK16" i="35"/>
  <c r="AM28" i="35"/>
  <c r="H22" i="36" s="1"/>
  <c r="AK28" i="35"/>
  <c r="K10" i="52"/>
  <c r="M10" i="52" s="1"/>
  <c r="K11" i="48"/>
  <c r="M11" i="48" s="1"/>
  <c r="Q11" i="48" s="1"/>
  <c r="S11" i="48" s="1"/>
  <c r="G18" i="48"/>
  <c r="G13" i="48"/>
  <c r="I18" i="48"/>
  <c r="I13" i="48"/>
  <c r="G13" i="52"/>
  <c r="K15" i="52"/>
  <c r="M15" i="52" s="1"/>
  <c r="I13" i="52"/>
  <c r="I18" i="52"/>
  <c r="K16" i="52"/>
  <c r="M16" i="52" s="1"/>
  <c r="Q16" i="52" s="1"/>
  <c r="S16" i="52" s="1"/>
  <c r="U2" i="46"/>
  <c r="U2" i="42"/>
  <c r="H16" i="40"/>
  <c r="M10" i="50"/>
  <c r="M15" i="48"/>
  <c r="L10" i="46"/>
  <c r="J10" i="46"/>
  <c r="J16" i="46"/>
  <c r="L16" i="46"/>
  <c r="L12" i="46"/>
  <c r="J12" i="46"/>
  <c r="L10" i="44"/>
  <c r="J10" i="44"/>
  <c r="L12" i="44"/>
  <c r="J12" i="44"/>
  <c r="J16" i="44"/>
  <c r="L16" i="44"/>
  <c r="L12" i="42"/>
  <c r="J12" i="42"/>
  <c r="J16" i="42"/>
  <c r="L16" i="42"/>
  <c r="L10" i="42"/>
  <c r="J10" i="42"/>
  <c r="F16" i="40"/>
  <c r="F12" i="40"/>
  <c r="AN13" i="39"/>
  <c r="AN9" i="39"/>
  <c r="F10" i="40"/>
  <c r="AK9" i="37"/>
  <c r="AM13" i="37"/>
  <c r="H12" i="38" s="1"/>
  <c r="AM9" i="37"/>
  <c r="H10" i="38" s="1"/>
  <c r="AK13" i="37"/>
  <c r="AK9" i="35"/>
  <c r="AK13" i="35"/>
  <c r="AM13" i="35"/>
  <c r="AM9" i="35"/>
  <c r="H10" i="36" s="1"/>
  <c r="AH6" i="33"/>
  <c r="AI5" i="33"/>
  <c r="X5" i="14"/>
  <c r="W6" i="14"/>
  <c r="G17" i="46" l="1"/>
  <c r="I17" i="46"/>
  <c r="G18" i="46"/>
  <c r="I18" i="46"/>
  <c r="G19" i="46"/>
  <c r="I19" i="46"/>
  <c r="G20" i="46"/>
  <c r="I20" i="46"/>
  <c r="I12" i="46"/>
  <c r="G11" i="46"/>
  <c r="I11" i="46"/>
  <c r="G17" i="44"/>
  <c r="G18" i="44"/>
  <c r="I17" i="44"/>
  <c r="I18" i="44"/>
  <c r="G20" i="44"/>
  <c r="G19" i="44"/>
  <c r="I20" i="44"/>
  <c r="I19" i="44"/>
  <c r="G10" i="44"/>
  <c r="G11" i="44"/>
  <c r="I11" i="44"/>
  <c r="G17" i="42"/>
  <c r="G18" i="42"/>
  <c r="I17" i="42"/>
  <c r="I18" i="42"/>
  <c r="G19" i="42"/>
  <c r="I19" i="42"/>
  <c r="G20" i="42"/>
  <c r="I20" i="42"/>
  <c r="G11" i="42"/>
  <c r="I11" i="42"/>
  <c r="AN16" i="37"/>
  <c r="K13" i="50"/>
  <c r="K13" i="54"/>
  <c r="K18" i="50"/>
  <c r="K18" i="54"/>
  <c r="AN16" i="35"/>
  <c r="M10" i="54"/>
  <c r="M13" i="54" s="1"/>
  <c r="K13" i="52"/>
  <c r="G10" i="42"/>
  <c r="L21" i="40"/>
  <c r="J21" i="40"/>
  <c r="L22" i="40"/>
  <c r="J22" i="40"/>
  <c r="F22" i="38"/>
  <c r="AN28" i="37"/>
  <c r="F21" i="38"/>
  <c r="AN26" i="37"/>
  <c r="K18" i="48"/>
  <c r="K13" i="48"/>
  <c r="F22" i="36"/>
  <c r="AN28" i="35"/>
  <c r="AN26" i="35"/>
  <c r="F21" i="36"/>
  <c r="I10" i="42"/>
  <c r="G16" i="42"/>
  <c r="G12" i="42"/>
  <c r="I16" i="42"/>
  <c r="I21" i="42"/>
  <c r="K18" i="52"/>
  <c r="I12" i="42"/>
  <c r="I22" i="42"/>
  <c r="I16" i="46"/>
  <c r="G12" i="46"/>
  <c r="K12" i="46" s="1"/>
  <c r="M12" i="46" s="1"/>
  <c r="Q12" i="46" s="1"/>
  <c r="S12" i="46" s="1"/>
  <c r="I22" i="46"/>
  <c r="G21" i="46"/>
  <c r="G22" i="46"/>
  <c r="G16" i="46"/>
  <c r="G10" i="46"/>
  <c r="I21" i="46"/>
  <c r="I10" i="46"/>
  <c r="G22" i="44"/>
  <c r="I22" i="44"/>
  <c r="I21" i="44"/>
  <c r="G21" i="44"/>
  <c r="I10" i="44"/>
  <c r="I16" i="44"/>
  <c r="I12" i="44"/>
  <c r="G16" i="44"/>
  <c r="G12" i="44"/>
  <c r="G21" i="42"/>
  <c r="G22" i="42"/>
  <c r="U2" i="40"/>
  <c r="H16" i="38"/>
  <c r="H16" i="36"/>
  <c r="L14" i="44"/>
  <c r="Q15" i="54"/>
  <c r="M18" i="54"/>
  <c r="Q15" i="52"/>
  <c r="M18" i="52"/>
  <c r="Q10" i="52"/>
  <c r="M13" i="52"/>
  <c r="Q10" i="50"/>
  <c r="M13" i="50"/>
  <c r="Q15" i="50"/>
  <c r="M18" i="50"/>
  <c r="Q15" i="48"/>
  <c r="M18" i="48"/>
  <c r="M13" i="48"/>
  <c r="L14" i="46"/>
  <c r="L24" i="46"/>
  <c r="L24" i="44"/>
  <c r="L14" i="42"/>
  <c r="L24" i="42"/>
  <c r="L10" i="40"/>
  <c r="J10" i="40"/>
  <c r="J16" i="40"/>
  <c r="L16" i="40"/>
  <c r="L12" i="40"/>
  <c r="J12" i="40"/>
  <c r="F16" i="38"/>
  <c r="F12" i="38"/>
  <c r="AN13" i="37"/>
  <c r="AN9" i="37"/>
  <c r="F10" i="38"/>
  <c r="AN13" i="35"/>
  <c r="F16" i="36"/>
  <c r="AN9" i="35"/>
  <c r="F10" i="36"/>
  <c r="AI6" i="33"/>
  <c r="AJ5" i="33"/>
  <c r="AJ6" i="33" s="1"/>
  <c r="Y5" i="14"/>
  <c r="X6" i="14"/>
  <c r="K10" i="44" l="1"/>
  <c r="K18" i="46"/>
  <c r="M18" i="46" s="1"/>
  <c r="Q18" i="46" s="1"/>
  <c r="S18" i="46" s="1"/>
  <c r="K11" i="46"/>
  <c r="M11" i="46" s="1"/>
  <c r="Q11" i="46" s="1"/>
  <c r="S11" i="46" s="1"/>
  <c r="K17" i="46"/>
  <c r="M17" i="46" s="1"/>
  <c r="Q17" i="46" s="1"/>
  <c r="S17" i="46" s="1"/>
  <c r="K19" i="46"/>
  <c r="M19" i="46" s="1"/>
  <c r="Q19" i="46" s="1"/>
  <c r="S19" i="46" s="1"/>
  <c r="K20" i="46"/>
  <c r="M20" i="46" s="1"/>
  <c r="Q20" i="46" s="1"/>
  <c r="S20" i="46" s="1"/>
  <c r="K18" i="44"/>
  <c r="M18" i="44" s="1"/>
  <c r="Q18" i="44" s="1"/>
  <c r="S18" i="44" s="1"/>
  <c r="K17" i="44"/>
  <c r="M17" i="44" s="1"/>
  <c r="Q17" i="44" s="1"/>
  <c r="S17" i="44" s="1"/>
  <c r="K11" i="44"/>
  <c r="M11" i="44" s="1"/>
  <c r="Q11" i="44" s="1"/>
  <c r="S11" i="44" s="1"/>
  <c r="K19" i="44"/>
  <c r="M19" i="44" s="1"/>
  <c r="Q19" i="44" s="1"/>
  <c r="S19" i="44" s="1"/>
  <c r="K20" i="44"/>
  <c r="M20" i="44" s="1"/>
  <c r="Q20" i="44" s="1"/>
  <c r="S20" i="44" s="1"/>
  <c r="K18" i="42"/>
  <c r="M18" i="42" s="1"/>
  <c r="Q18" i="42" s="1"/>
  <c r="S18" i="42" s="1"/>
  <c r="K19" i="42"/>
  <c r="M19" i="42" s="1"/>
  <c r="Q19" i="42" s="1"/>
  <c r="S19" i="42" s="1"/>
  <c r="K17" i="42"/>
  <c r="M17" i="42" s="1"/>
  <c r="Q17" i="42" s="1"/>
  <c r="S17" i="42" s="1"/>
  <c r="K20" i="42"/>
  <c r="M20" i="42" s="1"/>
  <c r="Q20" i="42" s="1"/>
  <c r="S20" i="42" s="1"/>
  <c r="K11" i="42"/>
  <c r="M11" i="42" s="1"/>
  <c r="Q11" i="42" s="1"/>
  <c r="S11" i="42" s="1"/>
  <c r="G18" i="40"/>
  <c r="G17" i="40"/>
  <c r="I18" i="40"/>
  <c r="I17" i="40"/>
  <c r="G20" i="40"/>
  <c r="G19" i="40"/>
  <c r="I20" i="40"/>
  <c r="I19" i="40"/>
  <c r="G11" i="40"/>
  <c r="I11" i="40"/>
  <c r="U2" i="36"/>
  <c r="G17" i="36" s="1"/>
  <c r="Q10" i="54"/>
  <c r="Q13" i="54" s="1"/>
  <c r="K16" i="46"/>
  <c r="M16" i="46" s="1"/>
  <c r="G14" i="42"/>
  <c r="K10" i="46"/>
  <c r="M10" i="46" s="1"/>
  <c r="M14" i="46" s="1"/>
  <c r="K16" i="42"/>
  <c r="M16" i="42" s="1"/>
  <c r="K10" i="42"/>
  <c r="M10" i="42" s="1"/>
  <c r="I14" i="42"/>
  <c r="L22" i="38"/>
  <c r="J22" i="38"/>
  <c r="L21" i="38"/>
  <c r="J21" i="38"/>
  <c r="L21" i="36"/>
  <c r="J21" i="36"/>
  <c r="L22" i="36"/>
  <c r="J22" i="36"/>
  <c r="AM16" i="33"/>
  <c r="H16" i="34" s="1"/>
  <c r="AK14" i="33"/>
  <c r="AM14" i="33"/>
  <c r="AK16" i="33"/>
  <c r="K21" i="42"/>
  <c r="M21" i="42" s="1"/>
  <c r="Q21" i="42" s="1"/>
  <c r="S21" i="42" s="1"/>
  <c r="K12" i="42"/>
  <c r="M12" i="42" s="1"/>
  <c r="Q12" i="42" s="1"/>
  <c r="S12" i="42" s="1"/>
  <c r="K22" i="42"/>
  <c r="M22" i="42" s="1"/>
  <c r="Q22" i="42" s="1"/>
  <c r="S22" i="42" s="1"/>
  <c r="K16" i="44"/>
  <c r="M16" i="44" s="1"/>
  <c r="K22" i="46"/>
  <c r="M22" i="46" s="1"/>
  <c r="Q22" i="46" s="1"/>
  <c r="S22" i="46" s="1"/>
  <c r="K21" i="46"/>
  <c r="M21" i="46" s="1"/>
  <c r="Q21" i="46" s="1"/>
  <c r="S21" i="46" s="1"/>
  <c r="G14" i="46"/>
  <c r="G24" i="46"/>
  <c r="I24" i="46"/>
  <c r="I14" i="46"/>
  <c r="K21" i="44"/>
  <c r="M21" i="44" s="1"/>
  <c r="Q21" i="44" s="1"/>
  <c r="S21" i="44" s="1"/>
  <c r="K12" i="44"/>
  <c r="M12" i="44" s="1"/>
  <c r="Q12" i="44" s="1"/>
  <c r="S12" i="44" s="1"/>
  <c r="I24" i="44"/>
  <c r="K22" i="44"/>
  <c r="M22" i="44" s="1"/>
  <c r="Q22" i="44" s="1"/>
  <c r="S22" i="44" s="1"/>
  <c r="G24" i="44"/>
  <c r="I14" i="44"/>
  <c r="G14" i="44"/>
  <c r="I24" i="42"/>
  <c r="G24" i="42"/>
  <c r="G22" i="40"/>
  <c r="I22" i="40"/>
  <c r="G21" i="40"/>
  <c r="I21" i="40"/>
  <c r="I10" i="40"/>
  <c r="I12" i="40"/>
  <c r="I16" i="40"/>
  <c r="G16" i="40"/>
  <c r="G10" i="40"/>
  <c r="G12" i="40"/>
  <c r="U2" i="38"/>
  <c r="Q18" i="54"/>
  <c r="S15" i="54"/>
  <c r="S18" i="54" s="1"/>
  <c r="Q13" i="52"/>
  <c r="S10" i="52"/>
  <c r="S13" i="52" s="1"/>
  <c r="Q18" i="52"/>
  <c r="S15" i="52"/>
  <c r="S18" i="52" s="1"/>
  <c r="Q18" i="50"/>
  <c r="S15" i="50"/>
  <c r="S18" i="50" s="1"/>
  <c r="Q13" i="50"/>
  <c r="S10" i="50"/>
  <c r="S13" i="50" s="1"/>
  <c r="Q13" i="48"/>
  <c r="S13" i="48"/>
  <c r="Q18" i="48"/>
  <c r="S15" i="48"/>
  <c r="S18" i="48" s="1"/>
  <c r="M10" i="44"/>
  <c r="L24" i="40"/>
  <c r="L14" i="40"/>
  <c r="L12" i="38"/>
  <c r="J12" i="38"/>
  <c r="L10" i="38"/>
  <c r="J10" i="38"/>
  <c r="J16" i="38"/>
  <c r="L16" i="38"/>
  <c r="L10" i="36"/>
  <c r="J10" i="36"/>
  <c r="J16" i="36"/>
  <c r="L16" i="36"/>
  <c r="AM11" i="33"/>
  <c r="AK11" i="33"/>
  <c r="AM9" i="33"/>
  <c r="H10" i="34" s="1"/>
  <c r="AK9" i="33"/>
  <c r="Z5" i="14"/>
  <c r="Y6" i="14"/>
  <c r="K17" i="40" l="1"/>
  <c r="M17" i="40" s="1"/>
  <c r="Q17" i="40" s="1"/>
  <c r="S17" i="40" s="1"/>
  <c r="K18" i="40"/>
  <c r="M18" i="40" s="1"/>
  <c r="Q18" i="40" s="1"/>
  <c r="S18" i="40" s="1"/>
  <c r="K19" i="40"/>
  <c r="M19" i="40" s="1"/>
  <c r="Q19" i="40" s="1"/>
  <c r="S19" i="40" s="1"/>
  <c r="K20" i="40"/>
  <c r="M20" i="40" s="1"/>
  <c r="Q20" i="40" s="1"/>
  <c r="S20" i="40" s="1"/>
  <c r="K11" i="40"/>
  <c r="M11" i="40" s="1"/>
  <c r="Q11" i="40" s="1"/>
  <c r="S11" i="40" s="1"/>
  <c r="G17" i="38"/>
  <c r="G18" i="38"/>
  <c r="I17" i="38"/>
  <c r="I18" i="38"/>
  <c r="G19" i="38"/>
  <c r="G20" i="38"/>
  <c r="I20" i="38"/>
  <c r="I19" i="38"/>
  <c r="G11" i="38"/>
  <c r="I11" i="38"/>
  <c r="I19" i="36"/>
  <c r="I20" i="36"/>
  <c r="I17" i="36"/>
  <c r="K17" i="36" s="1"/>
  <c r="M17" i="36" s="1"/>
  <c r="Q17" i="36" s="1"/>
  <c r="S17" i="36" s="1"/>
  <c r="I18" i="36"/>
  <c r="G20" i="36"/>
  <c r="G18" i="36"/>
  <c r="G10" i="36"/>
  <c r="G19" i="36"/>
  <c r="G11" i="36"/>
  <c r="G12" i="36"/>
  <c r="I11" i="36"/>
  <c r="I12" i="36"/>
  <c r="K14" i="46"/>
  <c r="AN14" i="33"/>
  <c r="S10" i="54"/>
  <c r="S13" i="54" s="1"/>
  <c r="K14" i="42"/>
  <c r="H11" i="34"/>
  <c r="AN16" i="33"/>
  <c r="F16" i="34"/>
  <c r="K24" i="46"/>
  <c r="K24" i="44"/>
  <c r="K14" i="44"/>
  <c r="M14" i="44"/>
  <c r="K24" i="42"/>
  <c r="K22" i="40"/>
  <c r="M22" i="40" s="1"/>
  <c r="Q22" i="40" s="1"/>
  <c r="S22" i="40" s="1"/>
  <c r="K16" i="40"/>
  <c r="M16" i="40" s="1"/>
  <c r="G14" i="40"/>
  <c r="G24" i="40"/>
  <c r="K10" i="40"/>
  <c r="M10" i="40" s="1"/>
  <c r="I24" i="40"/>
  <c r="I14" i="40"/>
  <c r="K12" i="40"/>
  <c r="M12" i="40" s="1"/>
  <c r="Q12" i="40" s="1"/>
  <c r="S12" i="40" s="1"/>
  <c r="K21" i="40"/>
  <c r="M21" i="40" s="1"/>
  <c r="Q21" i="40" s="1"/>
  <c r="S21" i="40" s="1"/>
  <c r="G12" i="38"/>
  <c r="G10" i="38"/>
  <c r="G16" i="38"/>
  <c r="I22" i="38"/>
  <c r="G22" i="38"/>
  <c r="I21" i="38"/>
  <c r="G21" i="38"/>
  <c r="I12" i="38"/>
  <c r="I10" i="38"/>
  <c r="I16" i="38"/>
  <c r="G22" i="36"/>
  <c r="I21" i="36"/>
  <c r="I22" i="36"/>
  <c r="G21" i="36"/>
  <c r="I10" i="36"/>
  <c r="I16" i="36"/>
  <c r="G16" i="36"/>
  <c r="H15" i="34"/>
  <c r="AN11" i="33"/>
  <c r="F11" i="34"/>
  <c r="Q10" i="46"/>
  <c r="Q14" i="46" s="1"/>
  <c r="Q16" i="46"/>
  <c r="M24" i="46"/>
  <c r="Q16" i="44"/>
  <c r="M24" i="44"/>
  <c r="Q10" i="44"/>
  <c r="Q14" i="44" s="1"/>
  <c r="Q16" i="42"/>
  <c r="M24" i="42"/>
  <c r="Q10" i="42"/>
  <c r="M14" i="42"/>
  <c r="L24" i="38"/>
  <c r="L14" i="38"/>
  <c r="L24" i="36"/>
  <c r="L14" i="36"/>
  <c r="F15" i="34"/>
  <c r="F10" i="34"/>
  <c r="AN9" i="33"/>
  <c r="AA5" i="14"/>
  <c r="Z6" i="14"/>
  <c r="K18" i="36" l="1"/>
  <c r="M18" i="36" s="1"/>
  <c r="Q18" i="36" s="1"/>
  <c r="S18" i="36" s="1"/>
  <c r="K20" i="36"/>
  <c r="M20" i="36" s="1"/>
  <c r="Q20" i="36" s="1"/>
  <c r="S20" i="36" s="1"/>
  <c r="K19" i="36"/>
  <c r="M19" i="36" s="1"/>
  <c r="Q19" i="36" s="1"/>
  <c r="S19" i="36" s="1"/>
  <c r="K18" i="38"/>
  <c r="M18" i="38" s="1"/>
  <c r="Q18" i="38" s="1"/>
  <c r="S18" i="38" s="1"/>
  <c r="K20" i="38"/>
  <c r="M20" i="38" s="1"/>
  <c r="Q20" i="38" s="1"/>
  <c r="S20" i="38" s="1"/>
  <c r="K17" i="38"/>
  <c r="M17" i="38" s="1"/>
  <c r="Q17" i="38" s="1"/>
  <c r="S17" i="38" s="1"/>
  <c r="K19" i="38"/>
  <c r="M19" i="38" s="1"/>
  <c r="Q19" i="38" s="1"/>
  <c r="S19" i="38" s="1"/>
  <c r="K11" i="38"/>
  <c r="M11" i="38" s="1"/>
  <c r="Q11" i="38" s="1"/>
  <c r="S11" i="38" s="1"/>
  <c r="K12" i="36"/>
  <c r="M12" i="36" s="1"/>
  <c r="Q12" i="36" s="1"/>
  <c r="S12" i="36" s="1"/>
  <c r="K11" i="36"/>
  <c r="M11" i="36" s="1"/>
  <c r="Q11" i="36" s="1"/>
  <c r="S11" i="36" s="1"/>
  <c r="K21" i="36"/>
  <c r="M21" i="36" s="1"/>
  <c r="Q21" i="36" s="1"/>
  <c r="S21" i="36" s="1"/>
  <c r="L16" i="34"/>
  <c r="J16" i="34"/>
  <c r="K10" i="36"/>
  <c r="M10" i="36" s="1"/>
  <c r="K12" i="38"/>
  <c r="M12" i="38" s="1"/>
  <c r="Q12" i="38" s="1"/>
  <c r="S12" i="38" s="1"/>
  <c r="G14" i="38"/>
  <c r="K14" i="40"/>
  <c r="K24" i="40"/>
  <c r="K10" i="38"/>
  <c r="M10" i="38" s="1"/>
  <c r="K16" i="38"/>
  <c r="M16" i="38" s="1"/>
  <c r="I24" i="38"/>
  <c r="G24" i="38"/>
  <c r="I14" i="38"/>
  <c r="K22" i="38"/>
  <c r="M22" i="38" s="1"/>
  <c r="Q22" i="38" s="1"/>
  <c r="S22" i="38" s="1"/>
  <c r="K21" i="38"/>
  <c r="M21" i="38" s="1"/>
  <c r="Q21" i="38" s="1"/>
  <c r="S21" i="38" s="1"/>
  <c r="G14" i="36"/>
  <c r="K16" i="36"/>
  <c r="M16" i="36" s="1"/>
  <c r="I14" i="36"/>
  <c r="G24" i="36"/>
  <c r="K22" i="36"/>
  <c r="M22" i="36" s="1"/>
  <c r="Q22" i="36" s="1"/>
  <c r="S22" i="36" s="1"/>
  <c r="I24" i="36"/>
  <c r="U2" i="34"/>
  <c r="I10" i="34" s="1"/>
  <c r="L11" i="34"/>
  <c r="J11" i="34"/>
  <c r="Q24" i="46"/>
  <c r="S16" i="46"/>
  <c r="S24" i="46" s="1"/>
  <c r="S10" i="46"/>
  <c r="S14" i="46" s="1"/>
  <c r="S10" i="44"/>
  <c r="S14" i="44" s="1"/>
  <c r="Q24" i="44"/>
  <c r="S16" i="44"/>
  <c r="S24" i="44" s="1"/>
  <c r="Q14" i="42"/>
  <c r="S10" i="42"/>
  <c r="S14" i="42" s="1"/>
  <c r="Q24" i="42"/>
  <c r="S16" i="42"/>
  <c r="S24" i="42" s="1"/>
  <c r="Q16" i="40"/>
  <c r="M24" i="40"/>
  <c r="Q10" i="40"/>
  <c r="M14" i="40"/>
  <c r="L15" i="34"/>
  <c r="J15" i="34"/>
  <c r="J10" i="34"/>
  <c r="L10" i="34"/>
  <c r="AB5" i="14"/>
  <c r="AA6" i="14"/>
  <c r="K14" i="38" l="1"/>
  <c r="G11" i="34"/>
  <c r="I15" i="34"/>
  <c r="G10" i="34"/>
  <c r="K10" i="34" s="1"/>
  <c r="G15" i="34"/>
  <c r="I16" i="34"/>
  <c r="K24" i="38"/>
  <c r="K24" i="36"/>
  <c r="K14" i="36"/>
  <c r="G16" i="34"/>
  <c r="I11" i="34"/>
  <c r="L13" i="34"/>
  <c r="L18" i="34"/>
  <c r="Q14" i="40"/>
  <c r="S10" i="40"/>
  <c r="S14" i="40" s="1"/>
  <c r="Q24" i="40"/>
  <c r="S16" i="40"/>
  <c r="S24" i="40" s="1"/>
  <c r="Q16" i="38"/>
  <c r="M24" i="38"/>
  <c r="Q10" i="38"/>
  <c r="M14" i="38"/>
  <c r="Q16" i="36"/>
  <c r="M24" i="36"/>
  <c r="Q10" i="36"/>
  <c r="M14" i="36"/>
  <c r="AB6" i="14"/>
  <c r="AC5" i="14"/>
  <c r="K16" i="34" l="1"/>
  <c r="M16" i="34" s="1"/>
  <c r="Q16" i="34" s="1"/>
  <c r="S16" i="34" s="1"/>
  <c r="K11" i="34"/>
  <c r="M11" i="34" s="1"/>
  <c r="Q11" i="34" s="1"/>
  <c r="S11" i="34" s="1"/>
  <c r="G13" i="34"/>
  <c r="K15" i="34"/>
  <c r="M15" i="34" s="1"/>
  <c r="G18" i="34"/>
  <c r="I18" i="34"/>
  <c r="I13" i="34"/>
  <c r="Q14" i="38"/>
  <c r="S10" i="38"/>
  <c r="S14" i="38" s="1"/>
  <c r="Q24" i="38"/>
  <c r="S16" i="38"/>
  <c r="S24" i="38" s="1"/>
  <c r="Q14" i="36"/>
  <c r="S10" i="36"/>
  <c r="S14" i="36" s="1"/>
  <c r="Q24" i="36"/>
  <c r="S16" i="36"/>
  <c r="S24" i="36" s="1"/>
  <c r="M10" i="34"/>
  <c r="AC6" i="14"/>
  <c r="AD5" i="14"/>
  <c r="K13" i="34" l="1"/>
  <c r="M13" i="34"/>
  <c r="M18" i="34"/>
  <c r="K18" i="34"/>
  <c r="Q15" i="34"/>
  <c r="S15" i="34" s="1"/>
  <c r="S18" i="34" s="1"/>
  <c r="Q10" i="34"/>
  <c r="Q13" i="34" s="1"/>
  <c r="AD6" i="14"/>
  <c r="AE5" i="14"/>
  <c r="Q18" i="34" l="1"/>
  <c r="S10" i="34"/>
  <c r="S13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6" i="14" l="1"/>
  <c r="AM16" i="14"/>
  <c r="H16" i="16" s="1"/>
  <c r="AM14" i="14"/>
  <c r="AK14" i="14"/>
  <c r="AK11" i="14"/>
  <c r="AM11" i="14"/>
  <c r="AK9" i="14"/>
  <c r="F10" i="16" s="1"/>
  <c r="AM9" i="14"/>
  <c r="H10" i="16" s="1"/>
  <c r="AN14" i="14" l="1"/>
  <c r="H11" i="16"/>
  <c r="F11" i="16"/>
  <c r="AN16" i="14"/>
  <c r="F16" i="16"/>
  <c r="H15" i="16"/>
  <c r="F15" i="16"/>
  <c r="L15" i="16" s="1"/>
  <c r="L10" i="16"/>
  <c r="J10" i="16"/>
  <c r="AN11" i="14"/>
  <c r="AN9" i="14"/>
  <c r="J11" i="16" l="1"/>
  <c r="L11" i="16"/>
  <c r="L13" i="16" s="1"/>
  <c r="L16" i="16"/>
  <c r="J16" i="16"/>
  <c r="J15" i="16"/>
  <c r="U2" i="16"/>
  <c r="L18" i="16" l="1"/>
  <c r="G11" i="16"/>
  <c r="G16" i="16"/>
  <c r="I16" i="16"/>
  <c r="I10" i="16"/>
  <c r="G10" i="16"/>
  <c r="I11" i="16"/>
  <c r="I15" i="16"/>
  <c r="G15" i="16"/>
  <c r="I18" i="16" l="1"/>
  <c r="G13" i="16"/>
  <c r="K10" i="16"/>
  <c r="I13" i="16"/>
  <c r="K11" i="16"/>
  <c r="M11" i="16" s="1"/>
  <c r="Q11" i="16" s="1"/>
  <c r="S11" i="16" s="1"/>
  <c r="K15" i="16"/>
  <c r="G18" i="16"/>
  <c r="K16" i="16"/>
  <c r="M16" i="16" s="1"/>
  <c r="Q16" i="16" s="1"/>
  <c r="S16" i="16" s="1"/>
  <c r="M10" i="16" l="1"/>
  <c r="K13" i="16"/>
  <c r="M15" i="16"/>
  <c r="K18" i="16"/>
  <c r="M18" i="16" l="1"/>
  <c r="Q15" i="16"/>
  <c r="M13" i="16"/>
  <c r="Q10" i="16"/>
  <c r="S10" i="16" l="1"/>
  <c r="S13" i="16" s="1"/>
  <c r="Q13" i="16"/>
  <c r="Q18" i="16"/>
  <c r="S15" i="16"/>
  <c r="S18" i="16" s="1"/>
</calcChain>
</file>

<file path=xl/sharedStrings.xml><?xml version="1.0" encoding="utf-8"?>
<sst xmlns="http://schemas.openxmlformats.org/spreadsheetml/2006/main" count="1312" uniqueCount="199">
  <si>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</si>
  <si>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</si>
  <si>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</si>
  <si>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</si>
  <si>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</si>
  <si>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</si>
  <si>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</si>
  <si>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</si>
  <si>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</si>
  <si>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</si>
  <si>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</si>
  <si>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</si>
  <si>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</si>
  <si>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</si>
  <si>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</si>
  <si>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</si>
  <si>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</si>
  <si>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</si>
  <si>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</si>
  <si>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</si>
  <si>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</si>
  <si>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</si>
  <si>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</si>
  <si>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</si>
  <si>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</si>
  <si>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</si>
  <si>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</si>
  <si>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</si>
  <si>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</si>
  <si>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</si>
  <si>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</si>
  <si>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</si>
  <si>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</si>
  <si>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</si>
  <si>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</si>
  <si>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</si>
  <si>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</si>
  <si>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</si>
  <si>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</si>
  <si>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</si>
  <si>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</si>
  <si>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</si>
  <si>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</si>
  <si>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</si>
  <si>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</si>
  <si>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</si>
  <si>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</si>
  <si>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</si>
  <si>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</si>
  <si>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</si>
  <si>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</si>
  <si>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</si>
  <si>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</si>
  <si>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</si>
  <si>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</si>
  <si>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</si>
  <si>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</si>
  <si>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</si>
  <si>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</si>
  <si>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</si>
  <si>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</si>
  <si>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</si>
  <si>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</si>
  <si>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</si>
  <si>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</si>
  <si>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</si>
  <si>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</si>
  <si>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</si>
  <si>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</si>
  <si>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</si>
  <si>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</si>
  <si>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</si>
  <si>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</si>
  <si>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</si>
  <si>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</si>
  <si>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</si>
  <si>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</si>
  <si>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</si>
  <si>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</si>
  <si>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</si>
  <si>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</si>
  <si>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</si>
  <si>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</si>
  <si>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</si>
  <si>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</si>
  <si>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</si>
  <si>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</si>
  <si>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</si>
  <si>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</si>
  <si>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</si>
  <si>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</si>
  <si>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</si>
  <si>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</si>
  <si>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</si>
  <si>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</si>
  <si>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</si>
  <si>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</si>
  <si>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</si>
  <si>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</si>
  <si>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</si>
  <si>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</si>
  <si>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</si>
  <si>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</si>
  <si>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</si>
  <si>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</si>
  <si>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</si>
  <si>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</si>
  <si>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</si>
  <si>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</si>
  <si>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</si>
  <si>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</si>
  <si>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</si>
  <si>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</si>
  <si>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</si>
  <si>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</si>
  <si>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</si>
  <si>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</si>
  <si>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</si>
  <si>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</si>
  <si>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</si>
  <si>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</si>
  <si>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</si>
  <si>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</si>
  <si>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</si>
  <si>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</si>
  <si>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</si>
  <si>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</si>
  <si>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</si>
  <si>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</si>
  <si>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</si>
  <si>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</si>
  <si>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</si>
  <si>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</si>
  <si>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</si>
  <si>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</si>
  <si>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</si>
  <si>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</si>
  <si>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</si>
  <si>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</si>
  <si>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</si>
  <si>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</si>
  <si>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</si>
  <si>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</si>
  <si>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</si>
  <si>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</si>
  <si>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</si>
  <si>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</si>
  <si>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</si>
  <si>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</si>
  <si>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</si>
  <si>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</si>
  <si>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</si>
  <si>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</si>
  <si>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</si>
  <si>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</si>
  <si>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</si>
  <si>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</si>
  <si>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</si>
  <si>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</si>
  <si>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BP: Công Nhân:</t>
  </si>
  <si>
    <t>QL02</t>
  </si>
  <si>
    <t>CN01</t>
  </si>
  <si>
    <t>CN02</t>
  </si>
  <si>
    <t>CN03</t>
  </si>
  <si>
    <t>Phan Văn Hiền</t>
  </si>
  <si>
    <t>Nguyễn Thị Thu Sương</t>
  </si>
  <si>
    <t>Quản Đốc</t>
  </si>
  <si>
    <t>Kinh Doanh</t>
  </si>
  <si>
    <t>Nguyễn Trường Giang</t>
  </si>
  <si>
    <t>Trần Hữu Tình</t>
  </si>
  <si>
    <t>Thợ in</t>
  </si>
  <si>
    <t>Đoàn Hồng Phong</t>
  </si>
  <si>
    <t>Thợ đóng - xả</t>
  </si>
  <si>
    <t>QL03</t>
  </si>
  <si>
    <t>BP: Quản lý :</t>
  </si>
  <si>
    <t>BP: Quản lý &amp; CN Trực Tiếp SX</t>
  </si>
  <si>
    <t>BP: Quản lý:</t>
  </si>
  <si>
    <t>QL04</t>
  </si>
  <si>
    <t>QL05</t>
  </si>
  <si>
    <t>Trần Anh Nhựt</t>
  </si>
  <si>
    <t>Huỳnh Minh Toàn</t>
  </si>
  <si>
    <t>Thiết Kế</t>
  </si>
  <si>
    <t>Thủ Kho</t>
  </si>
  <si>
    <t>CN04</t>
  </si>
  <si>
    <t>CN05</t>
  </si>
  <si>
    <t>CN06</t>
  </si>
  <si>
    <t>CN07</t>
  </si>
  <si>
    <t>CN08</t>
  </si>
  <si>
    <t>Võ Văn Kiệt</t>
  </si>
  <si>
    <t>Công Đoạn 1</t>
  </si>
  <si>
    <t>Diệp Văn Lân</t>
  </si>
  <si>
    <t>Dương Thế Kiệt</t>
  </si>
  <si>
    <t>CN09</t>
  </si>
  <si>
    <t>Lê Văn Hữu</t>
  </si>
  <si>
    <t>Công Đoạn 2</t>
  </si>
  <si>
    <t>Bùi Trường Giang</t>
  </si>
  <si>
    <t>Nguyễn T Bích Thủy</t>
  </si>
  <si>
    <t>1-6</t>
  </si>
  <si>
    <t>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</si>
</sst>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1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87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8" fillId="0" borderId="0" xfId="0" applyFont="1" applyFill="1" applyBorder="1" applyAlignment="1">
      <alignment horizontal="center" vertical="center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30" fillId="0" borderId="0" xfId="337" applyNumberFormat="1" applyFont="1" applyAlignment="1">
      <alignment vertical="center" wrapText="1"/>
    </xf>
    <xf numFmtId="169" fontId="100" fillId="0" borderId="0" xfId="0" applyNumberFormat="1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12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124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3"/>
  <sheetViews>
    <sheetView tabSelected="1" topLeftCell="A8" workbookViewId="0">
      <pane ySplit="3" topLeftCell="A11" activePane="bottomLeft" state="frozen"/>
      <selection activeCell="A8" sqref="A8"/>
      <selection pane="bottomLeft" activeCell="F12" sqref="F12:F14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6" customWidth="1"/>
    <col min="6" max="6" width="10.85546875" style="29" customWidth="1"/>
    <col min="7" max="8" width="9.7109375" style="29" hidden="1" customWidth="1"/>
    <col min="9" max="9" width="10.5703125" style="2" hidden="1" customWidth="1"/>
    <col min="10" max="22" width="10.5703125" style="2" customWidth="1"/>
    <col min="23" max="23" width="10.85546875" style="46" customWidth="1"/>
    <col min="24" max="24" width="13.28515625" style="46" customWidth="1"/>
    <col min="25" max="26" width="11.85546875" style="46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6"/>
      <c r="B4" s="106"/>
    </row>
    <row r="5" spans="1:26" ht="23.25" customHeight="1">
      <c r="A5" s="232" t="s">
        <v>35</v>
      </c>
      <c r="B5" s="232"/>
      <c r="C5" s="232"/>
      <c r="D5" s="232"/>
      <c r="E5" s="232"/>
      <c r="F5" s="232"/>
      <c r="G5" s="232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</row>
    <row r="6" spans="1:26" ht="23.25" customHeight="1">
      <c r="A6" s="233" t="str">
        <f>"Tháng "&amp;'CC -5'!C4&amp;" năm 2011"</f>
        <v>Tháng  năm 2011</v>
      </c>
      <c r="B6" s="233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  <c r="W6" s="233"/>
      <c r="X6" s="233"/>
    </row>
    <row r="7" spans="1:26" s="124" customFormat="1" ht="19.5" customHeight="1">
      <c r="A7" s="122"/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3"/>
      <c r="Z7" s="123"/>
    </row>
    <row r="8" spans="1:26" s="1" customFormat="1" ht="20.25" customHeight="1">
      <c r="A8" s="234" t="s">
        <v>19</v>
      </c>
      <c r="B8" s="234" t="s">
        <v>3</v>
      </c>
      <c r="C8" s="234" t="s">
        <v>1</v>
      </c>
      <c r="D8" s="234" t="s">
        <v>2</v>
      </c>
      <c r="E8" s="229" t="s">
        <v>56</v>
      </c>
      <c r="F8" s="229"/>
      <c r="G8" s="229" t="s">
        <v>36</v>
      </c>
      <c r="H8" s="229"/>
      <c r="I8" s="229" t="s">
        <v>24</v>
      </c>
      <c r="J8" s="229" t="s">
        <v>33</v>
      </c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30" t="s">
        <v>39</v>
      </c>
      <c r="W8" s="230" t="s">
        <v>23</v>
      </c>
      <c r="X8" s="230" t="s">
        <v>11</v>
      </c>
      <c r="Y8" s="104"/>
      <c r="Z8" s="104"/>
    </row>
    <row r="9" spans="1:26" s="1" customFormat="1" ht="20.25" customHeight="1">
      <c r="A9" s="234"/>
      <c r="B9" s="234"/>
      <c r="C9" s="234"/>
      <c r="D9" s="234"/>
      <c r="E9" s="169" t="s">
        <v>197</v>
      </c>
      <c r="F9" s="169" t="s">
        <v>198</v>
      </c>
      <c r="G9" s="168" t="s">
        <v>57</v>
      </c>
      <c r="H9" s="168" t="s">
        <v>38</v>
      </c>
      <c r="I9" s="229"/>
      <c r="J9" s="168" t="s">
        <v>105</v>
      </c>
      <c r="K9" s="168" t="s">
        <v>106</v>
      </c>
      <c r="L9" s="168" t="s">
        <v>107</v>
      </c>
      <c r="M9" s="168" t="s">
        <v>108</v>
      </c>
      <c r="N9" s="168" t="s">
        <v>109</v>
      </c>
      <c r="O9" s="168" t="s">
        <v>110</v>
      </c>
      <c r="P9" s="168" t="s">
        <v>111</v>
      </c>
      <c r="Q9" s="168" t="s">
        <v>112</v>
      </c>
      <c r="R9" s="168" t="s">
        <v>113</v>
      </c>
      <c r="S9" s="168" t="s">
        <v>114</v>
      </c>
      <c r="T9" s="168" t="s">
        <v>115</v>
      </c>
      <c r="U9" s="168" t="s">
        <v>116</v>
      </c>
      <c r="V9" s="231"/>
      <c r="W9" s="231"/>
      <c r="X9" s="231"/>
      <c r="Y9" s="104"/>
      <c r="Z9" s="104"/>
    </row>
    <row r="10" spans="1:26" ht="14.25" customHeight="1">
      <c r="A10" s="126">
        <v>1</v>
      </c>
      <c r="B10" s="126">
        <v>1</v>
      </c>
      <c r="C10" s="126">
        <v>2</v>
      </c>
      <c r="D10" s="126">
        <v>3</v>
      </c>
      <c r="E10" s="126">
        <v>4</v>
      </c>
      <c r="F10" s="126">
        <v>5</v>
      </c>
      <c r="G10" s="126">
        <v>6</v>
      </c>
      <c r="H10" s="126">
        <v>7</v>
      </c>
      <c r="I10" s="126">
        <v>8</v>
      </c>
      <c r="J10" s="126">
        <v>9</v>
      </c>
      <c r="K10" s="126">
        <v>10</v>
      </c>
      <c r="L10" s="126">
        <v>11</v>
      </c>
      <c r="M10" s="126">
        <v>12</v>
      </c>
      <c r="N10" s="126">
        <v>13</v>
      </c>
      <c r="O10" s="126">
        <v>14</v>
      </c>
      <c r="P10" s="126">
        <v>15</v>
      </c>
      <c r="Q10" s="126">
        <v>16</v>
      </c>
      <c r="R10" s="126">
        <v>17</v>
      </c>
      <c r="S10" s="126">
        <v>18</v>
      </c>
      <c r="T10" s="126">
        <v>19</v>
      </c>
      <c r="U10" s="126">
        <v>20</v>
      </c>
      <c r="V10" s="126">
        <v>21</v>
      </c>
      <c r="W10" s="126">
        <v>22</v>
      </c>
      <c r="X10" s="126">
        <v>23</v>
      </c>
    </row>
    <row r="11" spans="1:26" s="157" customFormat="1" ht="21.75" customHeight="1">
      <c r="A11" s="154">
        <f t="shared" ref="A11:A24" si="0">IF(B11&lt;&gt;"",ROW()-10,"")</f>
        <v>1</v>
      </c>
      <c r="B11" s="154" t="s">
        <v>160</v>
      </c>
      <c r="C11" s="158" t="s">
        <v>164</v>
      </c>
      <c r="D11" s="154" t="s">
        <v>166</v>
      </c>
      <c r="E11" s="187">
        <v>2700000</v>
      </c>
      <c r="F11" s="187">
        <v>5000000</v>
      </c>
      <c r="G11" s="149">
        <v>390000</v>
      </c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55"/>
      <c r="Z11" s="156"/>
    </row>
    <row r="12" spans="1:26" s="157" customFormat="1" ht="21.75" customHeight="1">
      <c r="A12" s="154">
        <f t="shared" si="0"/>
        <v>2</v>
      </c>
      <c r="B12" s="154" t="s">
        <v>173</v>
      </c>
      <c r="C12" s="158" t="s">
        <v>165</v>
      </c>
      <c r="D12" s="154" t="s">
        <v>167</v>
      </c>
      <c r="E12" s="187">
        <v>2400000</v>
      </c>
      <c r="F12" s="187">
        <v>4500000</v>
      </c>
      <c r="G12" s="149">
        <v>390000</v>
      </c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55"/>
      <c r="Z12" s="156"/>
    </row>
    <row r="13" spans="1:26" s="157" customFormat="1" ht="21.75" customHeight="1">
      <c r="A13" s="154">
        <f t="shared" ref="A13:A14" si="1">IF(B13&lt;&gt;"",ROW()-10,"")</f>
        <v>3</v>
      </c>
      <c r="B13" s="154" t="s">
        <v>177</v>
      </c>
      <c r="C13" s="158" t="s">
        <v>179</v>
      </c>
      <c r="D13" s="154" t="s">
        <v>181</v>
      </c>
      <c r="E13" s="187">
        <v>3500000</v>
      </c>
      <c r="F13" s="187">
        <v>4500000</v>
      </c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55"/>
      <c r="Z13" s="156"/>
    </row>
    <row r="14" spans="1:26" s="157" customFormat="1" ht="21.75" customHeight="1">
      <c r="A14" s="154">
        <f t="shared" si="1"/>
        <v>4</v>
      </c>
      <c r="B14" s="154" t="s">
        <v>178</v>
      </c>
      <c r="C14" s="158" t="s">
        <v>180</v>
      </c>
      <c r="D14" s="154" t="s">
        <v>182</v>
      </c>
      <c r="E14" s="187">
        <v>3000000</v>
      </c>
      <c r="F14" s="187">
        <v>5000000</v>
      </c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55"/>
      <c r="Z14" s="156"/>
    </row>
    <row r="15" spans="1:26" s="166" customFormat="1" ht="21.75" customHeight="1">
      <c r="A15" s="160">
        <f t="shared" si="0"/>
        <v>5</v>
      </c>
      <c r="B15" s="161" t="s">
        <v>161</v>
      </c>
      <c r="C15" s="162" t="s">
        <v>168</v>
      </c>
      <c r="D15" s="160" t="s">
        <v>170</v>
      </c>
      <c r="E15" s="163">
        <v>2200000</v>
      </c>
      <c r="F15" s="163">
        <v>4500000</v>
      </c>
      <c r="G15" s="163">
        <v>390000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4"/>
      <c r="Z15" s="165"/>
    </row>
    <row r="16" spans="1:26" s="166" customFormat="1" ht="21.75" customHeight="1">
      <c r="A16" s="160">
        <f t="shared" si="0"/>
        <v>6</v>
      </c>
      <c r="B16" s="161" t="s">
        <v>162</v>
      </c>
      <c r="C16" s="162" t="s">
        <v>171</v>
      </c>
      <c r="D16" s="160" t="s">
        <v>172</v>
      </c>
      <c r="E16" s="163">
        <v>2200000</v>
      </c>
      <c r="G16" s="163">
        <v>390000</v>
      </c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4"/>
      <c r="Z16" s="165"/>
    </row>
    <row r="17" spans="1:26" s="166" customFormat="1" ht="21.75" customHeight="1">
      <c r="A17" s="160">
        <f t="shared" si="0"/>
        <v>7</v>
      </c>
      <c r="B17" s="161" t="s">
        <v>163</v>
      </c>
      <c r="C17" s="162" t="s">
        <v>169</v>
      </c>
      <c r="D17" s="160" t="s">
        <v>88</v>
      </c>
      <c r="E17" s="163">
        <v>2000000</v>
      </c>
      <c r="F17" s="163">
        <v>3500000</v>
      </c>
      <c r="G17" s="163">
        <v>390000</v>
      </c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4"/>
      <c r="Z17" s="165"/>
    </row>
    <row r="18" spans="1:26" s="166" customFormat="1" ht="21.75" customHeight="1">
      <c r="A18" s="160">
        <f t="shared" ref="A18:A21" si="2">IF(B18&lt;&gt;"",ROW()-10,"")</f>
        <v>8</v>
      </c>
      <c r="B18" s="161" t="s">
        <v>183</v>
      </c>
      <c r="C18" s="162" t="s">
        <v>188</v>
      </c>
      <c r="D18" s="160" t="s">
        <v>189</v>
      </c>
      <c r="E18" s="163">
        <v>3000000</v>
      </c>
      <c r="F18" s="163">
        <v>4500000</v>
      </c>
      <c r="G18" s="163"/>
      <c r="H18" s="163"/>
      <c r="I18" s="163"/>
      <c r="J18" s="163"/>
      <c r="K18" s="163"/>
      <c r="L18" s="163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3"/>
      <c r="X18" s="163"/>
      <c r="Y18" s="164"/>
      <c r="Z18" s="165"/>
    </row>
    <row r="19" spans="1:26" s="166" customFormat="1" ht="21.75" customHeight="1">
      <c r="A19" s="160">
        <f t="shared" si="2"/>
        <v>9</v>
      </c>
      <c r="B19" s="161" t="s">
        <v>184</v>
      </c>
      <c r="C19" s="162" t="s">
        <v>190</v>
      </c>
      <c r="D19" s="160" t="s">
        <v>189</v>
      </c>
      <c r="E19" s="163">
        <v>2500000</v>
      </c>
      <c r="F19" s="163">
        <v>3700000</v>
      </c>
      <c r="G19" s="163"/>
      <c r="H19" s="163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3"/>
      <c r="X19" s="163"/>
      <c r="Y19" s="164"/>
      <c r="Z19" s="165"/>
    </row>
    <row r="20" spans="1:26" s="166" customFormat="1" ht="21.75" customHeight="1">
      <c r="A20" s="160">
        <f t="shared" si="2"/>
        <v>10</v>
      </c>
      <c r="B20" s="161" t="s">
        <v>185</v>
      </c>
      <c r="C20" s="162" t="s">
        <v>191</v>
      </c>
      <c r="D20" s="160" t="s">
        <v>189</v>
      </c>
      <c r="E20" s="163">
        <v>2500000</v>
      </c>
      <c r="F20" s="163">
        <v>3700000</v>
      </c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4"/>
      <c r="Z20" s="165"/>
    </row>
    <row r="21" spans="1:26" s="166" customFormat="1" ht="21.75" customHeight="1">
      <c r="A21" s="160">
        <f t="shared" si="2"/>
        <v>11</v>
      </c>
      <c r="B21" s="161" t="s">
        <v>186</v>
      </c>
      <c r="C21" s="162" t="s">
        <v>193</v>
      </c>
      <c r="D21" s="160" t="s">
        <v>194</v>
      </c>
      <c r="E21" s="163">
        <v>3000000</v>
      </c>
      <c r="F21" s="163">
        <v>4500000</v>
      </c>
      <c r="G21" s="163"/>
      <c r="H21" s="163"/>
      <c r="I21" s="163"/>
      <c r="J21" s="163"/>
      <c r="K21" s="163"/>
      <c r="L21" s="163"/>
      <c r="M21" s="163"/>
      <c r="N21" s="163"/>
      <c r="O21" s="163"/>
      <c r="P21" s="163"/>
      <c r="Q21" s="163"/>
      <c r="R21" s="163"/>
      <c r="S21" s="163"/>
      <c r="T21" s="163"/>
      <c r="U21" s="163"/>
      <c r="V21" s="163"/>
      <c r="W21" s="163"/>
      <c r="X21" s="163"/>
      <c r="Y21" s="164"/>
      <c r="Z21" s="165"/>
    </row>
    <row r="22" spans="1:26" s="166" customFormat="1" ht="21.75" customHeight="1">
      <c r="A22" s="160">
        <f t="shared" ref="A22:A23" si="3">IF(B22&lt;&gt;"",ROW()-10,"")</f>
        <v>12</v>
      </c>
      <c r="B22" s="161" t="s">
        <v>187</v>
      </c>
      <c r="C22" s="162" t="s">
        <v>195</v>
      </c>
      <c r="D22" s="160" t="s">
        <v>194</v>
      </c>
      <c r="E22" s="163">
        <v>2500000</v>
      </c>
      <c r="F22" s="163">
        <v>3700000</v>
      </c>
      <c r="G22" s="163"/>
      <c r="H22" s="163"/>
      <c r="I22" s="163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4"/>
      <c r="Z22" s="165"/>
    </row>
    <row r="23" spans="1:26" s="166" customFormat="1" ht="21.75" customHeight="1">
      <c r="A23" s="160">
        <f t="shared" si="3"/>
        <v>13</v>
      </c>
      <c r="B23" s="161" t="s">
        <v>192</v>
      </c>
      <c r="C23" s="227" t="s">
        <v>196</v>
      </c>
      <c r="D23" s="161" t="s">
        <v>194</v>
      </c>
      <c r="E23" s="163">
        <v>2500000</v>
      </c>
      <c r="F23" s="163">
        <v>3700000</v>
      </c>
      <c r="G23" s="163"/>
      <c r="H23" s="163"/>
      <c r="I23" s="163"/>
      <c r="J23" s="163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3"/>
      <c r="X23" s="163"/>
      <c r="Y23" s="164"/>
      <c r="Z23" s="165"/>
    </row>
    <row r="24" spans="1:26" ht="21.75" customHeight="1">
      <c r="A24" s="154" t="str">
        <f t="shared" si="0"/>
        <v/>
      </c>
      <c r="B24" s="139"/>
      <c r="C24" s="146"/>
      <c r="D24" s="145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04"/>
    </row>
    <row r="25" spans="1:26" ht="21.75" customHeight="1">
      <c r="A25" s="235" t="s">
        <v>25</v>
      </c>
      <c r="B25" s="236"/>
      <c r="C25" s="236"/>
      <c r="D25" s="151" t="s">
        <v>135</v>
      </c>
      <c r="E25" s="148">
        <f>SUM(E11:E24)</f>
        <v>34000000</v>
      </c>
      <c r="F25" s="148">
        <f>SUM(F11:F24)</f>
        <v>50800000</v>
      </c>
      <c r="G25" s="148">
        <f>SUM(G11:G24)</f>
        <v>1950000</v>
      </c>
      <c r="H25" s="148">
        <f>SUM(H11:H24)</f>
        <v>0</v>
      </c>
      <c r="I25" s="148"/>
      <c r="J25" s="148">
        <f t="shared" ref="J25:U25" si="4">SUMIF(J$11:J$24,"x",$E$11:$E$24)</f>
        <v>0</v>
      </c>
      <c r="K25" s="148">
        <f t="shared" si="4"/>
        <v>0</v>
      </c>
      <c r="L25" s="148">
        <f t="shared" si="4"/>
        <v>0</v>
      </c>
      <c r="M25" s="148">
        <f t="shared" si="4"/>
        <v>0</v>
      </c>
      <c r="N25" s="148">
        <f t="shared" si="4"/>
        <v>0</v>
      </c>
      <c r="O25" s="148">
        <f t="shared" si="4"/>
        <v>0</v>
      </c>
      <c r="P25" s="148">
        <f t="shared" si="4"/>
        <v>0</v>
      </c>
      <c r="Q25" s="148">
        <f t="shared" si="4"/>
        <v>0</v>
      </c>
      <c r="R25" s="148">
        <f t="shared" si="4"/>
        <v>0</v>
      </c>
      <c r="S25" s="148">
        <f t="shared" si="4"/>
        <v>0</v>
      </c>
      <c r="T25" s="148">
        <f t="shared" si="4"/>
        <v>0</v>
      </c>
      <c r="U25" s="148">
        <f t="shared" si="4"/>
        <v>0</v>
      </c>
      <c r="V25" s="148"/>
      <c r="W25" s="148"/>
      <c r="X25" s="148"/>
      <c r="Y25" s="104"/>
    </row>
    <row r="26" spans="1:26" ht="21.75" customHeight="1">
      <c r="A26" s="237"/>
      <c r="B26" s="238"/>
      <c r="C26" s="238"/>
      <c r="D26" s="151" t="s">
        <v>136</v>
      </c>
      <c r="E26" s="148"/>
      <c r="F26" s="148"/>
      <c r="G26" s="148"/>
      <c r="H26" s="148"/>
      <c r="I26" s="148"/>
      <c r="J26" s="148">
        <f t="array" ref="J26">SUM((J$11:J$24="x")*1)</f>
        <v>0</v>
      </c>
      <c r="K26" s="148">
        <f t="array" ref="K26">SUM((K$11:K$24="x")*1)</f>
        <v>0</v>
      </c>
      <c r="L26" s="148">
        <f t="array" ref="L26">SUM((L$11:L$24="x")*1)</f>
        <v>0</v>
      </c>
      <c r="M26" s="148">
        <f t="array" ref="M26">SUM((M$11:M$24="x")*1)</f>
        <v>0</v>
      </c>
      <c r="N26" s="148">
        <f t="array" ref="N26">SUM((N$11:N$24="x")*1)</f>
        <v>0</v>
      </c>
      <c r="O26" s="148">
        <f t="array" ref="O26">SUM((O$11:O$24="x")*1)</f>
        <v>0</v>
      </c>
      <c r="P26" s="148">
        <f t="array" ref="P26">SUM((P$11:P$24="x")*1)</f>
        <v>0</v>
      </c>
      <c r="Q26" s="148">
        <f t="array" ref="Q26">SUM((Q$11:Q$24="x")*1)</f>
        <v>0</v>
      </c>
      <c r="R26" s="148">
        <f t="array" ref="R26">SUM((R$11:R$24="x")*1)</f>
        <v>0</v>
      </c>
      <c r="S26" s="148">
        <f t="array" ref="S26">SUM((S$11:S$24="x")*1)</f>
        <v>0</v>
      </c>
      <c r="T26" s="148">
        <f t="array" ref="T26">SUM((T$11:T$24="x")*1)</f>
        <v>0</v>
      </c>
      <c r="U26" s="148">
        <f t="array" ref="U26">SUM((U$11:U$24="x")*1)</f>
        <v>0</v>
      </c>
      <c r="V26" s="148"/>
      <c r="W26" s="148"/>
      <c r="X26" s="148"/>
      <c r="Y26" s="104"/>
    </row>
    <row r="27" spans="1:26" ht="21.75" customHeight="1">
      <c r="A27" s="239"/>
      <c r="B27" s="240"/>
      <c r="C27" s="240"/>
      <c r="D27" s="151" t="s">
        <v>137</v>
      </c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04"/>
    </row>
    <row r="28" spans="1:26" ht="11.25" customHeight="1">
      <c r="A28" s="17"/>
      <c r="B28" s="17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</row>
    <row r="29" spans="1:26" ht="11.25" customHeight="1">
      <c r="A29" s="17"/>
      <c r="B29" s="17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105" t="s">
        <v>55</v>
      </c>
      <c r="X29" s="75"/>
    </row>
    <row r="30" spans="1:26" ht="16.5" customHeight="1">
      <c r="A30" s="17"/>
      <c r="B30" s="17"/>
      <c r="C30" s="18" t="s">
        <v>14</v>
      </c>
      <c r="D30" s="19"/>
      <c r="E30" s="20"/>
      <c r="F30" s="28"/>
      <c r="G30" s="28"/>
      <c r="H30" s="28"/>
      <c r="I30" s="21"/>
      <c r="J30" s="21">
        <v>8278</v>
      </c>
      <c r="K30" s="221">
        <f>E12/27/8</f>
        <v>11111.111111111111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47" t="s">
        <v>22</v>
      </c>
      <c r="X30" s="47"/>
    </row>
    <row r="31" spans="1:26" ht="11.25" customHeight="1">
      <c r="A31" s="17"/>
      <c r="B31" s="17"/>
      <c r="C31" s="18"/>
      <c r="D31" s="19"/>
      <c r="E31" s="20"/>
      <c r="F31" s="28"/>
      <c r="G31" s="28"/>
      <c r="H31" s="28"/>
      <c r="I31" s="21"/>
      <c r="J31" s="21"/>
      <c r="K31" s="21">
        <f>J30/K30</f>
        <v>0.74502000000000002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47"/>
      <c r="X31" s="47"/>
    </row>
    <row r="32" spans="1:26" ht="11.25" customHeight="1">
      <c r="A32" s="17"/>
      <c r="B32" s="17"/>
      <c r="C32" s="18"/>
      <c r="D32" s="19"/>
      <c r="E32" s="20"/>
      <c r="F32" s="28"/>
      <c r="G32" s="28"/>
      <c r="H32" s="28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47"/>
      <c r="X32" s="47"/>
    </row>
    <row r="33" spans="1:24" ht="11.25" customHeight="1">
      <c r="A33" s="17"/>
      <c r="B33" s="17"/>
      <c r="C33" s="18"/>
      <c r="D33" s="19"/>
      <c r="E33" s="20"/>
      <c r="F33" s="28"/>
      <c r="G33" s="28"/>
      <c r="H33" s="28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47"/>
      <c r="X33" s="47"/>
    </row>
    <row r="34" spans="1:24" ht="11.25" customHeight="1">
      <c r="A34" s="17"/>
      <c r="B34" s="17"/>
      <c r="C34" s="18"/>
      <c r="D34" s="19"/>
      <c r="E34" s="20"/>
      <c r="F34" s="28"/>
      <c r="G34" s="28"/>
      <c r="H34" s="28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47"/>
      <c r="X34" s="47"/>
    </row>
    <row r="35" spans="1:24" ht="11.25" customHeight="1">
      <c r="A35" s="17"/>
      <c r="B35" s="17"/>
      <c r="C35" s="18"/>
      <c r="D35" s="19"/>
      <c r="E35" s="20"/>
      <c r="F35" s="28"/>
      <c r="G35" s="28"/>
      <c r="H35" s="28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47"/>
      <c r="X35" s="47"/>
    </row>
    <row r="36" spans="1:24">
      <c r="A36" s="22"/>
      <c r="B36" s="22"/>
      <c r="C36" s="27" t="s">
        <v>21</v>
      </c>
      <c r="D36" s="19"/>
      <c r="E36" s="20"/>
      <c r="F36" s="28"/>
      <c r="G36" s="28"/>
      <c r="H36" s="28"/>
      <c r="I36" s="21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76"/>
      <c r="X36" s="48"/>
    </row>
    <row r="37" spans="1:24" ht="9" customHeight="1">
      <c r="C37" s="44"/>
      <c r="D37" s="44"/>
      <c r="E37" s="20"/>
      <c r="F37" s="49"/>
      <c r="G37" s="49"/>
      <c r="H37" s="49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50"/>
      <c r="X37" s="50"/>
    </row>
    <row r="38" spans="1:24">
      <c r="E38" s="20"/>
    </row>
    <row r="39" spans="1:24">
      <c r="E39" s="20"/>
    </row>
    <row r="52" spans="3:14">
      <c r="C52" s="150"/>
      <c r="G52" s="162" t="s">
        <v>117</v>
      </c>
      <c r="J52" s="2" t="s">
        <v>61</v>
      </c>
      <c r="K52" s="2" t="s">
        <v>117</v>
      </c>
      <c r="M52" s="2" t="str">
        <f>VLOOKUP(K52,$G$52:$J$111,4,0)</f>
        <v>ALTP001</v>
      </c>
      <c r="N52" s="228" t="str">
        <f>M52</f>
        <v>ALTP001</v>
      </c>
    </row>
    <row r="53" spans="3:14">
      <c r="C53" s="150"/>
      <c r="G53" s="162" t="s">
        <v>118</v>
      </c>
      <c r="J53" s="2" t="s">
        <v>62</v>
      </c>
      <c r="K53" s="2" t="s">
        <v>118</v>
      </c>
      <c r="M53" s="2" t="str">
        <f t="shared" ref="M53:M82" si="5">VLOOKUP(K53,$G$52:$J$111,4,0)</f>
        <v>ALTP002</v>
      </c>
      <c r="N53" s="228"/>
    </row>
    <row r="54" spans="3:14">
      <c r="C54" s="150"/>
      <c r="G54" s="162" t="s">
        <v>119</v>
      </c>
      <c r="J54" s="2" t="s">
        <v>63</v>
      </c>
      <c r="K54" s="2" t="s">
        <v>119</v>
      </c>
      <c r="M54" s="2" t="str">
        <f t="shared" si="5"/>
        <v>ALTP003</v>
      </c>
      <c r="N54" s="228" t="str">
        <f>M53</f>
        <v>ALTP002</v>
      </c>
    </row>
    <row r="55" spans="3:14">
      <c r="C55" s="150"/>
      <c r="G55" s="162" t="s">
        <v>120</v>
      </c>
      <c r="J55" s="2" t="s">
        <v>64</v>
      </c>
      <c r="K55" s="2" t="s">
        <v>120</v>
      </c>
      <c r="M55" s="2" t="str">
        <f t="shared" si="5"/>
        <v>ALTP004</v>
      </c>
      <c r="N55" s="228"/>
    </row>
    <row r="56" spans="3:14">
      <c r="C56" s="150"/>
      <c r="G56" s="162" t="s">
        <v>121</v>
      </c>
      <c r="J56" s="2" t="s">
        <v>65</v>
      </c>
      <c r="K56" s="2" t="s">
        <v>121</v>
      </c>
      <c r="M56" s="2" t="str">
        <f t="shared" si="5"/>
        <v>ALTP005</v>
      </c>
      <c r="N56" s="228" t="str">
        <f>M54</f>
        <v>ALTP003</v>
      </c>
    </row>
    <row r="57" spans="3:14">
      <c r="C57" s="150"/>
      <c r="G57" s="162" t="s">
        <v>122</v>
      </c>
      <c r="J57" s="2" t="s">
        <v>66</v>
      </c>
      <c r="K57" s="2" t="s">
        <v>122</v>
      </c>
      <c r="M57" s="2" t="str">
        <f t="shared" si="5"/>
        <v>ALTP006</v>
      </c>
      <c r="N57" s="228"/>
    </row>
    <row r="58" spans="3:14">
      <c r="C58" s="150"/>
      <c r="G58" s="162" t="s">
        <v>123</v>
      </c>
      <c r="J58" s="2" t="s">
        <v>67</v>
      </c>
      <c r="K58" s="2" t="s">
        <v>123</v>
      </c>
      <c r="M58" s="2" t="str">
        <f t="shared" si="5"/>
        <v>ALTP007</v>
      </c>
      <c r="N58" s="228" t="str">
        <f>M55</f>
        <v>ALTP004</v>
      </c>
    </row>
    <row r="59" spans="3:14">
      <c r="C59" s="150"/>
      <c r="G59" s="162" t="s">
        <v>124</v>
      </c>
      <c r="J59" s="2" t="s">
        <v>68</v>
      </c>
      <c r="K59" s="2" t="s">
        <v>124</v>
      </c>
      <c r="M59" s="2" t="str">
        <f t="shared" si="5"/>
        <v>ALTP008</v>
      </c>
      <c r="N59" s="228"/>
    </row>
    <row r="60" spans="3:14">
      <c r="C60" s="150"/>
      <c r="G60" s="162" t="s">
        <v>125</v>
      </c>
      <c r="J60" s="2" t="s">
        <v>69</v>
      </c>
      <c r="K60" s="2" t="s">
        <v>125</v>
      </c>
      <c r="M60" s="2" t="str">
        <f t="shared" si="5"/>
        <v>ALTP009</v>
      </c>
      <c r="N60" s="228" t="str">
        <f>M56</f>
        <v>ALTP005</v>
      </c>
    </row>
    <row r="61" spans="3:14">
      <c r="C61" s="150"/>
      <c r="G61" s="162" t="s">
        <v>126</v>
      </c>
      <c r="J61" s="2" t="s">
        <v>70</v>
      </c>
      <c r="K61" s="2" t="s">
        <v>126</v>
      </c>
      <c r="M61" s="2" t="str">
        <f t="shared" si="5"/>
        <v>ALTP010</v>
      </c>
      <c r="N61" s="228"/>
    </row>
    <row r="62" spans="3:14">
      <c r="C62" s="150"/>
      <c r="G62" s="162" t="s">
        <v>127</v>
      </c>
      <c r="J62" s="2" t="s">
        <v>71</v>
      </c>
      <c r="K62" s="2" t="s">
        <v>127</v>
      </c>
      <c r="M62" s="2" t="str">
        <f t="shared" si="5"/>
        <v>ALTP011</v>
      </c>
      <c r="N62" s="228" t="str">
        <f>M57</f>
        <v>ALTP006</v>
      </c>
    </row>
    <row r="63" spans="3:14">
      <c r="C63" s="150"/>
      <c r="G63" s="162" t="s">
        <v>128</v>
      </c>
      <c r="J63" s="2" t="s">
        <v>72</v>
      </c>
      <c r="K63" s="2" t="s">
        <v>129</v>
      </c>
      <c r="M63" s="2" t="str">
        <f t="shared" si="5"/>
        <v>ALTP013</v>
      </c>
      <c r="N63" s="228"/>
    </row>
    <row r="64" spans="3:14">
      <c r="C64" s="150"/>
      <c r="G64" s="162" t="s">
        <v>129</v>
      </c>
      <c r="J64" s="2" t="s">
        <v>73</v>
      </c>
      <c r="K64" s="2" t="s">
        <v>130</v>
      </c>
      <c r="M64" s="2" t="str">
        <f t="shared" si="5"/>
        <v>ALTP014</v>
      </c>
      <c r="N64" s="228" t="str">
        <f>M58</f>
        <v>ALTP007</v>
      </c>
    </row>
    <row r="65" spans="3:14">
      <c r="C65" s="150"/>
      <c r="G65" s="162" t="s">
        <v>130</v>
      </c>
      <c r="J65" s="2" t="s">
        <v>74</v>
      </c>
      <c r="K65" s="2" t="s">
        <v>131</v>
      </c>
      <c r="M65" s="2" t="str">
        <f t="shared" si="5"/>
        <v>ALTP015</v>
      </c>
      <c r="N65" s="228"/>
    </row>
    <row r="66" spans="3:14">
      <c r="C66" s="150"/>
      <c r="G66" s="162" t="s">
        <v>131</v>
      </c>
      <c r="J66" s="2" t="s">
        <v>75</v>
      </c>
      <c r="K66" s="2" t="s">
        <v>132</v>
      </c>
      <c r="M66" s="2" t="str">
        <f t="shared" si="5"/>
        <v>ALTP016</v>
      </c>
      <c r="N66" s="228" t="str">
        <f>M59</f>
        <v>ALTP008</v>
      </c>
    </row>
    <row r="67" spans="3:14">
      <c r="C67" s="150"/>
      <c r="G67" s="162" t="s">
        <v>132</v>
      </c>
      <c r="J67" s="2" t="s">
        <v>76</v>
      </c>
      <c r="K67" s="2" t="s">
        <v>133</v>
      </c>
      <c r="M67" s="2" t="str">
        <f t="shared" si="5"/>
        <v>ALTP017</v>
      </c>
      <c r="N67" s="228"/>
    </row>
    <row r="68" spans="3:14">
      <c r="C68" s="150"/>
      <c r="G68" s="162" t="s">
        <v>133</v>
      </c>
      <c r="J68" s="2" t="s">
        <v>77</v>
      </c>
      <c r="K68" s="2" t="s">
        <v>134</v>
      </c>
      <c r="M68" s="2" t="str">
        <f t="shared" si="5"/>
        <v>ALTP018</v>
      </c>
      <c r="N68" s="228" t="str">
        <f>M60</f>
        <v>ALTP009</v>
      </c>
    </row>
    <row r="69" spans="3:14">
      <c r="C69" s="150"/>
      <c r="G69" s="162" t="s">
        <v>134</v>
      </c>
      <c r="J69" s="2" t="s">
        <v>78</v>
      </c>
      <c r="K69" s="2" t="s">
        <v>138</v>
      </c>
      <c r="M69" s="2" t="str">
        <f t="shared" si="5"/>
        <v>ALTP019</v>
      </c>
      <c r="N69" s="228"/>
    </row>
    <row r="70" spans="3:14">
      <c r="C70" s="150"/>
      <c r="G70" s="162" t="s">
        <v>138</v>
      </c>
      <c r="J70" s="2" t="s">
        <v>79</v>
      </c>
      <c r="K70" s="2" t="s">
        <v>140</v>
      </c>
      <c r="M70" s="2" t="str">
        <f t="shared" si="5"/>
        <v>ALTP020</v>
      </c>
      <c r="N70" s="228" t="str">
        <f>M61</f>
        <v>ALTP010</v>
      </c>
    </row>
    <row r="71" spans="3:14">
      <c r="C71" s="150"/>
      <c r="G71" s="162" t="s">
        <v>140</v>
      </c>
      <c r="J71" s="2" t="s">
        <v>80</v>
      </c>
      <c r="K71" s="2" t="s">
        <v>145</v>
      </c>
      <c r="M71" s="2" t="str">
        <f t="shared" si="5"/>
        <v>ALTP025</v>
      </c>
      <c r="N71" s="228"/>
    </row>
    <row r="72" spans="3:14">
      <c r="C72" s="150"/>
      <c r="G72" s="162" t="s">
        <v>141</v>
      </c>
      <c r="J72" s="2" t="s">
        <v>81</v>
      </c>
      <c r="K72" s="2" t="s">
        <v>152</v>
      </c>
      <c r="M72" s="2" t="str">
        <f t="shared" si="5"/>
        <v>ALTP027</v>
      </c>
      <c r="N72" s="228" t="str">
        <f>M62</f>
        <v>ALTP011</v>
      </c>
    </row>
    <row r="73" spans="3:14">
      <c r="C73" s="150"/>
      <c r="G73" s="162" t="s">
        <v>142</v>
      </c>
      <c r="J73" s="2" t="s">
        <v>82</v>
      </c>
      <c r="K73" s="2" t="s">
        <v>100</v>
      </c>
      <c r="M73" s="2" t="str">
        <f t="shared" si="5"/>
        <v>ALTN001</v>
      </c>
      <c r="N73" s="228"/>
    </row>
    <row r="74" spans="3:14">
      <c r="C74" s="150"/>
      <c r="G74" s="162" t="s">
        <v>152</v>
      </c>
      <c r="J74" s="2" t="s">
        <v>87</v>
      </c>
      <c r="K74" s="2" t="s">
        <v>101</v>
      </c>
      <c r="M74" s="2" t="str">
        <f t="shared" si="5"/>
        <v>ALTN002</v>
      </c>
      <c r="N74" s="228" t="str">
        <f>M63</f>
        <v>ALTP013</v>
      </c>
    </row>
    <row r="75" spans="3:14">
      <c r="C75" s="150"/>
      <c r="G75" s="2" t="s">
        <v>143</v>
      </c>
      <c r="J75" s="2" t="s">
        <v>83</v>
      </c>
      <c r="K75" s="2" t="s">
        <v>102</v>
      </c>
      <c r="M75" s="2" t="str">
        <f t="shared" si="5"/>
        <v>ALTN003</v>
      </c>
      <c r="N75" s="228"/>
    </row>
    <row r="76" spans="3:14">
      <c r="C76" s="150"/>
      <c r="G76" s="2" t="s">
        <v>144</v>
      </c>
      <c r="J76" s="2" t="s">
        <v>84</v>
      </c>
      <c r="K76" s="2" t="s">
        <v>151</v>
      </c>
      <c r="M76" s="2" t="str">
        <f t="shared" si="5"/>
        <v>ALTN004</v>
      </c>
      <c r="N76" s="228" t="str">
        <f>M64</f>
        <v>ALTP014</v>
      </c>
    </row>
    <row r="77" spans="3:14">
      <c r="C77" s="150"/>
      <c r="G77" s="2" t="s">
        <v>145</v>
      </c>
      <c r="J77" s="2" t="s">
        <v>85</v>
      </c>
      <c r="K77" s="2" t="s">
        <v>104</v>
      </c>
      <c r="M77" s="2" t="str">
        <f t="shared" si="5"/>
        <v>ALTN006</v>
      </c>
      <c r="N77" s="228"/>
    </row>
    <row r="78" spans="3:14">
      <c r="C78" s="150"/>
      <c r="G78" s="2" t="s">
        <v>150</v>
      </c>
      <c r="J78" s="2" t="s">
        <v>86</v>
      </c>
      <c r="K78" s="2" t="s">
        <v>139</v>
      </c>
      <c r="M78" s="2" t="str">
        <f t="shared" si="5"/>
        <v>ALTN007</v>
      </c>
      <c r="N78" s="228" t="str">
        <f>M65</f>
        <v>ALTP015</v>
      </c>
    </row>
    <row r="79" spans="3:14">
      <c r="C79" s="150"/>
      <c r="G79" s="2" t="s">
        <v>100</v>
      </c>
      <c r="J79" s="2" t="s">
        <v>89</v>
      </c>
      <c r="K79" s="2" t="s">
        <v>146</v>
      </c>
      <c r="M79" s="2" t="str">
        <f t="shared" si="5"/>
        <v>ALTN008</v>
      </c>
      <c r="N79" s="228"/>
    </row>
    <row r="80" spans="3:14">
      <c r="C80" s="150"/>
      <c r="G80" s="2" t="s">
        <v>101</v>
      </c>
      <c r="J80" s="2" t="s">
        <v>90</v>
      </c>
      <c r="K80" s="2" t="s">
        <v>147</v>
      </c>
      <c r="M80" s="2" t="str">
        <f t="shared" si="5"/>
        <v>ALTN009</v>
      </c>
      <c r="N80" s="228" t="str">
        <f>M66</f>
        <v>ALTP016</v>
      </c>
    </row>
    <row r="81" spans="3:14">
      <c r="C81" s="150"/>
      <c r="G81" s="2" t="s">
        <v>102</v>
      </c>
      <c r="J81" s="2" t="s">
        <v>91</v>
      </c>
      <c r="K81" s="2" t="s">
        <v>148</v>
      </c>
      <c r="M81" s="2" t="str">
        <f t="shared" si="5"/>
        <v>ALTN010</v>
      </c>
      <c r="N81" s="228"/>
    </row>
    <row r="82" spans="3:14">
      <c r="C82" s="150"/>
      <c r="G82" s="2" t="s">
        <v>151</v>
      </c>
      <c r="J82" s="2" t="s">
        <v>92</v>
      </c>
      <c r="K82" s="2" t="s">
        <v>149</v>
      </c>
      <c r="M82" s="2" t="str">
        <f t="shared" si="5"/>
        <v>ALTN011</v>
      </c>
      <c r="N82" s="228" t="str">
        <f>M67</f>
        <v>ALTP017</v>
      </c>
    </row>
    <row r="83" spans="3:14">
      <c r="C83" s="150"/>
      <c r="G83" s="2" t="s">
        <v>103</v>
      </c>
      <c r="J83" s="2" t="s">
        <v>93</v>
      </c>
      <c r="N83" s="228"/>
    </row>
    <row r="84" spans="3:14">
      <c r="C84" s="150"/>
      <c r="G84" s="29" t="s">
        <v>104</v>
      </c>
      <c r="J84" s="2" t="s">
        <v>94</v>
      </c>
      <c r="N84" s="228" t="str">
        <f>M68</f>
        <v>ALTP018</v>
      </c>
    </row>
    <row r="85" spans="3:14">
      <c r="C85" s="150"/>
      <c r="G85" s="29" t="s">
        <v>139</v>
      </c>
      <c r="J85" s="2" t="s">
        <v>95</v>
      </c>
      <c r="N85" s="228"/>
    </row>
    <row r="86" spans="3:14">
      <c r="C86" s="150"/>
      <c r="G86" s="29" t="s">
        <v>146</v>
      </c>
      <c r="J86" s="2" t="s">
        <v>96</v>
      </c>
      <c r="N86" s="228" t="str">
        <f>M69</f>
        <v>ALTP019</v>
      </c>
    </row>
    <row r="87" spans="3:14">
      <c r="C87" s="150"/>
      <c r="G87" s="29" t="s">
        <v>147</v>
      </c>
      <c r="J87" s="2" t="s">
        <v>97</v>
      </c>
      <c r="N87" s="228"/>
    </row>
    <row r="88" spans="3:14">
      <c r="C88" s="150"/>
      <c r="G88" s="29" t="s">
        <v>148</v>
      </c>
      <c r="J88" s="2" t="s">
        <v>98</v>
      </c>
      <c r="N88" s="228" t="str">
        <f>M70</f>
        <v>ALTP020</v>
      </c>
    </row>
    <row r="89" spans="3:14">
      <c r="C89" s="150"/>
      <c r="G89" s="29" t="s">
        <v>149</v>
      </c>
      <c r="J89" s="2" t="s">
        <v>99</v>
      </c>
      <c r="N89" s="228"/>
    </row>
    <row r="90" spans="3:14">
      <c r="C90" s="150"/>
      <c r="N90" s="228" t="str">
        <f>M71</f>
        <v>ALTP025</v>
      </c>
    </row>
    <row r="91" spans="3:14">
      <c r="C91" s="150"/>
      <c r="N91" s="228"/>
    </row>
    <row r="92" spans="3:14">
      <c r="C92" s="150"/>
      <c r="N92" s="228" t="str">
        <f>M72</f>
        <v>ALTP027</v>
      </c>
    </row>
    <row r="93" spans="3:14">
      <c r="C93" s="150"/>
      <c r="N93" s="228"/>
    </row>
    <row r="94" spans="3:14">
      <c r="C94" s="150"/>
      <c r="N94" s="228" t="str">
        <f>M73</f>
        <v>ALTN001</v>
      </c>
    </row>
    <row r="95" spans="3:14">
      <c r="C95" s="150"/>
      <c r="N95" s="228"/>
    </row>
    <row r="96" spans="3:14">
      <c r="C96" s="150"/>
      <c r="N96" s="228" t="str">
        <f>M74</f>
        <v>ALTN002</v>
      </c>
    </row>
    <row r="97" spans="3:14">
      <c r="C97" s="150"/>
      <c r="N97" s="228"/>
    </row>
    <row r="98" spans="3:14">
      <c r="C98" s="150"/>
      <c r="N98" s="228" t="str">
        <f>M75</f>
        <v>ALTN003</v>
      </c>
    </row>
    <row r="99" spans="3:14">
      <c r="C99" s="150"/>
      <c r="N99" s="228"/>
    </row>
    <row r="100" spans="3:14">
      <c r="C100" s="150"/>
      <c r="N100" s="228" t="str">
        <f>M76</f>
        <v>ALTN004</v>
      </c>
    </row>
    <row r="101" spans="3:14">
      <c r="C101" s="150"/>
      <c r="N101" s="228"/>
    </row>
    <row r="102" spans="3:14">
      <c r="C102" s="150"/>
      <c r="N102" s="228" t="str">
        <f>M77</f>
        <v>ALTN006</v>
      </c>
    </row>
    <row r="103" spans="3:14">
      <c r="C103" s="150"/>
      <c r="N103" s="228"/>
    </row>
    <row r="104" spans="3:14">
      <c r="C104" s="150"/>
      <c r="N104" s="228" t="str">
        <f>M78</f>
        <v>ALTN007</v>
      </c>
    </row>
    <row r="105" spans="3:14">
      <c r="C105" s="150"/>
      <c r="N105" s="228"/>
    </row>
    <row r="106" spans="3:14">
      <c r="C106" s="150"/>
      <c r="N106" s="228" t="str">
        <f>M79</f>
        <v>ALTN008</v>
      </c>
    </row>
    <row r="107" spans="3:14">
      <c r="C107" s="150"/>
      <c r="N107" s="228"/>
    </row>
    <row r="108" spans="3:14">
      <c r="C108" s="150"/>
      <c r="N108" s="228" t="str">
        <f>M80</f>
        <v>ALTN009</v>
      </c>
    </row>
    <row r="109" spans="3:14">
      <c r="C109" s="150"/>
      <c r="N109" s="228"/>
    </row>
    <row r="110" spans="3:14">
      <c r="C110" s="150"/>
      <c r="N110" s="228" t="str">
        <f>M81</f>
        <v>ALTN010</v>
      </c>
    </row>
    <row r="111" spans="3:14">
      <c r="C111" s="150"/>
      <c r="N111" s="228"/>
    </row>
    <row r="112" spans="3:14">
      <c r="C112" s="150"/>
      <c r="N112" s="228" t="str">
        <f>M82</f>
        <v>ALTN011</v>
      </c>
    </row>
    <row r="113" spans="3:14">
      <c r="C113" s="150"/>
      <c r="N113" s="228"/>
    </row>
  </sheetData>
  <protectedRanges>
    <protectedRange password="CC78" sqref="E40:E65341 B8:D9 W8:W9 B28:B65341 C37:D65341 F37:JG51 F103:M103 F52 H52:J52 L52:JG52 L53:L79 F90:L102 N53:JG103 M53:M82 F104:JG65341 K80:L89 F53:J73 F75:J89 F74 H74:J74 F8:H8 J23:JG27 C24:H27 B10:X10 J11:X11 J12:JG14 V15:JG22 Y8:JG11 A8:A65341 C23:D23 E11:E23 G11:H23 F11:F15 F17:F23" name="Range1"/>
    <protectedRange password="CC78" sqref="C30:C35 E37:E39 W30:JG35 D30:H36" name="Range1_1_1"/>
    <protectedRange password="CC78" sqref="C36 W36:JG36" name="Range1_3_1"/>
    <protectedRange password="CC78" sqref="A5:JG7" name="Range1_2"/>
    <protectedRange password="CC78" sqref="I8:V9 I11:I27" name="Range1_3"/>
    <protectedRange password="CC78" sqref="B24:B27" name="Range1_1"/>
    <protectedRange password="CC78" sqref="E8:E9 F9" name="Range1_4"/>
    <protectedRange password="CC78" sqref="B15:B23" name="Range1_6"/>
    <protectedRange password="CC78" sqref="D15:D22" name="Range1_7"/>
    <protectedRange password="CC78" sqref="J11:U22" name="Range1_11"/>
  </protectedRanges>
  <autoFilter ref="A10:Z17"/>
  <mergeCells count="45">
    <mergeCell ref="N96:N97"/>
    <mergeCell ref="N98:N99"/>
    <mergeCell ref="N100:N101"/>
    <mergeCell ref="A25:C27"/>
    <mergeCell ref="N72:N73"/>
    <mergeCell ref="N74:N75"/>
    <mergeCell ref="N76:N77"/>
    <mergeCell ref="N78:N79"/>
    <mergeCell ref="N52:N53"/>
    <mergeCell ref="N54:N55"/>
    <mergeCell ref="N56:N57"/>
    <mergeCell ref="N58:N59"/>
    <mergeCell ref="N60:N61"/>
    <mergeCell ref="N62:N63"/>
    <mergeCell ref="N64:N65"/>
    <mergeCell ref="N66:N67"/>
    <mergeCell ref="N68:N69"/>
    <mergeCell ref="N70:N7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8:N109"/>
    <mergeCell ref="N110:N111"/>
    <mergeCell ref="N112:N113"/>
    <mergeCell ref="J8:U8"/>
    <mergeCell ref="V8:V9"/>
    <mergeCell ref="N80:N81"/>
    <mergeCell ref="N82:N83"/>
    <mergeCell ref="N84:N85"/>
    <mergeCell ref="N86:N87"/>
    <mergeCell ref="N88:N89"/>
    <mergeCell ref="N90:N91"/>
    <mergeCell ref="N104:N105"/>
    <mergeCell ref="N106:N107"/>
    <mergeCell ref="N102:N103"/>
    <mergeCell ref="N92:N93"/>
    <mergeCell ref="N94:N9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41640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41640</v>
      </c>
      <c r="G5" s="115">
        <f t="shared" ref="G5:AJ5" si="0">F5+1</f>
        <v>41641</v>
      </c>
      <c r="H5" s="115">
        <f t="shared" si="0"/>
        <v>41642</v>
      </c>
      <c r="I5" s="115">
        <f t="shared" si="0"/>
        <v>41643</v>
      </c>
      <c r="J5" s="115">
        <f t="shared" si="0"/>
        <v>41644</v>
      </c>
      <c r="K5" s="115">
        <f t="shared" si="0"/>
        <v>41645</v>
      </c>
      <c r="L5" s="115">
        <f t="shared" si="0"/>
        <v>41646</v>
      </c>
      <c r="M5" s="115">
        <f t="shared" si="0"/>
        <v>41647</v>
      </c>
      <c r="N5" s="115">
        <f t="shared" si="0"/>
        <v>41648</v>
      </c>
      <c r="O5" s="115">
        <f t="shared" si="0"/>
        <v>41649</v>
      </c>
      <c r="P5" s="115">
        <f t="shared" si="0"/>
        <v>41650</v>
      </c>
      <c r="Q5" s="115">
        <f t="shared" si="0"/>
        <v>41651</v>
      </c>
      <c r="R5" s="115">
        <f t="shared" si="0"/>
        <v>41652</v>
      </c>
      <c r="S5" s="115">
        <f t="shared" si="0"/>
        <v>41653</v>
      </c>
      <c r="T5" s="115">
        <f t="shared" si="0"/>
        <v>41654</v>
      </c>
      <c r="U5" s="115">
        <f t="shared" si="0"/>
        <v>41655</v>
      </c>
      <c r="V5" s="115">
        <f t="shared" si="0"/>
        <v>41656</v>
      </c>
      <c r="W5" s="115">
        <f t="shared" si="0"/>
        <v>41657</v>
      </c>
      <c r="X5" s="115">
        <f t="shared" si="0"/>
        <v>41658</v>
      </c>
      <c r="Y5" s="115">
        <f t="shared" si="0"/>
        <v>41659</v>
      </c>
      <c r="Z5" s="115">
        <f t="shared" si="0"/>
        <v>41660</v>
      </c>
      <c r="AA5" s="115">
        <f t="shared" si="0"/>
        <v>41661</v>
      </c>
      <c r="AB5" s="115">
        <f t="shared" si="0"/>
        <v>41662</v>
      </c>
      <c r="AC5" s="115">
        <f t="shared" si="0"/>
        <v>41663</v>
      </c>
      <c r="AD5" s="115">
        <f t="shared" si="0"/>
        <v>41664</v>
      </c>
      <c r="AE5" s="115">
        <f t="shared" si="0"/>
        <v>41665</v>
      </c>
      <c r="AF5" s="115">
        <f t="shared" si="0"/>
        <v>41666</v>
      </c>
      <c r="AG5" s="115">
        <f t="shared" si="0"/>
        <v>41667</v>
      </c>
      <c r="AH5" s="115">
        <f>AG5+1</f>
        <v>41668</v>
      </c>
      <c r="AI5" s="115">
        <f t="shared" si="0"/>
        <v>41669</v>
      </c>
      <c r="AJ5" s="115">
        <f t="shared" si="0"/>
        <v>41670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/>
      <c r="AJ9" s="140"/>
      <c r="AK9" s="241">
        <f t="shared" ref="AK9" si="2">((SUM(F9:AJ9))/8)-(SUMIF($F$6:$AJ$6,"C.Nhật",F9:AJ9)/8)</f>
        <v>24</v>
      </c>
      <c r="AL9" s="241">
        <f t="shared" ref="AL9" si="3">SUM(F10:AJ10)/8*1.5</f>
        <v>0</v>
      </c>
      <c r="AM9" s="245">
        <f t="shared" ref="AM9:AM11" si="4">SUMIF($F$6:$AJ$6,"C.Nhật",$F9:$AJ10)/8*2</f>
        <v>0</v>
      </c>
      <c r="AN9" s="247">
        <f t="shared" ref="AN9" si="5">SUM(AK9:AM10)</f>
        <v>24</v>
      </c>
      <c r="AO9" s="249">
        <v>0</v>
      </c>
      <c r="AP9" s="247"/>
      <c r="AQ9" s="247"/>
      <c r="AR9" s="247"/>
      <c r="AS9" s="243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/>
      <c r="AJ11" s="140"/>
      <c r="AK11" s="241">
        <f t="shared" ref="AK11" si="6">((SUM(F11:AJ11))/8)-(SUMIF($F$6:$AJ$6,"C.Nhật",F11:AJ11)/8)</f>
        <v>24</v>
      </c>
      <c r="AL11" s="241">
        <f t="shared" ref="AL11" si="7">SUM(F12:AJ12)/8*1.5</f>
        <v>0</v>
      </c>
      <c r="AM11" s="245">
        <f t="shared" si="4"/>
        <v>0</v>
      </c>
      <c r="AN11" s="247">
        <f t="shared" ref="AN11" si="8">SUM(AK11:AM12)</f>
        <v>24</v>
      </c>
      <c r="AO11" s="249">
        <v>0</v>
      </c>
      <c r="AP11" s="247"/>
      <c r="AQ11" s="247"/>
      <c r="AR11" s="247"/>
      <c r="AS11" s="243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/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/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/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/>
      <c r="AF14" s="140">
        <v>8</v>
      </c>
      <c r="AG14" s="140">
        <v>8</v>
      </c>
      <c r="AH14" s="140">
        <v>8</v>
      </c>
      <c r="AI14" s="140"/>
      <c r="AJ14" s="140"/>
      <c r="AK14" s="241">
        <f t="shared" ref="AK14" si="9">((SUM(F14:AJ14))/8)-(SUMIF($F$6:$AJ$6,"C.Nhật",F14:AJ14)/8)</f>
        <v>24</v>
      </c>
      <c r="AL14" s="241">
        <f t="shared" ref="AL14" si="10">SUM(F15:AJ15)/8*1.5</f>
        <v>0</v>
      </c>
      <c r="AM14" s="245">
        <f>SUMIF($F$6:$AJ$6,"C.Nhật",$F14:$AJ15)/8*2</f>
        <v>0</v>
      </c>
      <c r="AN14" s="247">
        <f>SUM(AK14:AM15)</f>
        <v>24</v>
      </c>
      <c r="AO14" s="249">
        <v>0</v>
      </c>
      <c r="AP14" s="247"/>
      <c r="AQ14" s="247"/>
      <c r="AR14" s="247"/>
      <c r="AS14" s="243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2"/>
      <c r="AL15" s="242"/>
      <c r="AM15" s="246"/>
      <c r="AN15" s="248"/>
      <c r="AO15" s="250"/>
      <c r="AP15" s="248"/>
      <c r="AQ15" s="248"/>
      <c r="AR15" s="248"/>
      <c r="AS15" s="244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1">
        <f>A14+1</f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/>
      <c r="AJ16" s="140"/>
      <c r="AK16" s="241">
        <f t="shared" ref="AK16" si="11">((SUM(F16:AJ16))/8)-(SUMIF($F$6:$AJ$6,"C.Nhật",F16:AJ16)/8)</f>
        <v>24</v>
      </c>
      <c r="AL16" s="241">
        <f t="shared" ref="AL16" si="12">SUM(F17:AJ17)/8*1.5</f>
        <v>0</v>
      </c>
      <c r="AM16" s="245">
        <f>SUMIF($F$6:$AJ$6,"C.Nhật",$F16:$AJ17)/8*2</f>
        <v>0</v>
      </c>
      <c r="AN16" s="247">
        <f t="shared" ref="AN16" si="13">SUM(AK16:AM17)</f>
        <v>24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P9:AP10"/>
    <mergeCell ref="AQ9:AQ10"/>
    <mergeCell ref="AR9:AR10"/>
    <mergeCell ref="AS9:AS10"/>
    <mergeCell ref="A11:A12"/>
    <mergeCell ref="B11:B12"/>
    <mergeCell ref="C11:C12"/>
    <mergeCell ref="D11:D12"/>
    <mergeCell ref="AK11:AK12"/>
    <mergeCell ref="AL11:AL12"/>
    <mergeCell ref="AS11:AS12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M11:AM12"/>
    <mergeCell ref="AN11:AN12"/>
    <mergeCell ref="AO11:AO12"/>
    <mergeCell ref="AP11:AP12"/>
    <mergeCell ref="AQ11:AQ12"/>
    <mergeCell ref="AR11:AR12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</mergeCells>
  <conditionalFormatting sqref="F5:AJ6 G9 G11 H9:AJ12">
    <cfRule type="expression" dxfId="123" priority="19" stopIfTrue="1">
      <formula>IF(WEEKDAY(F$5)=1,TRUE,FALSE)</formula>
    </cfRule>
  </conditionalFormatting>
  <conditionalFormatting sqref="G9 G11 H9:AJ12">
    <cfRule type="expression" dxfId="122" priority="18" stopIfTrue="1">
      <formula>IF(WEEKDAY(G$5)=1,TRUE,FALSE)</formula>
    </cfRule>
  </conditionalFormatting>
  <conditionalFormatting sqref="F10:G10 F9 F12:G12 F11">
    <cfRule type="expression" dxfId="121" priority="16" stopIfTrue="1">
      <formula>IF(WEEKDAY(F$5)=1,TRUE,FALSE)</formula>
    </cfRule>
  </conditionalFormatting>
  <conditionalFormatting sqref="F10:G10 F9 F12:G12 F11">
    <cfRule type="expression" dxfId="120" priority="15" stopIfTrue="1">
      <formula>IF(WEEKDAY(F$5)=1,TRUE,FALSE)</formula>
    </cfRule>
  </conditionalFormatting>
  <conditionalFormatting sqref="G14 G16 H14:AJ17">
    <cfRule type="expression" dxfId="119" priority="4" stopIfTrue="1">
      <formula>IF(WEEKDAY(G$5)=1,TRUE,FALSE)</formula>
    </cfRule>
  </conditionalFormatting>
  <conditionalFormatting sqref="G14 G16 H14:AJ17">
    <cfRule type="expression" dxfId="118" priority="3" stopIfTrue="1">
      <formula>IF(WEEKDAY(G$5)=1,TRUE,FALSE)</formula>
    </cfRule>
  </conditionalFormatting>
  <conditionalFormatting sqref="F15:G15 F14 F17:G17 F16">
    <cfRule type="expression" dxfId="117" priority="2" stopIfTrue="1">
      <formula>IF(WEEKDAY(F$5)=1,TRUE,FALSE)</formula>
    </cfRule>
  </conditionalFormatting>
  <conditionalFormatting sqref="F15:G15 F14 F17:G17 F16">
    <cfRule type="expression" dxfId="11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A2" sqref="A2:A3"/>
      <selection pane="topRight" activeCell="A2" sqref="A2:A3"/>
      <selection pane="bottomLeft" activeCell="A2" sqref="A2:A3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6" t="str">
        <f>"BẢNG THANH TOÁN LƯƠNG THÁNG"&amp;" "&amp;TEXT($E$4,"mm")&amp;" / "&amp;TEXT($E$4,"yyyy")</f>
        <v>BẢNG THANH TOÁN LƯƠNG THÁNG 01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24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-1'!$E$4</f>
        <v>41640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9" t="s">
        <v>40</v>
      </c>
      <c r="G7" s="217" t="s">
        <v>18</v>
      </c>
      <c r="H7" s="219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-1'!$B$9:$AS$18,36,0)</f>
        <v>24</v>
      </c>
      <c r="G10" s="142">
        <f t="shared" ref="G10:G11" si="3">ROUND(E10/$U$2*F10,0)</f>
        <v>2700000</v>
      </c>
      <c r="H10" s="89">
        <f>(VLOOKUP(B10,'CC -1'!$B$9:$AS$18,37,0)+VLOOKUP(B10,'CC -1'!$B$9:$AS$18,38,0))</f>
        <v>0</v>
      </c>
      <c r="I10" s="142">
        <f t="shared" ref="I10:I11" si="4">ROUND(E10/$U$2*H10,0)</f>
        <v>0</v>
      </c>
      <c r="J10" s="90">
        <f t="shared" ref="J10:K11" si="5">F10+H10</f>
        <v>24</v>
      </c>
      <c r="K10" s="37">
        <f t="shared" si="5"/>
        <v>2700000</v>
      </c>
      <c r="L10" s="87">
        <f t="shared" ref="L10:L11" si="6">+F10*15000</f>
        <v>360000</v>
      </c>
      <c r="M10" s="38">
        <f t="shared" ref="M10:M11" si="7">K10+L10</f>
        <v>3060000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3060000</v>
      </c>
      <c r="R10" s="37">
        <f>VLOOKUP(B10,DS,23,0)</f>
        <v>0</v>
      </c>
      <c r="S10" s="43">
        <f t="shared" ref="S10:S11" si="9">Q10-R10</f>
        <v>3060000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-1'!$B$9:$AS$18,36,0)</f>
        <v>24</v>
      </c>
      <c r="G11" s="142">
        <f t="shared" si="3"/>
        <v>2400000</v>
      </c>
      <c r="H11" s="89">
        <f>(VLOOKUP(B11,'CC -1'!$B$9:$AS$18,37,0)+VLOOKUP(B11,'CC -1'!$B$9:$AS$18,38,0))</f>
        <v>0</v>
      </c>
      <c r="I11" s="142">
        <f t="shared" si="4"/>
        <v>0</v>
      </c>
      <c r="J11" s="90">
        <f t="shared" si="5"/>
        <v>24</v>
      </c>
      <c r="K11" s="37">
        <f t="shared" si="5"/>
        <v>2400000</v>
      </c>
      <c r="L11" s="87">
        <f t="shared" si="6"/>
        <v>360000</v>
      </c>
      <c r="M11" s="38">
        <f t="shared" si="7"/>
        <v>2760000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2760000</v>
      </c>
      <c r="R11" s="37">
        <f>VLOOKUP(B11,DS,23,0)</f>
        <v>0</v>
      </c>
      <c r="S11" s="43">
        <f t="shared" si="9"/>
        <v>2760000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720000</v>
      </c>
      <c r="M13" s="137">
        <f t="shared" si="10"/>
        <v>5820000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5820000</v>
      </c>
      <c r="R13" s="137">
        <f t="shared" si="10"/>
        <v>0</v>
      </c>
      <c r="S13" s="137">
        <f t="shared" si="10"/>
        <v>5820000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:C16" si="11">VLOOKUP(B15,DS,2,0)</f>
        <v>Nguyễn Trường Giang</v>
      </c>
      <c r="D15" s="113" t="str">
        <f t="shared" ref="D15:D16" si="12">VLOOKUP(B15,DS,3,0)</f>
        <v>Thợ in</v>
      </c>
      <c r="E15" s="87">
        <f t="shared" ref="E15:E16" si="13">VLOOKUP(B15,DS,4,0)</f>
        <v>2200000</v>
      </c>
      <c r="F15" s="89">
        <f>VLOOKUP(B15,'CC -1'!$B$9:$AS$18,36,0)</f>
        <v>24</v>
      </c>
      <c r="G15" s="142">
        <f t="shared" ref="G15:G16" si="14">ROUND(E15/$U$2*F15,0)</f>
        <v>2200000</v>
      </c>
      <c r="H15" s="89">
        <f>(VLOOKUP(B15,'CC -1'!$B$9:$AS$18,37,0)+VLOOKUP(B15,'CC -1'!$B$9:$AS$18,38,0))</f>
        <v>0</v>
      </c>
      <c r="I15" s="142">
        <f t="shared" ref="I15:I16" si="15">ROUND(E15/$U$2*H15,0)</f>
        <v>0</v>
      </c>
      <c r="J15" s="143">
        <f t="shared" ref="J15:K16" si="16">F15+H15</f>
        <v>24</v>
      </c>
      <c r="K15" s="37">
        <f t="shared" si="16"/>
        <v>2200000</v>
      </c>
      <c r="L15" s="87">
        <f t="shared" ref="L15:L16" si="17">+F15*15000</f>
        <v>360000</v>
      </c>
      <c r="M15" s="38">
        <f t="shared" ref="M15:M16" si="18">K15+L15</f>
        <v>2560000</v>
      </c>
      <c r="N15" s="38">
        <f>IF(VLOOKUP(B15,DS,9,0)="x",'L - 1'!E15*$N$4,0)</f>
        <v>0</v>
      </c>
      <c r="O15" s="38">
        <f t="shared" ref="O15:O16" si="19">IF(VLOOKUP(B15,DS,9,0)="x",E15*0.015,0)</f>
        <v>0</v>
      </c>
      <c r="P15" s="38">
        <f t="shared" ref="P15:P16" si="20">IF(VLOOKUP(B15,DS,9,0)="x",E15*0.01,0)</f>
        <v>0</v>
      </c>
      <c r="Q15" s="37">
        <f>M15-SUM(N15:P15)</f>
        <v>2560000</v>
      </c>
      <c r="R15" s="37">
        <f t="shared" ref="R15:R16" si="21">VLOOKUP(B15,DS,23,0)</f>
        <v>0</v>
      </c>
      <c r="S15" s="43">
        <f>Q15-R15</f>
        <v>2560000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si="11"/>
        <v>Đoàn Hồng Phong</v>
      </c>
      <c r="D16" s="113" t="str">
        <f t="shared" si="12"/>
        <v>Thợ đóng - xả</v>
      </c>
      <c r="E16" s="87">
        <f t="shared" si="13"/>
        <v>2200000</v>
      </c>
      <c r="F16" s="89">
        <f>VLOOKUP(B16,'CC -1'!$B$9:$AS$18,36,0)</f>
        <v>24</v>
      </c>
      <c r="G16" s="142">
        <f t="shared" si="14"/>
        <v>2200000</v>
      </c>
      <c r="H16" s="89">
        <f>(VLOOKUP(B16,'CC -1'!$B$9:$AS$18,37,0)+VLOOKUP(B16,'CC -1'!$B$9:$AS$18,38,0))</f>
        <v>0</v>
      </c>
      <c r="I16" s="142">
        <f t="shared" si="15"/>
        <v>0</v>
      </c>
      <c r="J16" s="143">
        <f t="shared" si="16"/>
        <v>24</v>
      </c>
      <c r="K16" s="37">
        <f t="shared" si="16"/>
        <v>2200000</v>
      </c>
      <c r="L16" s="87">
        <f t="shared" si="17"/>
        <v>360000</v>
      </c>
      <c r="M16" s="38">
        <f t="shared" si="18"/>
        <v>2560000</v>
      </c>
      <c r="N16" s="38">
        <f>IF(VLOOKUP(B16,DS,9,0)="x",'L - 1'!E16*$N$4,0)</f>
        <v>0</v>
      </c>
      <c r="O16" s="38">
        <f t="shared" si="19"/>
        <v>0</v>
      </c>
      <c r="P16" s="38">
        <f t="shared" si="20"/>
        <v>0</v>
      </c>
      <c r="Q16" s="37">
        <f t="shared" ref="Q16" si="22">M16-SUM(N16:P16)</f>
        <v>2560000</v>
      </c>
      <c r="R16" s="37">
        <f t="shared" si="21"/>
        <v>0</v>
      </c>
      <c r="S16" s="43">
        <f t="shared" ref="S16" si="23">Q16-R16</f>
        <v>2560000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24">SUM(K14:K17)</f>
        <v>4400000</v>
      </c>
      <c r="L18" s="137">
        <f t="shared" si="24"/>
        <v>720000</v>
      </c>
      <c r="M18" s="137">
        <f t="shared" si="24"/>
        <v>5120000</v>
      </c>
      <c r="N18" s="137">
        <f t="shared" si="24"/>
        <v>0</v>
      </c>
      <c r="O18" s="137">
        <f t="shared" si="24"/>
        <v>0</v>
      </c>
      <c r="P18" s="137">
        <f t="shared" si="24"/>
        <v>0</v>
      </c>
      <c r="Q18" s="137">
        <f t="shared" si="24"/>
        <v>5120000</v>
      </c>
      <c r="R18" s="137">
        <f t="shared" si="24"/>
        <v>0</v>
      </c>
      <c r="S18" s="137">
        <f t="shared" si="24"/>
        <v>5120000</v>
      </c>
      <c r="T18" s="24"/>
      <c r="U18" s="222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01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E5:I6 N5:P6 L5 L21 J6:K7 L7 A24:T57 U30:U57 N17:S17 V24:IK57 W10:W12 J17:L17 A58:IK65325 Q10:S12 AF14:IK14 V13:IK13 A10:B13 D13:T13 D18:T18 AF5:IK12" name="Range1"/>
    <protectedRange password="CC78" sqref="F7:H7" name="Range1_4"/>
    <protectedRange password="CC78" sqref="V21:IK22 S21:T22 N21:Q22 E21:I22" name="Range1_1_1"/>
    <protectedRange password="CC78" sqref="U1 W1:IK3 V4:IK4 B4:T4 X10:AE12 R2:S3 B1:Q3 U17:U29 X14:AE14 U10:U14 U4:U9 X5:AE9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5:S16 AF15:IK16 W15:W16 A15:B16" name="Range1_5"/>
    <protectedRange password="CC78" sqref="U15:U16 X15:AE16" name="Range1_2_3"/>
    <protectedRange password="CC78" sqref="V15:V16" name="Range1_1_3"/>
    <protectedRange password="CC78" sqref="K10:K12 K15:K16" name="Range1_6"/>
    <protectedRange password="CC78" sqref="A2:A3" name="Range1_2_1_3"/>
  </protectedRanges>
  <autoFilter ref="A7:AE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4" width="3.42578125" style="121" hidden="1" customWidth="1"/>
    <col min="35" max="36" width="4.42578125" style="2" customWidth="1"/>
    <col min="37" max="37" width="5.5703125" style="97" customWidth="1"/>
    <col min="38" max="38" width="6.140625" style="2" customWidth="1"/>
    <col min="39" max="41" width="5" style="2" hidden="1" customWidth="1"/>
    <col min="42" max="42" width="5" style="2" customWidth="1"/>
    <col min="43" max="43" width="11.7109375" style="2" customWidth="1"/>
    <col min="44" max="44" width="9.85546875" style="2" customWidth="1"/>
    <col min="45" max="45" width="3.7109375" style="2" customWidth="1"/>
    <col min="46" max="46" width="8.5703125" style="2" customWidth="1"/>
    <col min="47" max="16384" width="3.7109375" style="2"/>
  </cols>
  <sheetData>
    <row r="1" spans="1:89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52"/>
      <c r="AJ1" s="52"/>
      <c r="AK1" s="258" t="s">
        <v>175</v>
      </c>
      <c r="AL1" s="259"/>
      <c r="AM1" s="259"/>
      <c r="AN1" s="259"/>
      <c r="AO1" s="259"/>
      <c r="AP1" s="259"/>
      <c r="AQ1" s="260"/>
      <c r="AR1" s="54"/>
    </row>
    <row r="2" spans="1:89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52"/>
      <c r="AJ2" s="52"/>
      <c r="AK2" s="93"/>
      <c r="AL2" s="56"/>
      <c r="AM2" s="56"/>
      <c r="AN2" s="56"/>
      <c r="AO2" s="56"/>
      <c r="AP2" s="56"/>
      <c r="AQ2" s="92"/>
      <c r="AR2" s="92"/>
    </row>
    <row r="3" spans="1:89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52"/>
      <c r="AJ3" s="52"/>
      <c r="AK3" s="93"/>
      <c r="AL3" s="54"/>
      <c r="AM3" s="54"/>
      <c r="AN3" s="54"/>
      <c r="AO3" s="54"/>
      <c r="AP3" s="54"/>
      <c r="AQ3" s="59"/>
      <c r="AR3" s="59"/>
    </row>
    <row r="4" spans="1:89" ht="14.25" customHeight="1">
      <c r="A4" s="60"/>
      <c r="B4" s="60"/>
      <c r="C4" s="153"/>
      <c r="D4" s="152"/>
      <c r="E4" s="61">
        <v>41671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0"/>
      <c r="AJ4" s="60"/>
      <c r="AK4" s="94"/>
      <c r="AL4" s="60"/>
      <c r="AM4" s="60"/>
      <c r="AN4" s="60"/>
      <c r="AO4" s="60"/>
      <c r="AP4" s="60"/>
      <c r="AQ4" s="60"/>
      <c r="AR4" s="98"/>
    </row>
    <row r="5" spans="1:89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41671</v>
      </c>
      <c r="G5" s="115">
        <f t="shared" ref="G5:AG5" si="0">F5+1</f>
        <v>41672</v>
      </c>
      <c r="H5" s="115">
        <f t="shared" si="0"/>
        <v>41673</v>
      </c>
      <c r="I5" s="115">
        <f t="shared" si="0"/>
        <v>41674</v>
      </c>
      <c r="J5" s="115">
        <f t="shared" si="0"/>
        <v>41675</v>
      </c>
      <c r="K5" s="115">
        <f t="shared" si="0"/>
        <v>41676</v>
      </c>
      <c r="L5" s="115">
        <f t="shared" si="0"/>
        <v>41677</v>
      </c>
      <c r="M5" s="115">
        <f t="shared" si="0"/>
        <v>41678</v>
      </c>
      <c r="N5" s="115">
        <f t="shared" si="0"/>
        <v>41679</v>
      </c>
      <c r="O5" s="115">
        <f t="shared" si="0"/>
        <v>41680</v>
      </c>
      <c r="P5" s="115">
        <f t="shared" si="0"/>
        <v>41681</v>
      </c>
      <c r="Q5" s="115">
        <f t="shared" si="0"/>
        <v>41682</v>
      </c>
      <c r="R5" s="115">
        <f t="shared" si="0"/>
        <v>41683</v>
      </c>
      <c r="S5" s="115">
        <f t="shared" si="0"/>
        <v>41684</v>
      </c>
      <c r="T5" s="115">
        <f t="shared" si="0"/>
        <v>41685</v>
      </c>
      <c r="U5" s="115">
        <f t="shared" si="0"/>
        <v>41686</v>
      </c>
      <c r="V5" s="115">
        <f t="shared" si="0"/>
        <v>41687</v>
      </c>
      <c r="W5" s="115">
        <f t="shared" si="0"/>
        <v>41688</v>
      </c>
      <c r="X5" s="115">
        <f t="shared" si="0"/>
        <v>41689</v>
      </c>
      <c r="Y5" s="115">
        <f t="shared" si="0"/>
        <v>41690</v>
      </c>
      <c r="Z5" s="115">
        <f t="shared" si="0"/>
        <v>41691</v>
      </c>
      <c r="AA5" s="115">
        <f t="shared" si="0"/>
        <v>41692</v>
      </c>
      <c r="AB5" s="115">
        <f t="shared" si="0"/>
        <v>41693</v>
      </c>
      <c r="AC5" s="115">
        <f t="shared" si="0"/>
        <v>41694</v>
      </c>
      <c r="AD5" s="115">
        <f t="shared" si="0"/>
        <v>41695</v>
      </c>
      <c r="AE5" s="115">
        <f t="shared" si="0"/>
        <v>41696</v>
      </c>
      <c r="AF5" s="115">
        <f t="shared" si="0"/>
        <v>41697</v>
      </c>
      <c r="AG5" s="115">
        <f t="shared" si="0"/>
        <v>41698</v>
      </c>
      <c r="AH5" s="115">
        <f>AG5+1</f>
        <v>41699</v>
      </c>
      <c r="AI5" s="264" t="s">
        <v>15</v>
      </c>
      <c r="AJ5" s="265"/>
      <c r="AK5" s="266"/>
      <c r="AL5" s="267" t="s">
        <v>45</v>
      </c>
      <c r="AM5" s="267" t="s">
        <v>41</v>
      </c>
      <c r="AN5" s="267" t="s">
        <v>42</v>
      </c>
      <c r="AO5" s="267" t="s">
        <v>43</v>
      </c>
      <c r="AP5" s="267" t="s">
        <v>44</v>
      </c>
      <c r="AQ5" s="263" t="s">
        <v>0</v>
      </c>
      <c r="AR5" s="257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</row>
    <row r="6" spans="1:89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T.Bảy</v>
      </c>
      <c r="G6" s="171" t="str">
        <f t="shared" ref="G6:AH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2" t="s">
        <v>16</v>
      </c>
      <c r="AJ6" s="172" t="s">
        <v>31</v>
      </c>
      <c r="AK6" s="173" t="s">
        <v>17</v>
      </c>
      <c r="AL6" s="268"/>
      <c r="AM6" s="268"/>
      <c r="AN6" s="268"/>
      <c r="AO6" s="268"/>
      <c r="AP6" s="268"/>
      <c r="AQ6" s="262"/>
      <c r="AR6" s="257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</row>
    <row r="7" spans="1:89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218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</row>
    <row r="8" spans="1:89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80"/>
      <c r="AR8" s="176"/>
    </row>
    <row r="9" spans="1:89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/>
      <c r="G9" s="140"/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241">
        <f>((SUM(F9:AH9))/8)-(SUMIF($F$6:$AH$6,"C.Nhật",F9:AH9)/8)</f>
        <v>22</v>
      </c>
      <c r="AJ9" s="241">
        <f>SUM(F10:AH10)/8*1.5</f>
        <v>0</v>
      </c>
      <c r="AK9" s="245">
        <f>SUMIF($F$6:$AH$6,"C.Nhật",$F9:$AH10)/8*2</f>
        <v>0</v>
      </c>
      <c r="AL9" s="247">
        <f>SUM(AI9:AK10)</f>
        <v>22</v>
      </c>
      <c r="AM9" s="249">
        <v>0</v>
      </c>
      <c r="AN9" s="247"/>
      <c r="AO9" s="247"/>
      <c r="AP9" s="247"/>
      <c r="AQ9" s="243"/>
      <c r="AR9" s="218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242"/>
      <c r="AJ10" s="242"/>
      <c r="AK10" s="246"/>
      <c r="AL10" s="248"/>
      <c r="AM10" s="250"/>
      <c r="AN10" s="248"/>
      <c r="AO10" s="248"/>
      <c r="AP10" s="248"/>
      <c r="AQ10" s="244"/>
      <c r="AR10" s="218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s="64" customFormat="1" ht="18" customHeight="1">
      <c r="A11" s="251"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/>
      <c r="G11" s="140"/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241">
        <f>((SUM(F11:AH11))/8)-(SUMIF($F$6:$AH$6,"C.Nhật",F11:AH11)/8)</f>
        <v>22</v>
      </c>
      <c r="AJ11" s="241">
        <f>SUM(F12:AH12)/8*1.5</f>
        <v>0</v>
      </c>
      <c r="AK11" s="245">
        <f>SUMIF($F$6:$AH$6,"C.Nhật",$F11:$AH12)/8*2</f>
        <v>0</v>
      </c>
      <c r="AL11" s="247">
        <f t="shared" ref="AL11" si="2">SUM(AI11:AK12)</f>
        <v>22</v>
      </c>
      <c r="AM11" s="249">
        <v>0</v>
      </c>
      <c r="AN11" s="247"/>
      <c r="AO11" s="247"/>
      <c r="AP11" s="247"/>
      <c r="AQ11" s="243"/>
      <c r="AR11" s="218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242"/>
      <c r="AJ12" s="242"/>
      <c r="AK12" s="246"/>
      <c r="AL12" s="248"/>
      <c r="AM12" s="250"/>
      <c r="AN12" s="248"/>
      <c r="AO12" s="248"/>
      <c r="AP12" s="248"/>
      <c r="AQ12" s="244"/>
      <c r="AR12" s="218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80"/>
      <c r="AR13" s="176"/>
    </row>
    <row r="14" spans="1:89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/>
      <c r="G14" s="140"/>
      <c r="H14" s="140"/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241">
        <f>((SUM(F14:AH14))/8)-(SUMIF($F$6:$AH$6,"C.Nhật",F14:AH14)/8)</f>
        <v>22</v>
      </c>
      <c r="AJ14" s="241">
        <f>SUM(F15:AH15)/8*1.5</f>
        <v>0</v>
      </c>
      <c r="AK14" s="245">
        <f>SUMIF($F$6:$AH$6,"C.Nhật",$F14:$AH15)/8*2</f>
        <v>0</v>
      </c>
      <c r="AL14" s="247">
        <f>SUM(AI14:AK15)</f>
        <v>22</v>
      </c>
      <c r="AM14" s="249">
        <v>0</v>
      </c>
      <c r="AN14" s="247"/>
      <c r="AO14" s="247"/>
      <c r="AP14" s="247"/>
      <c r="AQ14" s="243"/>
      <c r="AR14" s="218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9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242"/>
      <c r="AJ15" s="242"/>
      <c r="AK15" s="246"/>
      <c r="AL15" s="248"/>
      <c r="AM15" s="250"/>
      <c r="AN15" s="248"/>
      <c r="AO15" s="248"/>
      <c r="AP15" s="248"/>
      <c r="AQ15" s="244"/>
      <c r="AR15" s="218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9" s="64" customFormat="1" ht="18" customHeight="1">
      <c r="A16" s="251"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/>
      <c r="G16" s="140"/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241">
        <f>((SUM(F16:AH16))/8)-(SUMIF($F$6:$AH$6,"C.Nhật",F16:AH16)/8)</f>
        <v>22</v>
      </c>
      <c r="AJ16" s="241">
        <f>SUM(F17:AH17)/8*1.5</f>
        <v>0</v>
      </c>
      <c r="AK16" s="245">
        <f>SUMIF($F$6:$AH$6,"C.Nhật",$F16:$AH17)/8*2</f>
        <v>0</v>
      </c>
      <c r="AL16" s="247">
        <f t="shared" ref="AL16" si="3">SUM(AI16:AK17)</f>
        <v>22</v>
      </c>
      <c r="AM16" s="249">
        <v>0</v>
      </c>
      <c r="AN16" s="247"/>
      <c r="AO16" s="247"/>
      <c r="AP16" s="247"/>
      <c r="AQ16" s="243"/>
      <c r="AR16" s="218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91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242"/>
      <c r="AJ17" s="242"/>
      <c r="AK17" s="246"/>
      <c r="AL17" s="248"/>
      <c r="AM17" s="250"/>
      <c r="AN17" s="248"/>
      <c r="AO17" s="248"/>
      <c r="AP17" s="248"/>
      <c r="AQ17" s="244"/>
      <c r="AR17" s="218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4"/>
      <c r="AJ18" s="4"/>
      <c r="AK18" s="95"/>
      <c r="AL18" s="71"/>
      <c r="AM18" s="71"/>
      <c r="AN18" s="71"/>
      <c r="AO18" s="71"/>
      <c r="AP18" s="71"/>
      <c r="AQ18" s="4"/>
      <c r="AR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4"/>
      <c r="AJ19" s="4"/>
      <c r="AK19" s="95"/>
      <c r="AL19" s="71"/>
      <c r="AM19" s="71"/>
      <c r="AN19" s="71"/>
      <c r="AO19" s="71"/>
      <c r="AP19" s="71"/>
      <c r="AQ19" s="4"/>
      <c r="AR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4"/>
      <c r="AJ20" s="4"/>
      <c r="AK20" s="95"/>
      <c r="AL20" s="73"/>
      <c r="AM20" s="73"/>
      <c r="AN20" s="73"/>
      <c r="AO20" s="73"/>
      <c r="AP20" s="73"/>
      <c r="AQ20" s="4"/>
      <c r="AR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4"/>
      <c r="AJ21" s="4"/>
      <c r="AK21" s="95"/>
      <c r="AL21" s="73"/>
      <c r="AM21" s="73"/>
      <c r="AN21" s="73"/>
      <c r="AO21" s="73"/>
      <c r="AP21" s="73"/>
      <c r="AQ21" s="4"/>
      <c r="AR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4"/>
      <c r="AJ22" s="4"/>
      <c r="AK22" s="95"/>
      <c r="AL22" s="73"/>
      <c r="AM22" s="73"/>
      <c r="AN22" s="73"/>
      <c r="AO22" s="73"/>
      <c r="AP22" s="73"/>
      <c r="AQ22" s="4"/>
      <c r="AR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4"/>
      <c r="AJ23" s="4"/>
      <c r="AK23" s="95"/>
      <c r="AL23" s="73"/>
      <c r="AM23" s="73"/>
      <c r="AN23" s="73"/>
      <c r="AO23" s="73"/>
      <c r="AP23" s="73"/>
      <c r="AQ23" s="4"/>
      <c r="AR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74"/>
      <c r="AK24" s="96"/>
      <c r="AL24" s="10"/>
      <c r="AM24" s="10"/>
      <c r="AN24" s="10"/>
      <c r="AO24" s="10"/>
      <c r="AP24" s="10"/>
      <c r="AQ24" s="14"/>
      <c r="AR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2"/>
      <c r="AJ25" s="2"/>
      <c r="AK25" s="97"/>
      <c r="AL25" s="2"/>
      <c r="AM25" s="2"/>
      <c r="AN25" s="2"/>
      <c r="AO25" s="2"/>
      <c r="AP25" s="2"/>
      <c r="AQ25" s="2"/>
      <c r="AR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2"/>
      <c r="AJ26" s="2"/>
      <c r="AK26" s="97"/>
      <c r="AL26" s="2"/>
      <c r="AM26" s="2"/>
      <c r="AN26" s="2"/>
      <c r="AO26" s="2"/>
      <c r="AP26" s="2"/>
      <c r="AQ26" s="2"/>
      <c r="AR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2"/>
      <c r="AJ29" s="2"/>
      <c r="AK29" s="97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2"/>
      <c r="AJ30" s="2"/>
      <c r="AK30" s="97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2"/>
      <c r="AJ31" s="2"/>
      <c r="AK31" s="97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2"/>
      <c r="AJ32" s="2"/>
      <c r="AK32" s="97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2"/>
      <c r="AJ33" s="2"/>
      <c r="AK33" s="97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2"/>
      <c r="AJ34" s="2"/>
      <c r="AK34" s="97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K1:AQ1"/>
    <mergeCell ref="A5:A6"/>
    <mergeCell ref="B5:B6"/>
    <mergeCell ref="C5:C6"/>
    <mergeCell ref="D5:D6"/>
    <mergeCell ref="E5:E6"/>
    <mergeCell ref="AI5:AK5"/>
    <mergeCell ref="AL5:AL6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I9:AI10"/>
    <mergeCell ref="AJ9:AJ10"/>
    <mergeCell ref="AQ9:AQ10"/>
    <mergeCell ref="AN9:AN10"/>
    <mergeCell ref="AO9:AO10"/>
    <mergeCell ref="AP9:AP10"/>
    <mergeCell ref="A11:A12"/>
    <mergeCell ref="B11:B12"/>
    <mergeCell ref="C11:C12"/>
    <mergeCell ref="D11:D12"/>
    <mergeCell ref="AI11:AI12"/>
    <mergeCell ref="AJ11:AJ12"/>
    <mergeCell ref="AK11:AK12"/>
    <mergeCell ref="AL11:AL12"/>
    <mergeCell ref="AM11:AM12"/>
    <mergeCell ref="AK9:AK10"/>
    <mergeCell ref="AL9:AL10"/>
    <mergeCell ref="AM9:AM10"/>
    <mergeCell ref="AN11:AN12"/>
    <mergeCell ref="AO11:AO12"/>
    <mergeCell ref="AP11:AP12"/>
    <mergeCell ref="AQ11:AQ12"/>
    <mergeCell ref="A14:A15"/>
    <mergeCell ref="B14:B15"/>
    <mergeCell ref="C14:C15"/>
    <mergeCell ref="D14:D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16:A17"/>
    <mergeCell ref="B16:B17"/>
    <mergeCell ref="C16:C17"/>
    <mergeCell ref="D16:D17"/>
    <mergeCell ref="AI16:AI17"/>
    <mergeCell ref="AJ16:AJ17"/>
    <mergeCell ref="AQ16:AQ17"/>
    <mergeCell ref="AK16:AK17"/>
    <mergeCell ref="AL16:AL17"/>
    <mergeCell ref="AM16:AM17"/>
    <mergeCell ref="AN16:AN17"/>
    <mergeCell ref="AO16:AO17"/>
    <mergeCell ref="AP16:AP17"/>
  </mergeCells>
  <conditionalFormatting sqref="F5:AH6 F9:AH12 F14:AH17">
    <cfRule type="expression" dxfId="115" priority="11" stopIfTrue="1">
      <formula>IF(WEEKDAY(F$5)=1,TRUE,FALSE)</formula>
    </cfRule>
  </conditionalFormatting>
  <conditionalFormatting sqref="F14:G17">
    <cfRule type="expression" dxfId="114" priority="9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9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6" t="str">
        <f>"BẢNG THANH TOÁN LƯƠNG THÁNG"&amp;" "&amp;TEXT($E$4,"mm")&amp;" / "&amp;TEXT($E$4,"yyyy")</f>
        <v>BẢNG THANH TOÁN LƯƠNG THÁNG 02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22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-2'!$E$4</f>
        <v>41671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9" t="s">
        <v>40</v>
      </c>
      <c r="G7" s="217" t="s">
        <v>18</v>
      </c>
      <c r="H7" s="219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-2'!$B$8:$AQ$17,34,0)</f>
        <v>22</v>
      </c>
      <c r="G10" s="142">
        <f t="shared" ref="G10:G11" si="3">ROUND(E10/$U$2*F10,0)</f>
        <v>2700000</v>
      </c>
      <c r="H10" s="89">
        <f>(VLOOKUP(B10,'CC -2'!$B$8:$AQ$17,35,0)+VLOOKUP(B10,'CC -2'!$B$8:$AQ$17,36,0))</f>
        <v>0</v>
      </c>
      <c r="I10" s="142">
        <f t="shared" ref="I10:I11" si="4">ROUND(E10/$U$2*H10,0)</f>
        <v>0</v>
      </c>
      <c r="J10" s="90">
        <f t="shared" ref="J10:K11" si="5">F10+H10</f>
        <v>22</v>
      </c>
      <c r="K10" s="37">
        <f>G10+I10</f>
        <v>2700000</v>
      </c>
      <c r="L10" s="87">
        <f t="shared" ref="L10:L11" si="6">+F10*15000</f>
        <v>330000</v>
      </c>
      <c r="M10" s="38">
        <f t="shared" ref="M10:M11" si="7">K10+L10</f>
        <v>3030000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3030000</v>
      </c>
      <c r="R10" s="37">
        <f>VLOOKUP(B10,DS,23,0)</f>
        <v>0</v>
      </c>
      <c r="S10" s="43">
        <f t="shared" ref="S10:S11" si="9">Q10-R10</f>
        <v>3030000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-2'!$B$8:$AQ$17,34,0)</f>
        <v>22</v>
      </c>
      <c r="G11" s="142">
        <f t="shared" si="3"/>
        <v>2400000</v>
      </c>
      <c r="H11" s="89">
        <f>(VLOOKUP(B11,'CC -2'!$B$8:$AQ$17,35,0)+VLOOKUP(B11,'CC -2'!$B$8:$AQ$17,36,0))</f>
        <v>0</v>
      </c>
      <c r="I11" s="142">
        <f t="shared" si="4"/>
        <v>0</v>
      </c>
      <c r="J11" s="90">
        <f t="shared" si="5"/>
        <v>22</v>
      </c>
      <c r="K11" s="37">
        <f t="shared" si="5"/>
        <v>2400000</v>
      </c>
      <c r="L11" s="87">
        <f t="shared" si="6"/>
        <v>330000</v>
      </c>
      <c r="M11" s="38">
        <f t="shared" si="7"/>
        <v>2730000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2730000</v>
      </c>
      <c r="R11" s="37">
        <f>VLOOKUP(B11,DS,23,0)</f>
        <v>0</v>
      </c>
      <c r="S11" s="43">
        <f t="shared" si="9"/>
        <v>2730000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660000</v>
      </c>
      <c r="M13" s="137">
        <f t="shared" si="10"/>
        <v>5760000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5760000</v>
      </c>
      <c r="R13" s="137">
        <f t="shared" si="10"/>
        <v>0</v>
      </c>
      <c r="S13" s="137">
        <f t="shared" si="10"/>
        <v>5760000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-2'!$B$8:$AQ$17,34,0)</f>
        <v>22</v>
      </c>
      <c r="G15" s="142">
        <f t="shared" ref="G15" si="14">ROUND(E15/$U$2*F15,0)</f>
        <v>2200000</v>
      </c>
      <c r="H15" s="89">
        <f>(VLOOKUP(B15,'CC -2'!$B$8:$AQ$17,35,0)+VLOOKUP(B15,'CC -2'!$B$8:$AQ$17,36,0))</f>
        <v>0</v>
      </c>
      <c r="I15" s="142">
        <f t="shared" ref="I15" si="15">ROUND(E15/$U$2*H15,0)</f>
        <v>0</v>
      </c>
      <c r="J15" s="143">
        <f t="shared" ref="J15:K15" si="16">F15+H15</f>
        <v>22</v>
      </c>
      <c r="K15" s="37">
        <f t="shared" si="16"/>
        <v>2200000</v>
      </c>
      <c r="L15" s="87">
        <f t="shared" ref="L15" si="17">+F15*15000</f>
        <v>330000</v>
      </c>
      <c r="M15" s="38">
        <f t="shared" ref="M15" si="18">K15+L15</f>
        <v>2530000</v>
      </c>
      <c r="N15" s="38">
        <f>IF(VLOOKUP(B15,DS,9,0)="x",'L - 2'!E15*$N$4,0)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2530000</v>
      </c>
      <c r="R15" s="37">
        <f t="shared" ref="R15" si="21">VLOOKUP(B15,DS,23,0)</f>
        <v>0</v>
      </c>
      <c r="S15" s="43">
        <f>Q15-R15</f>
        <v>2530000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-2'!$B$8:$AQ$17,34,0)</f>
        <v>22</v>
      </c>
      <c r="G16" s="142">
        <f t="shared" ref="G16" si="25">ROUND(E16/$U$2*F16,0)</f>
        <v>2200000</v>
      </c>
      <c r="H16" s="89">
        <f>(VLOOKUP(B16,'CC -2'!$B$8:$AQ$17,35,0)+VLOOKUP(B16,'CC -2'!$B$8:$AQ$17,36,0))</f>
        <v>0</v>
      </c>
      <c r="I16" s="142">
        <f t="shared" ref="I16" si="26">ROUND(E16/$U$2*H16,0)</f>
        <v>0</v>
      </c>
      <c r="J16" s="143">
        <f t="shared" ref="J16" si="27">F16+H16</f>
        <v>22</v>
      </c>
      <c r="K16" s="37">
        <f t="shared" ref="K16" si="28">G16+I16</f>
        <v>2200000</v>
      </c>
      <c r="L16" s="87">
        <f t="shared" ref="L16" si="29">+F16*15000</f>
        <v>330000</v>
      </c>
      <c r="M16" s="38">
        <f t="shared" ref="M16" si="30">K16+L16</f>
        <v>2530000</v>
      </c>
      <c r="N16" s="38">
        <f>IF(VLOOKUP(B16,DS,9,0)="x",'L - 2'!E16*$N$4,0)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2530000</v>
      </c>
      <c r="R16" s="37">
        <f t="shared" ref="R16" si="34">VLOOKUP(B16,DS,23,0)</f>
        <v>0</v>
      </c>
      <c r="S16" s="43">
        <f t="shared" ref="S16" si="35">Q16-R16</f>
        <v>2530000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660000</v>
      </c>
      <c r="M18" s="137">
        <f t="shared" si="36"/>
        <v>5060000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5060000</v>
      </c>
      <c r="R18" s="137">
        <f t="shared" si="36"/>
        <v>0</v>
      </c>
      <c r="S18" s="137">
        <f t="shared" si="36"/>
        <v>5060000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02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03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41699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41699</v>
      </c>
      <c r="G5" s="115">
        <f t="shared" ref="G5:AJ5" si="0">F5+1</f>
        <v>41700</v>
      </c>
      <c r="H5" s="115">
        <f t="shared" si="0"/>
        <v>41701</v>
      </c>
      <c r="I5" s="115">
        <f t="shared" si="0"/>
        <v>41702</v>
      </c>
      <c r="J5" s="115">
        <f t="shared" si="0"/>
        <v>41703</v>
      </c>
      <c r="K5" s="115">
        <f t="shared" si="0"/>
        <v>41704</v>
      </c>
      <c r="L5" s="115">
        <f t="shared" si="0"/>
        <v>41705</v>
      </c>
      <c r="M5" s="115">
        <f t="shared" si="0"/>
        <v>41706</v>
      </c>
      <c r="N5" s="115">
        <f t="shared" si="0"/>
        <v>41707</v>
      </c>
      <c r="O5" s="115">
        <f t="shared" si="0"/>
        <v>41708</v>
      </c>
      <c r="P5" s="115">
        <f t="shared" si="0"/>
        <v>41709</v>
      </c>
      <c r="Q5" s="115">
        <f t="shared" si="0"/>
        <v>41710</v>
      </c>
      <c r="R5" s="115">
        <f t="shared" si="0"/>
        <v>41711</v>
      </c>
      <c r="S5" s="115">
        <f t="shared" si="0"/>
        <v>41712</v>
      </c>
      <c r="T5" s="115">
        <f t="shared" si="0"/>
        <v>41713</v>
      </c>
      <c r="U5" s="115">
        <f t="shared" si="0"/>
        <v>41714</v>
      </c>
      <c r="V5" s="115">
        <f t="shared" si="0"/>
        <v>41715</v>
      </c>
      <c r="W5" s="115">
        <f t="shared" si="0"/>
        <v>41716</v>
      </c>
      <c r="X5" s="115">
        <f t="shared" si="0"/>
        <v>41717</v>
      </c>
      <c r="Y5" s="115">
        <f t="shared" si="0"/>
        <v>41718</v>
      </c>
      <c r="Z5" s="115">
        <f t="shared" si="0"/>
        <v>41719</v>
      </c>
      <c r="AA5" s="115">
        <f t="shared" si="0"/>
        <v>41720</v>
      </c>
      <c r="AB5" s="115">
        <f t="shared" si="0"/>
        <v>41721</v>
      </c>
      <c r="AC5" s="115">
        <f t="shared" si="0"/>
        <v>41722</v>
      </c>
      <c r="AD5" s="115">
        <f t="shared" si="0"/>
        <v>41723</v>
      </c>
      <c r="AE5" s="115">
        <f t="shared" si="0"/>
        <v>41724</v>
      </c>
      <c r="AF5" s="115">
        <f t="shared" si="0"/>
        <v>41725</v>
      </c>
      <c r="AG5" s="115">
        <f t="shared" si="0"/>
        <v>41726</v>
      </c>
      <c r="AH5" s="115">
        <f>AG5+1</f>
        <v>41727</v>
      </c>
      <c r="AI5" s="115">
        <f t="shared" si="0"/>
        <v>41728</v>
      </c>
      <c r="AJ5" s="115">
        <f t="shared" si="0"/>
        <v>41729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T.Bảy</v>
      </c>
      <c r="G6" s="171" t="str">
        <f t="shared" ref="G6:AJ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 t="str">
        <f t="shared" si="1"/>
        <v>T.Hai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8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140">
        <v>8</v>
      </c>
      <c r="AK9" s="241">
        <f>((SUM(F9:AJ9))/8)-(SUMIF($F$6:$AJ$6,"C.Nhật",F9:AJ9)/8)</f>
        <v>26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26</v>
      </c>
      <c r="AO9" s="249">
        <v>0</v>
      </c>
      <c r="AP9" s="247"/>
      <c r="AQ9" s="247"/>
      <c r="AR9" s="247"/>
      <c r="AS9" s="243"/>
      <c r="AT9" s="218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218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140">
        <v>8</v>
      </c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5">
        <f t="shared" ref="AM11" si="4">SUMIF($F$6:$AJ$6,"C.Nhật",$F11:$AJ12)/8*2</f>
        <v>0</v>
      </c>
      <c r="AN11" s="247">
        <f t="shared" ref="AN11" si="5">SUM(AK11:AM12)</f>
        <v>26</v>
      </c>
      <c r="AO11" s="249">
        <v>0</v>
      </c>
      <c r="AP11" s="247"/>
      <c r="AQ11" s="247"/>
      <c r="AR11" s="247"/>
      <c r="AS11" s="243"/>
      <c r="AT11" s="21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1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>
        <v>8</v>
      </c>
      <c r="G14" s="140"/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>
        <v>8</v>
      </c>
      <c r="N14" s="140"/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>
        <v>8</v>
      </c>
      <c r="U14" s="140"/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>
        <v>8</v>
      </c>
      <c r="AB14" s="140"/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>
        <v>8</v>
      </c>
      <c r="AI14" s="140"/>
      <c r="AJ14" s="140">
        <v>8</v>
      </c>
      <c r="AK14" s="241">
        <f t="shared" ref="AK14" si="6">((SUM(F14:AJ14))/8)-(SUMIF($F$6:$AJ$6,"C.Nhật",F14:AJ14)/8)</f>
        <v>26</v>
      </c>
      <c r="AL14" s="241">
        <f t="shared" ref="AL14" si="7">SUM(F15:AJ15)/8*1.5</f>
        <v>0</v>
      </c>
      <c r="AM14" s="245">
        <f>SUMIF($F$6:$AJ$6,"C.Nhật",$F14:$AJ15)/8*2</f>
        <v>0</v>
      </c>
      <c r="AN14" s="247">
        <f>SUM(AK14:AM15)</f>
        <v>26</v>
      </c>
      <c r="AO14" s="249">
        <v>0</v>
      </c>
      <c r="AP14" s="247"/>
      <c r="AQ14" s="247"/>
      <c r="AR14" s="247"/>
      <c r="AS14" s="243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2"/>
      <c r="AL15" s="242"/>
      <c r="AM15" s="246"/>
      <c r="AN15" s="248"/>
      <c r="AO15" s="250"/>
      <c r="AP15" s="248"/>
      <c r="AQ15" s="248"/>
      <c r="AR15" s="248"/>
      <c r="AS15" s="244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1">
        <f>A14+1</f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140">
        <v>8</v>
      </c>
      <c r="AK16" s="241">
        <f t="shared" ref="AK16" si="8">((SUM(F16:AJ16))/8)-(SUMIF($F$6:$AJ$6,"C.Nhật",F16:AJ16)/8)</f>
        <v>26</v>
      </c>
      <c r="AL16" s="241">
        <f t="shared" ref="AL16" si="9">SUM(F17:AJ17)/8*1.5</f>
        <v>0</v>
      </c>
      <c r="AM16" s="245">
        <f>SUMIF($F$6:$AJ$6,"C.Nhật",$F16:$AJ17)/8*2</f>
        <v>0</v>
      </c>
      <c r="AN16" s="247">
        <f t="shared" ref="AN16" si="10">SUM(AK16:AM17)</f>
        <v>26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121"/>
      <c r="AK29" s="2"/>
      <c r="AL29" s="2"/>
      <c r="AM29" s="97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121"/>
      <c r="AK30" s="2"/>
      <c r="AL30" s="2"/>
      <c r="AM30" s="97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121"/>
      <c r="AK31" s="2"/>
      <c r="AL31" s="2"/>
      <c r="AM31" s="97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121"/>
      <c r="AK32" s="2"/>
      <c r="AL32" s="2"/>
      <c r="AM32" s="97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121"/>
      <c r="AK33" s="2"/>
      <c r="AL33" s="2"/>
      <c r="AM33" s="97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121"/>
      <c r="AK34" s="2"/>
      <c r="AL34" s="2"/>
      <c r="AM34" s="97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9:A10"/>
    <mergeCell ref="B9:B10"/>
    <mergeCell ref="C9:C10"/>
    <mergeCell ref="D9:D10"/>
    <mergeCell ref="AK9:AK10"/>
    <mergeCell ref="B11:B12"/>
    <mergeCell ref="C11:C12"/>
    <mergeCell ref="D11:D12"/>
    <mergeCell ref="AK11:AK12"/>
    <mergeCell ref="AT5:AT6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R14:AR15"/>
    <mergeCell ref="AL11:AL12"/>
    <mergeCell ref="AM11:AM12"/>
    <mergeCell ref="AN11:AN12"/>
    <mergeCell ref="AO11:AO12"/>
    <mergeCell ref="A11:A12"/>
    <mergeCell ref="AS14:AS15"/>
    <mergeCell ref="AP14:AP15"/>
    <mergeCell ref="AQ14:AQ15"/>
    <mergeCell ref="AM14:AM15"/>
    <mergeCell ref="AN14:AN15"/>
    <mergeCell ref="AO14:AO15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L16:AL17"/>
    <mergeCell ref="AM16:AM17"/>
    <mergeCell ref="AN16:AN17"/>
    <mergeCell ref="AO16:AO17"/>
  </mergeCells>
  <conditionalFormatting sqref="F5:AJ6 F9:AJ12">
    <cfRule type="expression" dxfId="113" priority="19" stopIfTrue="1">
      <formula>IF(WEEKDAY(F$5)=1,TRUE,FALSE)</formula>
    </cfRule>
  </conditionalFormatting>
  <conditionalFormatting sqref="F9:AJ12">
    <cfRule type="expression" dxfId="112" priority="18" stopIfTrue="1">
      <formula>IF(WEEKDAY(F$5)=1,TRUE,FALSE)</formula>
    </cfRule>
  </conditionalFormatting>
  <conditionalFormatting sqref="F14:AJ17">
    <cfRule type="expression" dxfId="111" priority="2" stopIfTrue="1">
      <formula>IF(WEEKDAY(F$5)=1,TRUE,FALSE)</formula>
    </cfRule>
  </conditionalFormatting>
  <conditionalFormatting sqref="F14:AJ17">
    <cfRule type="expression" dxfId="1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6" t="str">
        <f>"BẢNG THANH TOÁN LƯƠNG THÁNG"&amp;" "&amp;TEXT($E$4,"mm")&amp;" / "&amp;TEXT($E$4,"yyyy")</f>
        <v>BẢNG THANH TOÁN LƯƠNG THÁNG 03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-3'!$E$4</f>
        <v>41699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9" t="s">
        <v>40</v>
      </c>
      <c r="G7" s="217" t="s">
        <v>18</v>
      </c>
      <c r="H7" s="219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-3'!$B$8:$AS$17,36,0)</f>
        <v>26</v>
      </c>
      <c r="G10" s="142">
        <f t="shared" ref="G10:G11" si="3">ROUND(E10/$U$2*F10,0)</f>
        <v>2700000</v>
      </c>
      <c r="H10" s="89">
        <f>(VLOOKUP(B10,'CC -3'!$B$8:$AS$17,37,0)+VLOOKUP(B10,'CC -3'!$B$8:$AS$17,38,0))</f>
        <v>0</v>
      </c>
      <c r="I10" s="142">
        <f t="shared" ref="I10:I11" si="4">ROUND(E10/$U$2*H10,0)</f>
        <v>0</v>
      </c>
      <c r="J10" s="90">
        <f t="shared" ref="J10:K11" si="5">F10+H10</f>
        <v>26</v>
      </c>
      <c r="K10" s="37">
        <f>G10+I10</f>
        <v>2700000</v>
      </c>
      <c r="L10" s="87">
        <f t="shared" ref="L10:L11" si="6">+F10*15000</f>
        <v>390000</v>
      </c>
      <c r="M10" s="38">
        <f t="shared" ref="M10:M11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3090000</v>
      </c>
      <c r="R10" s="37">
        <f>VLOOKUP(B10,DS,23,0)</f>
        <v>0</v>
      </c>
      <c r="S10" s="43">
        <f t="shared" ref="S10:S11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-3'!$B$8:$AS$17,36,0)</f>
        <v>26</v>
      </c>
      <c r="G11" s="142">
        <f t="shared" si="3"/>
        <v>2400000</v>
      </c>
      <c r="H11" s="89">
        <f>(VLOOKUP(B11,'CC -3'!$B$8:$AS$17,37,0)+VLOOKUP(B11,'CC -3'!$B$8:$AS$17,38,0))</f>
        <v>0</v>
      </c>
      <c r="I11" s="142">
        <f t="shared" si="4"/>
        <v>0</v>
      </c>
      <c r="J11" s="90">
        <f t="shared" si="5"/>
        <v>26</v>
      </c>
      <c r="K11" s="37">
        <f t="shared" si="5"/>
        <v>2400000</v>
      </c>
      <c r="L11" s="87">
        <f t="shared" si="6"/>
        <v>390000</v>
      </c>
      <c r="M11" s="38">
        <f t="shared" si="7"/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2790000</v>
      </c>
      <c r="R11" s="37">
        <f>VLOOKUP(B11,DS,23,0)</f>
        <v>0</v>
      </c>
      <c r="S11" s="43">
        <f t="shared" si="9"/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0">SUM(K9:K11)</f>
        <v>5100000</v>
      </c>
      <c r="L13" s="137">
        <f t="shared" si="10"/>
        <v>780000</v>
      </c>
      <c r="M13" s="137">
        <f t="shared" si="10"/>
        <v>5880000</v>
      </c>
      <c r="N13" s="137">
        <f t="shared" si="10"/>
        <v>0</v>
      </c>
      <c r="O13" s="137">
        <f t="shared" si="10"/>
        <v>0</v>
      </c>
      <c r="P13" s="137">
        <f t="shared" si="10"/>
        <v>0</v>
      </c>
      <c r="Q13" s="137">
        <f t="shared" si="10"/>
        <v>5880000</v>
      </c>
      <c r="R13" s="137">
        <f t="shared" si="10"/>
        <v>0</v>
      </c>
      <c r="S13" s="137">
        <f t="shared" si="10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1">VLOOKUP(B15,DS,2,0)</f>
        <v>Nguyễn Trường Giang</v>
      </c>
      <c r="D15" s="113" t="str">
        <f t="shared" ref="D15" si="12">VLOOKUP(B15,DS,3,0)</f>
        <v>Thợ in</v>
      </c>
      <c r="E15" s="87">
        <f t="shared" ref="E15" si="13">VLOOKUP(B15,DS,4,0)</f>
        <v>2200000</v>
      </c>
      <c r="F15" s="89">
        <f>VLOOKUP(B15,'CC -3'!$B$8:$AS$17,36,0)</f>
        <v>26</v>
      </c>
      <c r="G15" s="142">
        <f t="shared" ref="G15" si="14">ROUND(E15/$U$2*F15,0)</f>
        <v>2200000</v>
      </c>
      <c r="H15" s="89">
        <f>(VLOOKUP(B15,'CC -3'!$B$8:$AS$17,37,0)+VLOOKUP(B15,'CC -3'!$B$8:$AS$17,38,0))</f>
        <v>0</v>
      </c>
      <c r="I15" s="142">
        <f t="shared" ref="I15" si="15">ROUND(E15/$U$2*H15,0)</f>
        <v>0</v>
      </c>
      <c r="J15" s="143">
        <f t="shared" ref="J15:K15" si="16">F15+H15</f>
        <v>26</v>
      </c>
      <c r="K15" s="37">
        <f t="shared" si="16"/>
        <v>2200000</v>
      </c>
      <c r="L15" s="87">
        <f t="shared" ref="L15" si="17">+F15*15000</f>
        <v>390000</v>
      </c>
      <c r="M15" s="38">
        <f t="shared" ref="M15" si="18">K15+L15</f>
        <v>2590000</v>
      </c>
      <c r="N15" s="38">
        <f>IF(VLOOKUP(B15,DS,9,0)="x",'L - 3'!E15*$N$4,0)</f>
        <v>0</v>
      </c>
      <c r="O15" s="38">
        <f t="shared" ref="O15" si="19">IF(VLOOKUP(B15,DS,9,0)="x",E15*0.015,0)</f>
        <v>0</v>
      </c>
      <c r="P15" s="38">
        <f t="shared" ref="P15" si="20">IF(VLOOKUP(B15,DS,9,0)="x",E15*0.01,0)</f>
        <v>0</v>
      </c>
      <c r="Q15" s="37">
        <f>M15-SUM(N15:P15)</f>
        <v>2590000</v>
      </c>
      <c r="R15" s="37">
        <f t="shared" ref="R15" si="21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2">VLOOKUP(B16,DS,2,0)</f>
        <v>Đoàn Hồng Phong</v>
      </c>
      <c r="D16" s="113" t="str">
        <f t="shared" ref="D16" si="23">VLOOKUP(B16,DS,3,0)</f>
        <v>Thợ đóng - xả</v>
      </c>
      <c r="E16" s="87">
        <f t="shared" ref="E16" si="24">VLOOKUP(B16,DS,4,0)</f>
        <v>2200000</v>
      </c>
      <c r="F16" s="89">
        <f>VLOOKUP(B16,'CC -3'!$B$8:$AS$17,36,0)</f>
        <v>26</v>
      </c>
      <c r="G16" s="142">
        <f t="shared" ref="G16" si="25">ROUND(E16/$U$2*F16,0)</f>
        <v>2200000</v>
      </c>
      <c r="H16" s="89">
        <f>(VLOOKUP(B16,'CC -3'!$B$8:$AS$17,37,0)+VLOOKUP(B16,'CC -3'!$B$8:$AS$17,38,0))</f>
        <v>0</v>
      </c>
      <c r="I16" s="142">
        <f t="shared" ref="I16" si="26">ROUND(E16/$U$2*H16,0)</f>
        <v>0</v>
      </c>
      <c r="J16" s="143">
        <f t="shared" ref="J16" si="27">F16+H16</f>
        <v>26</v>
      </c>
      <c r="K16" s="37">
        <f t="shared" ref="K16" si="28">G16+I16</f>
        <v>2200000</v>
      </c>
      <c r="L16" s="87">
        <f t="shared" ref="L16" si="29">+F16*15000</f>
        <v>390000</v>
      </c>
      <c r="M16" s="38">
        <f t="shared" ref="M16" si="30">K16+L16</f>
        <v>2590000</v>
      </c>
      <c r="N16" s="38">
        <f>IF(VLOOKUP(B16,DS,9,0)="x",'L - 3'!E16*$N$4,0)</f>
        <v>0</v>
      </c>
      <c r="O16" s="38">
        <f t="shared" ref="O16" si="31">IF(VLOOKUP(B16,DS,9,0)="x",E16*0.015,0)</f>
        <v>0</v>
      </c>
      <c r="P16" s="38">
        <f t="shared" ref="P16" si="32">IF(VLOOKUP(B16,DS,9,0)="x",E16*0.01,0)</f>
        <v>0</v>
      </c>
      <c r="Q16" s="37">
        <f t="shared" ref="Q16" si="33">M16-SUM(N16:P16)</f>
        <v>2590000</v>
      </c>
      <c r="R16" s="37">
        <f t="shared" ref="R16" si="34">VLOOKUP(B16,DS,23,0)</f>
        <v>0</v>
      </c>
      <c r="S16" s="43">
        <f t="shared" ref="S16" si="35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6">SUM(K14:K17)</f>
        <v>4400000</v>
      </c>
      <c r="L18" s="137">
        <f t="shared" si="36"/>
        <v>780000</v>
      </c>
      <c r="M18" s="137">
        <f t="shared" si="36"/>
        <v>5180000</v>
      </c>
      <c r="N18" s="137">
        <f t="shared" si="36"/>
        <v>0</v>
      </c>
      <c r="O18" s="137">
        <f t="shared" si="36"/>
        <v>0</v>
      </c>
      <c r="P18" s="137">
        <f t="shared" si="36"/>
        <v>0</v>
      </c>
      <c r="Q18" s="137">
        <f t="shared" si="36"/>
        <v>5180000</v>
      </c>
      <c r="R18" s="137">
        <f t="shared" si="36"/>
        <v>0</v>
      </c>
      <c r="S18" s="137">
        <f t="shared" si="36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03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X10" sqref="X10"/>
      <selection pane="topRight" activeCell="X10" sqref="X10"/>
      <selection pane="bottomLeft" activeCell="X10" sqref="X10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6" customWidth="1"/>
    <col min="5" max="5" width="7.140625" style="2" customWidth="1"/>
    <col min="6" max="33" width="3.42578125" style="120" customWidth="1"/>
    <col min="34" max="35" width="3.42578125" style="121" customWidth="1"/>
    <col min="36" max="37" width="4.42578125" style="2" customWidth="1"/>
    <col min="38" max="38" width="5.5703125" style="97" customWidth="1"/>
    <col min="39" max="39" width="6.140625" style="2" customWidth="1"/>
    <col min="40" max="42" width="5" style="2" hidden="1" customWidth="1"/>
    <col min="43" max="43" width="5" style="2" customWidth="1"/>
    <col min="44" max="44" width="11.7109375" style="2" customWidth="1"/>
    <col min="45" max="45" width="9.85546875" style="2" customWidth="1"/>
    <col min="46" max="46" width="3.7109375" style="2" customWidth="1"/>
    <col min="47" max="47" width="8.5703125" style="2" customWidth="1"/>
    <col min="48" max="16384" width="3.7109375" style="2"/>
  </cols>
  <sheetData>
    <row r="1" spans="1:90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04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52"/>
      <c r="AK1" s="52"/>
      <c r="AL1" s="258" t="s">
        <v>175</v>
      </c>
      <c r="AM1" s="259"/>
      <c r="AN1" s="259"/>
      <c r="AO1" s="259"/>
      <c r="AP1" s="259"/>
      <c r="AQ1" s="259"/>
      <c r="AR1" s="260"/>
      <c r="AS1" s="54"/>
    </row>
    <row r="2" spans="1:90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52"/>
      <c r="AK2" s="52"/>
      <c r="AL2" s="93"/>
      <c r="AM2" s="56"/>
      <c r="AN2" s="56"/>
      <c r="AO2" s="56"/>
      <c r="AP2" s="56"/>
      <c r="AQ2" s="56"/>
      <c r="AR2" s="92"/>
      <c r="AS2" s="92"/>
    </row>
    <row r="3" spans="1:90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52"/>
      <c r="AK3" s="52"/>
      <c r="AL3" s="93"/>
      <c r="AM3" s="54"/>
      <c r="AN3" s="54"/>
      <c r="AO3" s="54"/>
      <c r="AP3" s="54"/>
      <c r="AQ3" s="54"/>
      <c r="AR3" s="59"/>
      <c r="AS3" s="59"/>
    </row>
    <row r="4" spans="1:90" ht="14.25" customHeight="1">
      <c r="A4" s="60"/>
      <c r="B4" s="60"/>
      <c r="C4" s="153"/>
      <c r="D4" s="152"/>
      <c r="E4" s="61">
        <v>41730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0"/>
      <c r="AK4" s="60"/>
      <c r="AL4" s="94"/>
      <c r="AM4" s="60"/>
      <c r="AN4" s="60"/>
      <c r="AO4" s="60"/>
      <c r="AP4" s="60"/>
      <c r="AQ4" s="60"/>
      <c r="AR4" s="60"/>
      <c r="AS4" s="98"/>
    </row>
    <row r="5" spans="1:90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41730</v>
      </c>
      <c r="G5" s="115">
        <f t="shared" ref="G5:AI5" si="0">F5+1</f>
        <v>41731</v>
      </c>
      <c r="H5" s="115">
        <f t="shared" si="0"/>
        <v>41732</v>
      </c>
      <c r="I5" s="115">
        <f t="shared" si="0"/>
        <v>41733</v>
      </c>
      <c r="J5" s="115">
        <f t="shared" si="0"/>
        <v>41734</v>
      </c>
      <c r="K5" s="115">
        <f t="shared" si="0"/>
        <v>41735</v>
      </c>
      <c r="L5" s="115">
        <f t="shared" si="0"/>
        <v>41736</v>
      </c>
      <c r="M5" s="115">
        <f t="shared" si="0"/>
        <v>41737</v>
      </c>
      <c r="N5" s="115">
        <f t="shared" si="0"/>
        <v>41738</v>
      </c>
      <c r="O5" s="115">
        <f t="shared" si="0"/>
        <v>41739</v>
      </c>
      <c r="P5" s="115">
        <f t="shared" si="0"/>
        <v>41740</v>
      </c>
      <c r="Q5" s="115">
        <f t="shared" si="0"/>
        <v>41741</v>
      </c>
      <c r="R5" s="115">
        <f t="shared" si="0"/>
        <v>41742</v>
      </c>
      <c r="S5" s="115">
        <f t="shared" si="0"/>
        <v>41743</v>
      </c>
      <c r="T5" s="115">
        <f t="shared" si="0"/>
        <v>41744</v>
      </c>
      <c r="U5" s="115">
        <f t="shared" si="0"/>
        <v>41745</v>
      </c>
      <c r="V5" s="115">
        <f t="shared" si="0"/>
        <v>41746</v>
      </c>
      <c r="W5" s="115">
        <f t="shared" si="0"/>
        <v>41747</v>
      </c>
      <c r="X5" s="115">
        <f t="shared" si="0"/>
        <v>41748</v>
      </c>
      <c r="Y5" s="115">
        <f t="shared" si="0"/>
        <v>41749</v>
      </c>
      <c r="Z5" s="115">
        <f t="shared" si="0"/>
        <v>41750</v>
      </c>
      <c r="AA5" s="115">
        <f t="shared" si="0"/>
        <v>41751</v>
      </c>
      <c r="AB5" s="115">
        <f t="shared" si="0"/>
        <v>41752</v>
      </c>
      <c r="AC5" s="115">
        <f t="shared" si="0"/>
        <v>41753</v>
      </c>
      <c r="AD5" s="115">
        <f t="shared" si="0"/>
        <v>41754</v>
      </c>
      <c r="AE5" s="115">
        <f t="shared" si="0"/>
        <v>41755</v>
      </c>
      <c r="AF5" s="115">
        <f t="shared" si="0"/>
        <v>41756</v>
      </c>
      <c r="AG5" s="115">
        <f t="shared" si="0"/>
        <v>41757</v>
      </c>
      <c r="AH5" s="115">
        <f>AG5+1</f>
        <v>41758</v>
      </c>
      <c r="AI5" s="115">
        <f t="shared" si="0"/>
        <v>41759</v>
      </c>
      <c r="AJ5" s="264" t="s">
        <v>15</v>
      </c>
      <c r="AK5" s="265"/>
      <c r="AL5" s="266"/>
      <c r="AM5" s="267" t="s">
        <v>45</v>
      </c>
      <c r="AN5" s="267" t="s">
        <v>41</v>
      </c>
      <c r="AO5" s="267" t="s">
        <v>42</v>
      </c>
      <c r="AP5" s="267" t="s">
        <v>43</v>
      </c>
      <c r="AQ5" s="267" t="s">
        <v>44</v>
      </c>
      <c r="AR5" s="263" t="s">
        <v>0</v>
      </c>
      <c r="AS5" s="257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T.Ba</v>
      </c>
      <c r="G6" s="171" t="str">
        <f t="shared" ref="G6:AI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2" t="s">
        <v>16</v>
      </c>
      <c r="AK6" s="172" t="s">
        <v>31</v>
      </c>
      <c r="AL6" s="173" t="s">
        <v>17</v>
      </c>
      <c r="AM6" s="268"/>
      <c r="AN6" s="268"/>
      <c r="AO6" s="268"/>
      <c r="AP6" s="268"/>
      <c r="AQ6" s="268"/>
      <c r="AR6" s="262"/>
      <c r="AS6" s="257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36</v>
      </c>
      <c r="AK7" s="174">
        <v>37</v>
      </c>
      <c r="AL7" s="174">
        <v>38</v>
      </c>
      <c r="AM7" s="174">
        <v>39</v>
      </c>
      <c r="AN7" s="174">
        <v>40</v>
      </c>
      <c r="AO7" s="174">
        <v>41</v>
      </c>
      <c r="AP7" s="174">
        <v>42</v>
      </c>
      <c r="AQ7" s="174">
        <v>43</v>
      </c>
      <c r="AR7" s="174">
        <v>44</v>
      </c>
      <c r="AS7" s="218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80"/>
      <c r="AS8" s="176"/>
    </row>
    <row r="9" spans="1:90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/>
      <c r="AJ9" s="241">
        <f>((SUM(F9:AI9))/8)-(SUMIF($F$6:$AI$6,"C.Nhật",F9:AI9)/8)</f>
        <v>25</v>
      </c>
      <c r="AK9" s="241">
        <f>SUM(F10:AI10)/8*1.5</f>
        <v>0</v>
      </c>
      <c r="AL9" s="245">
        <f>SUMIF($F$6:$AI$6,"C.Nhật",$F9:$AI10)/8*2</f>
        <v>0</v>
      </c>
      <c r="AM9" s="247">
        <f>SUM(AJ9:AL10)</f>
        <v>25</v>
      </c>
      <c r="AN9" s="249">
        <v>0</v>
      </c>
      <c r="AO9" s="247"/>
      <c r="AP9" s="247"/>
      <c r="AQ9" s="247"/>
      <c r="AR9" s="243"/>
      <c r="AS9" s="218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42"/>
      <c r="AK10" s="242"/>
      <c r="AL10" s="246"/>
      <c r="AM10" s="248"/>
      <c r="AN10" s="250"/>
      <c r="AO10" s="248"/>
      <c r="AP10" s="248"/>
      <c r="AQ10" s="248"/>
      <c r="AR10" s="244"/>
      <c r="AS10" s="218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s="64" customFormat="1" ht="18" customHeight="1">
      <c r="A11" s="251"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/>
      <c r="AJ11" s="241">
        <f>((SUM(F11:AI11))/8)-(SUMIF($F$6:$AI$6,"C.Nhật",F11:AI11)/8)</f>
        <v>25</v>
      </c>
      <c r="AK11" s="241">
        <f>SUM(F12:AI12)/8*1.5</f>
        <v>0</v>
      </c>
      <c r="AL11" s="245">
        <f>SUMIF($F$6:$AI$6,"C.Nhật",$F11:$AI12)/8*2</f>
        <v>0</v>
      </c>
      <c r="AM11" s="247">
        <f t="shared" ref="AM11" si="2">SUM(AJ11:AL12)</f>
        <v>25</v>
      </c>
      <c r="AN11" s="249">
        <v>0</v>
      </c>
      <c r="AO11" s="247"/>
      <c r="AP11" s="247"/>
      <c r="AQ11" s="247"/>
      <c r="AR11" s="243"/>
      <c r="AS11" s="218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42"/>
      <c r="AK12" s="242"/>
      <c r="AL12" s="246"/>
      <c r="AM12" s="248"/>
      <c r="AN12" s="250"/>
      <c r="AO12" s="248"/>
      <c r="AP12" s="248"/>
      <c r="AQ12" s="248"/>
      <c r="AR12" s="244"/>
      <c r="AS12" s="218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80"/>
      <c r="AS13" s="176"/>
    </row>
    <row r="14" spans="1:90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>
        <v>8</v>
      </c>
      <c r="G14" s="140">
        <v>8</v>
      </c>
      <c r="H14" s="140">
        <v>8</v>
      </c>
      <c r="I14" s="140">
        <v>8</v>
      </c>
      <c r="J14" s="140">
        <v>8</v>
      </c>
      <c r="K14" s="140"/>
      <c r="L14" s="140">
        <v>8</v>
      </c>
      <c r="M14" s="140">
        <v>8</v>
      </c>
      <c r="N14" s="140">
        <v>8</v>
      </c>
      <c r="O14" s="140">
        <v>8</v>
      </c>
      <c r="P14" s="140">
        <v>8</v>
      </c>
      <c r="Q14" s="140">
        <v>8</v>
      </c>
      <c r="R14" s="140"/>
      <c r="S14" s="140">
        <v>8</v>
      </c>
      <c r="T14" s="140">
        <v>8</v>
      </c>
      <c r="U14" s="140">
        <v>8</v>
      </c>
      <c r="V14" s="140">
        <v>8</v>
      </c>
      <c r="W14" s="140">
        <v>8</v>
      </c>
      <c r="X14" s="140">
        <v>8</v>
      </c>
      <c r="Y14" s="140"/>
      <c r="Z14" s="140">
        <v>8</v>
      </c>
      <c r="AA14" s="140">
        <v>8</v>
      </c>
      <c r="AB14" s="140">
        <v>8</v>
      </c>
      <c r="AC14" s="140">
        <v>8</v>
      </c>
      <c r="AD14" s="140">
        <v>8</v>
      </c>
      <c r="AE14" s="140">
        <v>8</v>
      </c>
      <c r="AF14" s="140"/>
      <c r="AG14" s="140">
        <v>8</v>
      </c>
      <c r="AH14" s="140">
        <v>8</v>
      </c>
      <c r="AI14" s="140"/>
      <c r="AJ14" s="241">
        <f>((SUM(F14:AI14))/8)-(SUMIF($F$6:$AI$6,"C.Nhật",F14:AI14)/8)</f>
        <v>25</v>
      </c>
      <c r="AK14" s="241">
        <f>SUM(F15:AI15)/8*1.5</f>
        <v>0</v>
      </c>
      <c r="AL14" s="245">
        <f>SUMIF($F$6:$AI$6,"C.Nhật",$F14:$AI15)/8*2</f>
        <v>0</v>
      </c>
      <c r="AM14" s="247">
        <f>SUM(AJ14:AL15)</f>
        <v>25</v>
      </c>
      <c r="AN14" s="249">
        <v>0</v>
      </c>
      <c r="AO14" s="247"/>
      <c r="AP14" s="247"/>
      <c r="AQ14" s="247"/>
      <c r="AR14" s="243"/>
      <c r="AS14" s="218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90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242"/>
      <c r="AK15" s="242"/>
      <c r="AL15" s="246"/>
      <c r="AM15" s="248"/>
      <c r="AN15" s="250"/>
      <c r="AO15" s="248"/>
      <c r="AP15" s="248"/>
      <c r="AQ15" s="248"/>
      <c r="AR15" s="244"/>
      <c r="AS15" s="218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90" s="64" customFormat="1" ht="18" customHeight="1">
      <c r="A16" s="251">
        <f>A14+1</f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/>
      <c r="AJ16" s="241">
        <f>((SUM(F16:AI16))/8)-(SUMIF($F$6:$AI$6,"C.Nhật",F16:AI16)/8)</f>
        <v>25</v>
      </c>
      <c r="AK16" s="241">
        <f>SUM(F17:AI17)/8*1.5</f>
        <v>0</v>
      </c>
      <c r="AL16" s="245">
        <f>SUMIF($F$6:$AI$6,"C.Nhật",$F16:$AI17)/8*2</f>
        <v>0</v>
      </c>
      <c r="AM16" s="247">
        <f t="shared" ref="AM16" si="3">SUM(AJ16:AL17)</f>
        <v>25</v>
      </c>
      <c r="AN16" s="249">
        <v>0</v>
      </c>
      <c r="AO16" s="247"/>
      <c r="AP16" s="247"/>
      <c r="AQ16" s="247"/>
      <c r="AR16" s="243"/>
      <c r="AS16" s="218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1:91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42"/>
      <c r="AK17" s="242"/>
      <c r="AL17" s="246"/>
      <c r="AM17" s="248"/>
      <c r="AN17" s="250"/>
      <c r="AO17" s="248"/>
      <c r="AP17" s="248"/>
      <c r="AQ17" s="248"/>
      <c r="AR17" s="244"/>
      <c r="AS17" s="218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1:91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4"/>
      <c r="AK18" s="4"/>
      <c r="AL18" s="95"/>
      <c r="AM18" s="71"/>
      <c r="AN18" s="71"/>
      <c r="AO18" s="71"/>
      <c r="AP18" s="71"/>
      <c r="AQ18" s="71"/>
      <c r="AR18" s="4"/>
      <c r="AS18" s="101"/>
    </row>
    <row r="19" spans="1:91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4"/>
      <c r="AK19" s="4"/>
      <c r="AL19" s="95"/>
      <c r="AM19" s="71"/>
      <c r="AN19" s="71"/>
      <c r="AO19" s="71"/>
      <c r="AP19" s="71"/>
      <c r="AQ19" s="71"/>
      <c r="AR19" s="4"/>
      <c r="AS19" s="101"/>
    </row>
    <row r="20" spans="1:91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4"/>
      <c r="AK20" s="4"/>
      <c r="AL20" s="95"/>
      <c r="AM20" s="73"/>
      <c r="AN20" s="73"/>
      <c r="AO20" s="73"/>
      <c r="AP20" s="73"/>
      <c r="AQ20" s="73"/>
      <c r="AR20" s="4"/>
      <c r="AS20" s="101"/>
    </row>
    <row r="21" spans="1:91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4"/>
      <c r="AK21" s="4"/>
      <c r="AL21" s="95"/>
      <c r="AM21" s="73"/>
      <c r="AN21" s="73"/>
      <c r="AO21" s="73"/>
      <c r="AP21" s="73"/>
      <c r="AQ21" s="73"/>
      <c r="AR21" s="4"/>
      <c r="AS21" s="4"/>
    </row>
    <row r="22" spans="1:91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4"/>
      <c r="AK22" s="4"/>
      <c r="AL22" s="95"/>
      <c r="AM22" s="73"/>
      <c r="AN22" s="73"/>
      <c r="AO22" s="73"/>
      <c r="AP22" s="73"/>
      <c r="AQ22" s="73"/>
      <c r="AR22" s="4"/>
      <c r="AS22" s="4"/>
    </row>
    <row r="23" spans="1:91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4"/>
      <c r="AK23" s="4"/>
      <c r="AL23" s="95"/>
      <c r="AM23" s="73"/>
      <c r="AN23" s="73"/>
      <c r="AO23" s="73"/>
      <c r="AP23" s="73"/>
      <c r="AQ23" s="73"/>
      <c r="AR23" s="4"/>
      <c r="AS23" s="4"/>
    </row>
    <row r="24" spans="1:91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74"/>
      <c r="AL24" s="96"/>
      <c r="AM24" s="10"/>
      <c r="AN24" s="10"/>
      <c r="AO24" s="10"/>
      <c r="AP24" s="10"/>
      <c r="AQ24" s="10"/>
      <c r="AR24" s="14"/>
      <c r="AS24" s="4"/>
    </row>
    <row r="25" spans="1:91" s="70" customFormat="1" ht="12.75">
      <c r="A25" s="2"/>
      <c r="B25" s="2" t="s">
        <v>0</v>
      </c>
      <c r="C25" s="2"/>
      <c r="D25" s="216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2"/>
      <c r="AK25" s="2"/>
      <c r="AL25" s="97"/>
      <c r="AM25" s="2"/>
      <c r="AN25" s="2"/>
      <c r="AO25" s="2"/>
      <c r="AP25" s="2"/>
      <c r="AQ25" s="2"/>
      <c r="AR25" s="2"/>
      <c r="AS25" s="4"/>
    </row>
    <row r="26" spans="1:91" s="70" customFormat="1" ht="12.75">
      <c r="A26" s="2"/>
      <c r="B26" s="2"/>
      <c r="C26" s="2" t="s">
        <v>46</v>
      </c>
      <c r="D26" s="216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2"/>
      <c r="AK26" s="2"/>
      <c r="AL26" s="97"/>
      <c r="AM26" s="2"/>
      <c r="AN26" s="2"/>
      <c r="AO26" s="2"/>
      <c r="AP26" s="2"/>
      <c r="AQ26" s="2"/>
      <c r="AR26" s="2"/>
      <c r="AS26" s="14"/>
    </row>
    <row r="27" spans="1:91" ht="15" customHeight="1">
      <c r="C27" s="2" t="s">
        <v>47</v>
      </c>
    </row>
    <row r="28" spans="1:91" ht="15" customHeight="1">
      <c r="C28" s="2" t="s">
        <v>48</v>
      </c>
    </row>
    <row r="29" spans="1:91" s="216" customFormat="1" ht="15" customHeight="1">
      <c r="A29" s="2"/>
      <c r="B29" s="2"/>
      <c r="C29" s="2" t="s">
        <v>49</v>
      </c>
      <c r="E29" s="2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1"/>
      <c r="AI29" s="121"/>
      <c r="AJ29" s="2"/>
      <c r="AK29" s="2"/>
      <c r="AL29" s="97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216" customFormat="1" ht="15" customHeight="1">
      <c r="A30" s="2"/>
      <c r="B30" s="2"/>
      <c r="C30" s="2" t="s">
        <v>50</v>
      </c>
      <c r="E30" s="2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1"/>
      <c r="AI30" s="121"/>
      <c r="AJ30" s="2"/>
      <c r="AK30" s="2"/>
      <c r="AL30" s="97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216" customFormat="1" ht="15" customHeight="1">
      <c r="A31" s="2"/>
      <c r="B31" s="2"/>
      <c r="C31" s="2" t="s">
        <v>51</v>
      </c>
      <c r="E31" s="2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1"/>
      <c r="AI31" s="121"/>
      <c r="AJ31" s="2"/>
      <c r="AK31" s="2"/>
      <c r="AL31" s="97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216" customFormat="1" ht="15" customHeight="1">
      <c r="A32" s="2"/>
      <c r="B32" s="2"/>
      <c r="C32" s="2" t="s">
        <v>52</v>
      </c>
      <c r="E32" s="2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1"/>
      <c r="AI32" s="121"/>
      <c r="AJ32" s="2"/>
      <c r="AK32" s="2"/>
      <c r="AL32" s="97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216" customFormat="1" ht="15" customHeight="1">
      <c r="A33" s="2"/>
      <c r="B33" s="2"/>
      <c r="C33" s="2" t="s">
        <v>53</v>
      </c>
      <c r="E33" s="2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1"/>
      <c r="AI33" s="121"/>
      <c r="AJ33" s="2"/>
      <c r="AK33" s="2"/>
      <c r="AL33" s="97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6" customFormat="1" ht="15" customHeight="1">
      <c r="A34" s="2"/>
      <c r="B34" s="2"/>
      <c r="C34" s="2" t="s">
        <v>54</v>
      </c>
      <c r="E34" s="2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1"/>
      <c r="AI34" s="121"/>
      <c r="AJ34" s="2"/>
      <c r="AK34" s="2"/>
      <c r="AL34" s="97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A14:A17 C14:E17" name="Range1_6_2"/>
    <protectedRange password="CC78" sqref="B14:B17" name="Range1_4_2"/>
  </protectedRanges>
  <mergeCells count="66">
    <mergeCell ref="AL1:AR1"/>
    <mergeCell ref="A5:A6"/>
    <mergeCell ref="B5:B6"/>
    <mergeCell ref="C5:C6"/>
    <mergeCell ref="D5:D6"/>
    <mergeCell ref="E5:E6"/>
    <mergeCell ref="AJ5:AL5"/>
    <mergeCell ref="AM5:AM6"/>
    <mergeCell ref="AN5:AN6"/>
    <mergeCell ref="AO5:AO6"/>
    <mergeCell ref="AP5:AP6"/>
    <mergeCell ref="AQ5:AQ6"/>
    <mergeCell ref="AR5:AR6"/>
    <mergeCell ref="A9:A10"/>
    <mergeCell ref="B9:B10"/>
    <mergeCell ref="C9:C10"/>
    <mergeCell ref="D9:D10"/>
    <mergeCell ref="AJ9:AJ10"/>
    <mergeCell ref="B11:B12"/>
    <mergeCell ref="C11:C12"/>
    <mergeCell ref="D11:D12"/>
    <mergeCell ref="AJ11:AJ12"/>
    <mergeCell ref="AS5:AS6"/>
    <mergeCell ref="AK9:AK10"/>
    <mergeCell ref="AR9:AR10"/>
    <mergeCell ref="AO9:AO10"/>
    <mergeCell ref="AP9:AP10"/>
    <mergeCell ref="AQ9:AQ10"/>
    <mergeCell ref="AL9:AL10"/>
    <mergeCell ref="AM9:AM10"/>
    <mergeCell ref="AN9:AN10"/>
    <mergeCell ref="AO11:AO12"/>
    <mergeCell ref="AP11:AP12"/>
    <mergeCell ref="AQ11:AQ12"/>
    <mergeCell ref="AR11:AR12"/>
    <mergeCell ref="A14:A15"/>
    <mergeCell ref="B14:B15"/>
    <mergeCell ref="C14:C15"/>
    <mergeCell ref="D14:D15"/>
    <mergeCell ref="AJ14:AJ15"/>
    <mergeCell ref="AK14:AK15"/>
    <mergeCell ref="AQ14:AQ15"/>
    <mergeCell ref="AK11:AK12"/>
    <mergeCell ref="AL11:AL12"/>
    <mergeCell ref="AM11:AM12"/>
    <mergeCell ref="AN11:AN12"/>
    <mergeCell ref="A11:A12"/>
    <mergeCell ref="AR14:AR15"/>
    <mergeCell ref="AO14:AO15"/>
    <mergeCell ref="AP14:AP15"/>
    <mergeCell ref="AL14:AL15"/>
    <mergeCell ref="AM14:AM15"/>
    <mergeCell ref="AN14:AN15"/>
    <mergeCell ref="A16:A17"/>
    <mergeCell ref="B16:B17"/>
    <mergeCell ref="C16:C17"/>
    <mergeCell ref="D16:D17"/>
    <mergeCell ref="AJ16:AJ17"/>
    <mergeCell ref="AO16:AO17"/>
    <mergeCell ref="AP16:AP17"/>
    <mergeCell ref="AQ16:AQ17"/>
    <mergeCell ref="AR16:AR17"/>
    <mergeCell ref="AK16:AK17"/>
    <mergeCell ref="AL16:AL17"/>
    <mergeCell ref="AM16:AM17"/>
    <mergeCell ref="AN16:AN17"/>
  </mergeCells>
  <conditionalFormatting sqref="F5:AI6 F9:AI12">
    <cfRule type="expression" dxfId="109" priority="13" stopIfTrue="1">
      <formula>IF(WEEKDAY(F$5)=1,TRUE,FALSE)</formula>
    </cfRule>
  </conditionalFormatting>
  <conditionalFormatting sqref="F14:AI17">
    <cfRule type="expression" dxfId="10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X10" sqref="X10"/>
      <selection pane="topRight" activeCell="X10" sqref="X10"/>
      <selection pane="bottomLeft" activeCell="X10" sqref="X10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20"/>
      <c r="C1" s="220"/>
      <c r="D1" s="276" t="str">
        <f>"BẢNG THANH TOÁN LƯƠNG THÁNG"&amp;" "&amp;TEXT($E$4,"mm")&amp;" / "&amp;TEXT($E$4,"yyyy")</f>
        <v>BẢNG THANH TOÁN LƯƠNG THÁNG 04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20"/>
      <c r="C2" s="220"/>
      <c r="D2" s="220"/>
      <c r="E2" s="78"/>
      <c r="F2" s="220"/>
      <c r="G2" s="220"/>
      <c r="H2" s="220"/>
      <c r="I2" s="220"/>
      <c r="J2" s="79"/>
      <c r="K2" s="220"/>
      <c r="L2" s="220"/>
      <c r="M2" s="220"/>
      <c r="N2" s="220"/>
      <c r="O2" s="220"/>
      <c r="P2" s="220"/>
      <c r="Q2" s="220"/>
      <c r="R2" s="220"/>
      <c r="S2" s="220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20"/>
      <c r="C3" s="220"/>
      <c r="D3" s="220"/>
      <c r="E3" s="78"/>
      <c r="F3" s="220"/>
      <c r="G3" s="220"/>
      <c r="H3" s="220"/>
      <c r="I3" s="220"/>
      <c r="J3" s="79"/>
      <c r="K3" s="220"/>
      <c r="L3" s="220"/>
      <c r="M3" s="220"/>
      <c r="N3" s="220"/>
      <c r="O3" s="220"/>
      <c r="P3" s="220"/>
      <c r="Q3" s="220"/>
      <c r="R3" s="220"/>
      <c r="S3" s="220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-4'!$E$4</f>
        <v>41730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9" t="s">
        <v>40</v>
      </c>
      <c r="G7" s="217" t="s">
        <v>18</v>
      </c>
      <c r="H7" s="219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:C11" si="0">VLOOKUP(B10,DS,2,0)</f>
        <v>Phan Văn Hiền</v>
      </c>
      <c r="D10" s="113" t="str">
        <f t="shared" ref="D10:D11" si="1">VLOOKUP(B10,DS,3,0)</f>
        <v>Quản Đốc</v>
      </c>
      <c r="E10" s="87">
        <f t="shared" ref="E10:E11" si="2">VLOOKUP(B10,DS,4,0)</f>
        <v>2700000</v>
      </c>
      <c r="F10" s="89">
        <f>VLOOKUP(B10,'CC -4'!$B$8:$AR$17,35,0)</f>
        <v>25</v>
      </c>
      <c r="G10" s="142">
        <f t="shared" ref="G10" si="3">ROUND(E10/$U$2*F10,0)</f>
        <v>2700000</v>
      </c>
      <c r="H10" s="89">
        <f>(VLOOKUP(B10,'CC -4'!$B$8:$AR$17,36,0)+VLOOKUP(B10,'CC -4'!$B$8:$AR$17,37,0))</f>
        <v>0</v>
      </c>
      <c r="I10" s="142">
        <f t="shared" ref="I10" si="4">ROUND(E10/$U$2*H10,0)</f>
        <v>0</v>
      </c>
      <c r="J10" s="90">
        <f t="shared" ref="J10:K11" si="5">F10+H10</f>
        <v>25</v>
      </c>
      <c r="K10" s="37">
        <f>G10+I10</f>
        <v>2700000</v>
      </c>
      <c r="L10" s="87">
        <f t="shared" ref="L10:L11" si="6">+F10*15000</f>
        <v>375000</v>
      </c>
      <c r="M10" s="38">
        <f t="shared" ref="M10:M11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1" si="8">M10-SUM(N10:P10)</f>
        <v>3075000</v>
      </c>
      <c r="R10" s="37">
        <f>VLOOKUP(B10,DS,23,0)</f>
        <v>0</v>
      </c>
      <c r="S10" s="43">
        <f t="shared" ref="S10:S11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si="0"/>
        <v>Nguyễn Thị Thu Sương</v>
      </c>
      <c r="D11" s="113" t="str">
        <f t="shared" si="1"/>
        <v>Kinh Doanh</v>
      </c>
      <c r="E11" s="87">
        <f t="shared" si="2"/>
        <v>2400000</v>
      </c>
      <c r="F11" s="89">
        <f>VLOOKUP(B11,'CC -4'!$B$8:$AR$17,35,0)</f>
        <v>25</v>
      </c>
      <c r="G11" s="142">
        <f t="shared" ref="G11" si="10">ROUND(E11/$U$2*F11,0)</f>
        <v>2400000</v>
      </c>
      <c r="H11" s="89">
        <f>(VLOOKUP(B11,'CC -4'!$B$8:$AR$17,36,0)+VLOOKUP(B11,'CC -4'!$B$8:$AR$17,37,0))</f>
        <v>0</v>
      </c>
      <c r="I11" s="142">
        <f t="shared" ref="I11" si="11">ROUND(E11/$U$2*H11,0)</f>
        <v>0</v>
      </c>
      <c r="J11" s="90">
        <f t="shared" si="5"/>
        <v>25</v>
      </c>
      <c r="K11" s="37">
        <f t="shared" si="5"/>
        <v>2400000</v>
      </c>
      <c r="L11" s="87">
        <f t="shared" si="6"/>
        <v>375000</v>
      </c>
      <c r="M11" s="38">
        <f t="shared" si="7"/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si="8"/>
        <v>2775000</v>
      </c>
      <c r="R11" s="37">
        <f>VLOOKUP(B11,DS,23,0)</f>
        <v>0</v>
      </c>
      <c r="S11" s="43">
        <f t="shared" si="9"/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12">SUM(K9:K11)</f>
        <v>5100000</v>
      </c>
      <c r="L13" s="137">
        <f t="shared" si="12"/>
        <v>750000</v>
      </c>
      <c r="M13" s="137">
        <f t="shared" si="12"/>
        <v>5850000</v>
      </c>
      <c r="N13" s="137">
        <f t="shared" si="12"/>
        <v>0</v>
      </c>
      <c r="O13" s="137">
        <f t="shared" si="12"/>
        <v>0</v>
      </c>
      <c r="P13" s="137">
        <f t="shared" si="12"/>
        <v>0</v>
      </c>
      <c r="Q13" s="137">
        <f t="shared" si="12"/>
        <v>5850000</v>
      </c>
      <c r="R13" s="137">
        <f t="shared" si="12"/>
        <v>0</v>
      </c>
      <c r="S13" s="137">
        <f t="shared" si="12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13">VLOOKUP(B15,DS,2,0)</f>
        <v>Nguyễn Trường Giang</v>
      </c>
      <c r="D15" s="113" t="str">
        <f t="shared" ref="D15" si="14">VLOOKUP(B15,DS,3,0)</f>
        <v>Thợ in</v>
      </c>
      <c r="E15" s="87">
        <f t="shared" ref="E15" si="15">VLOOKUP(B15,DS,4,0)</f>
        <v>2200000</v>
      </c>
      <c r="F15" s="89">
        <f>VLOOKUP(B15,'CC -4'!$B$8:$AR$17,35,0)</f>
        <v>25</v>
      </c>
      <c r="G15" s="142">
        <f t="shared" ref="G15" si="16">ROUND(E15/$U$2*F15,0)</f>
        <v>2200000</v>
      </c>
      <c r="H15" s="89">
        <f>(VLOOKUP(B15,'CC -4'!$B$8:$AR$17,36,0)+VLOOKUP(B15,'CC -4'!$B$8:$AR$17,37,0))</f>
        <v>0</v>
      </c>
      <c r="I15" s="142">
        <f t="shared" ref="I15" si="17">ROUND(E15/$U$2*H15,0)</f>
        <v>0</v>
      </c>
      <c r="J15" s="143">
        <f t="shared" ref="J15:K15" si="18">F15+H15</f>
        <v>25</v>
      </c>
      <c r="K15" s="37">
        <f t="shared" si="18"/>
        <v>2200000</v>
      </c>
      <c r="L15" s="87">
        <f t="shared" ref="L15" si="19">+F15*15000</f>
        <v>375000</v>
      </c>
      <c r="M15" s="38">
        <f t="shared" ref="M15" si="20">K15+L15</f>
        <v>2575000</v>
      </c>
      <c r="N15" s="38">
        <f>IF(VLOOKUP(B15,DS,9,0)="x",'L - 4'!E15*$N$4,0)</f>
        <v>0</v>
      </c>
      <c r="O15" s="38">
        <f t="shared" ref="O15" si="21">IF(VLOOKUP(B15,DS,9,0)="x",E15*0.015,0)</f>
        <v>0</v>
      </c>
      <c r="P15" s="38">
        <f t="shared" ref="P15" si="22">IF(VLOOKUP(B15,DS,9,0)="x",E15*0.01,0)</f>
        <v>0</v>
      </c>
      <c r="Q15" s="37">
        <f>M15-SUM(N15:P15)</f>
        <v>2575000</v>
      </c>
      <c r="R15" s="37">
        <f t="shared" ref="R15" si="23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24">VLOOKUP(B16,DS,2,0)</f>
        <v>Đoàn Hồng Phong</v>
      </c>
      <c r="D16" s="113" t="str">
        <f t="shared" ref="D16" si="25">VLOOKUP(B16,DS,3,0)</f>
        <v>Thợ đóng - xả</v>
      </c>
      <c r="E16" s="87">
        <f t="shared" ref="E16" si="26">VLOOKUP(B16,DS,4,0)</f>
        <v>2200000</v>
      </c>
      <c r="F16" s="89">
        <f>VLOOKUP(B16,'CC -4'!$B$8:$AR$17,35,0)</f>
        <v>25</v>
      </c>
      <c r="G16" s="142">
        <f t="shared" ref="G16" si="27">ROUND(E16/$U$2*F16,0)</f>
        <v>2200000</v>
      </c>
      <c r="H16" s="89">
        <f>(VLOOKUP(B16,'CC -4'!$B$8:$AR$17,36,0)+VLOOKUP(B16,'CC -4'!$B$8:$AR$17,37,0))</f>
        <v>0</v>
      </c>
      <c r="I16" s="142">
        <f t="shared" ref="I16" si="28">ROUND(E16/$U$2*H16,0)</f>
        <v>0</v>
      </c>
      <c r="J16" s="143">
        <f t="shared" ref="J16" si="29">F16+H16</f>
        <v>25</v>
      </c>
      <c r="K16" s="37">
        <f t="shared" ref="K16" si="30">G16+I16</f>
        <v>2200000</v>
      </c>
      <c r="L16" s="87">
        <f t="shared" ref="L16" si="31">+F16*15000</f>
        <v>375000</v>
      </c>
      <c r="M16" s="38">
        <f t="shared" ref="M16" si="32">K16+L16</f>
        <v>2575000</v>
      </c>
      <c r="N16" s="38">
        <f>IF(VLOOKUP(B16,DS,9,0)="x",'L - 4'!E16*$N$4,0)</f>
        <v>0</v>
      </c>
      <c r="O16" s="38">
        <f t="shared" ref="O16" si="33">IF(VLOOKUP(B16,DS,9,0)="x",E16*0.015,0)</f>
        <v>0</v>
      </c>
      <c r="P16" s="38">
        <f t="shared" ref="P16" si="34">IF(VLOOKUP(B16,DS,9,0)="x",E16*0.01,0)</f>
        <v>0</v>
      </c>
      <c r="Q16" s="37">
        <f t="shared" ref="Q16" si="35">M16-SUM(N16:P16)</f>
        <v>2575000</v>
      </c>
      <c r="R16" s="37">
        <f t="shared" ref="R16" si="36">VLOOKUP(B16,DS,23,0)</f>
        <v>0</v>
      </c>
      <c r="S16" s="43">
        <f t="shared" ref="S16" si="37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38">SUM(K14:K17)</f>
        <v>4400000</v>
      </c>
      <c r="L18" s="137">
        <f t="shared" si="38"/>
        <v>750000</v>
      </c>
      <c r="M18" s="137">
        <f t="shared" si="38"/>
        <v>5150000</v>
      </c>
      <c r="N18" s="137">
        <f t="shared" si="38"/>
        <v>0</v>
      </c>
      <c r="O18" s="137">
        <f t="shared" si="38"/>
        <v>0</v>
      </c>
      <c r="P18" s="137">
        <f t="shared" si="38"/>
        <v>0</v>
      </c>
      <c r="Q18" s="137">
        <f t="shared" si="38"/>
        <v>5150000</v>
      </c>
      <c r="R18" s="137">
        <f t="shared" si="38"/>
        <v>0</v>
      </c>
      <c r="S18" s="137">
        <f t="shared" si="38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04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3:D13"/>
    <mergeCell ref="A18:D18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4"/>
  <sheetViews>
    <sheetView zoomScaleNormal="115" workbookViewId="0">
      <pane xSplit="3" ySplit="6" topLeftCell="D7" activePane="bottomRight" state="frozen"/>
      <selection activeCell="A2" sqref="A2:A3"/>
      <selection pane="topRight" activeCell="A2" sqref="A2:A3"/>
      <selection pane="bottomLeft" activeCell="A2" sqref="A2:A3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2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05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41760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41760</v>
      </c>
      <c r="G5" s="115">
        <f t="shared" ref="G5:AJ5" si="0">F5+1</f>
        <v>41761</v>
      </c>
      <c r="H5" s="115">
        <f t="shared" si="0"/>
        <v>41762</v>
      </c>
      <c r="I5" s="115">
        <f t="shared" si="0"/>
        <v>41763</v>
      </c>
      <c r="J5" s="115">
        <f t="shared" si="0"/>
        <v>41764</v>
      </c>
      <c r="K5" s="115">
        <f t="shared" si="0"/>
        <v>41765</v>
      </c>
      <c r="L5" s="115">
        <f t="shared" si="0"/>
        <v>41766</v>
      </c>
      <c r="M5" s="115">
        <f t="shared" si="0"/>
        <v>41767</v>
      </c>
      <c r="N5" s="115">
        <f t="shared" si="0"/>
        <v>41768</v>
      </c>
      <c r="O5" s="115">
        <f t="shared" si="0"/>
        <v>41769</v>
      </c>
      <c r="P5" s="115">
        <f t="shared" si="0"/>
        <v>41770</v>
      </c>
      <c r="Q5" s="115">
        <f t="shared" si="0"/>
        <v>41771</v>
      </c>
      <c r="R5" s="115">
        <f t="shared" si="0"/>
        <v>41772</v>
      </c>
      <c r="S5" s="115">
        <f t="shared" si="0"/>
        <v>41773</v>
      </c>
      <c r="T5" s="115">
        <f t="shared" si="0"/>
        <v>41774</v>
      </c>
      <c r="U5" s="115">
        <f t="shared" si="0"/>
        <v>41775</v>
      </c>
      <c r="V5" s="115">
        <f t="shared" si="0"/>
        <v>41776</v>
      </c>
      <c r="W5" s="115">
        <f t="shared" si="0"/>
        <v>41777</v>
      </c>
      <c r="X5" s="115">
        <f t="shared" si="0"/>
        <v>41778</v>
      </c>
      <c r="Y5" s="115">
        <f t="shared" si="0"/>
        <v>41779</v>
      </c>
      <c r="Z5" s="115">
        <f t="shared" si="0"/>
        <v>41780</v>
      </c>
      <c r="AA5" s="115">
        <f t="shared" si="0"/>
        <v>41781</v>
      </c>
      <c r="AB5" s="115">
        <f t="shared" si="0"/>
        <v>41782</v>
      </c>
      <c r="AC5" s="115">
        <f t="shared" si="0"/>
        <v>41783</v>
      </c>
      <c r="AD5" s="115">
        <f t="shared" si="0"/>
        <v>41784</v>
      </c>
      <c r="AE5" s="115">
        <f t="shared" si="0"/>
        <v>41785</v>
      </c>
      <c r="AF5" s="115">
        <f t="shared" si="0"/>
        <v>41786</v>
      </c>
      <c r="AG5" s="115">
        <f t="shared" si="0"/>
        <v>41787</v>
      </c>
      <c r="AH5" s="115">
        <f>AG5+1</f>
        <v>41788</v>
      </c>
      <c r="AI5" s="115">
        <f t="shared" si="0"/>
        <v>41789</v>
      </c>
      <c r="AJ5" s="115">
        <f t="shared" si="0"/>
        <v>41790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T.Năm</v>
      </c>
      <c r="G6" s="171" t="str">
        <f t="shared" ref="G6:AJ6" si="1">CHOOSE(WEEKDAY(G5),"C.Nhật","T.Hai","T.Ba","T.Tư","T.Năm","T.Sáu","T.Bảy")</f>
        <v>T.Sáu</v>
      </c>
      <c r="H6" s="171" t="str">
        <f t="shared" si="1"/>
        <v>T.Bảy</v>
      </c>
      <c r="I6" s="171" t="str">
        <f t="shared" si="1"/>
        <v>C.Nhật</v>
      </c>
      <c r="J6" s="171" t="str">
        <f t="shared" si="1"/>
        <v>T.Hai</v>
      </c>
      <c r="K6" s="171" t="str">
        <f t="shared" si="1"/>
        <v>T.Ba</v>
      </c>
      <c r="L6" s="171" t="str">
        <f t="shared" si="1"/>
        <v>T.Tư</v>
      </c>
      <c r="M6" s="171" t="str">
        <f t="shared" si="1"/>
        <v>T.Năm</v>
      </c>
      <c r="N6" s="171" t="str">
        <f t="shared" si="1"/>
        <v>T.Sáu</v>
      </c>
      <c r="O6" s="171" t="str">
        <f t="shared" si="1"/>
        <v>T.Bảy</v>
      </c>
      <c r="P6" s="171" t="str">
        <f t="shared" si="1"/>
        <v>C.Nhật</v>
      </c>
      <c r="Q6" s="171" t="str">
        <f t="shared" si="1"/>
        <v>T.Hai</v>
      </c>
      <c r="R6" s="171" t="str">
        <f t="shared" si="1"/>
        <v>T.Ba</v>
      </c>
      <c r="S6" s="171" t="str">
        <f t="shared" si="1"/>
        <v>T.Tư</v>
      </c>
      <c r="T6" s="171" t="str">
        <f t="shared" si="1"/>
        <v>T.Năm</v>
      </c>
      <c r="U6" s="171" t="str">
        <f t="shared" si="1"/>
        <v>T.Sáu</v>
      </c>
      <c r="V6" s="171" t="str">
        <f t="shared" si="1"/>
        <v>T.Bảy</v>
      </c>
      <c r="W6" s="171" t="str">
        <f t="shared" si="1"/>
        <v>C.Nhật</v>
      </c>
      <c r="X6" s="171" t="str">
        <f t="shared" si="1"/>
        <v>T.Hai</v>
      </c>
      <c r="Y6" s="171" t="str">
        <f t="shared" si="1"/>
        <v>T.Ba</v>
      </c>
      <c r="Z6" s="171" t="str">
        <f t="shared" si="1"/>
        <v>T.Tư</v>
      </c>
      <c r="AA6" s="171" t="str">
        <f t="shared" si="1"/>
        <v>T.Năm</v>
      </c>
      <c r="AB6" s="171" t="str">
        <f t="shared" si="1"/>
        <v>T.Sáu</v>
      </c>
      <c r="AC6" s="171" t="str">
        <f t="shared" si="1"/>
        <v>T.Bảy</v>
      </c>
      <c r="AD6" s="171" t="str">
        <f t="shared" si="1"/>
        <v>C.Nhật</v>
      </c>
      <c r="AE6" s="171" t="str">
        <f t="shared" si="1"/>
        <v>T.Hai</v>
      </c>
      <c r="AF6" s="171" t="str">
        <f t="shared" si="1"/>
        <v>T.Ba</v>
      </c>
      <c r="AG6" s="171" t="str">
        <f t="shared" si="1"/>
        <v>T.Tư</v>
      </c>
      <c r="AH6" s="171" t="str">
        <f t="shared" si="1"/>
        <v>T.Năm</v>
      </c>
      <c r="AI6" s="171" t="str">
        <f t="shared" si="1"/>
        <v>T.Sáu</v>
      </c>
      <c r="AJ6" s="171" t="str">
        <f t="shared" si="1"/>
        <v>T.Bảy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0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174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/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/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/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/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41">
        <f>((SUM(F9:AJ9))/8)-(SUMIF($F$6:$AJ$6,"C.Nhật",F9:AJ9)/8)</f>
        <v>26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26</v>
      </c>
      <c r="AO9" s="249">
        <v>0</v>
      </c>
      <c r="AP9" s="247"/>
      <c r="AQ9" s="247"/>
      <c r="AR9" s="247"/>
      <c r="AS9" s="243"/>
      <c r="AT9" s="10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10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/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/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/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/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5">
        <f t="shared" ref="AM11" si="4">SUMIF($F$6:$AJ$6,"C.Nhật",$F11:$AJ12)/8*2</f>
        <v>0</v>
      </c>
      <c r="AN11" s="247">
        <f t="shared" ref="AN11" si="5">SUM(AK11:AM12)</f>
        <v>26</v>
      </c>
      <c r="AO11" s="249">
        <v>0</v>
      </c>
      <c r="AP11" s="247"/>
      <c r="AQ11" s="247"/>
      <c r="AR11" s="247"/>
      <c r="AS11" s="243"/>
      <c r="AT11" s="19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19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/>
      <c r="J14" s="140">
        <v>8</v>
      </c>
      <c r="K14" s="140">
        <v>8</v>
      </c>
      <c r="L14" s="140">
        <v>8</v>
      </c>
      <c r="M14" s="140">
        <v>8</v>
      </c>
      <c r="N14" s="140">
        <v>8</v>
      </c>
      <c r="O14" s="140">
        <v>8</v>
      </c>
      <c r="P14" s="140"/>
      <c r="Q14" s="140">
        <v>8</v>
      </c>
      <c r="R14" s="140">
        <v>8</v>
      </c>
      <c r="S14" s="140">
        <v>8</v>
      </c>
      <c r="T14" s="140">
        <v>8</v>
      </c>
      <c r="U14" s="140">
        <v>8</v>
      </c>
      <c r="V14" s="140">
        <v>8</v>
      </c>
      <c r="W14" s="140"/>
      <c r="X14" s="140">
        <v>8</v>
      </c>
      <c r="Y14" s="140">
        <v>8</v>
      </c>
      <c r="Z14" s="140">
        <v>8</v>
      </c>
      <c r="AA14" s="140">
        <v>8</v>
      </c>
      <c r="AB14" s="140">
        <v>8</v>
      </c>
      <c r="AC14" s="140">
        <v>8</v>
      </c>
      <c r="AD14" s="140"/>
      <c r="AE14" s="140">
        <v>8</v>
      </c>
      <c r="AF14" s="140">
        <v>8</v>
      </c>
      <c r="AG14" s="140">
        <v>8</v>
      </c>
      <c r="AH14" s="140">
        <v>8</v>
      </c>
      <c r="AI14" s="140">
        <v>8</v>
      </c>
      <c r="AJ14" s="140">
        <v>8</v>
      </c>
      <c r="AK14" s="241">
        <f t="shared" ref="AK14" si="6">((SUM(F14:AJ14))/8)-(SUMIF($F$6:$AJ$6,"C.Nhật",F14:AJ14)/8)</f>
        <v>26</v>
      </c>
      <c r="AL14" s="241">
        <f t="shared" ref="AL14" si="7">SUM(F15:AJ15)/8*1.5</f>
        <v>0</v>
      </c>
      <c r="AM14" s="245">
        <f>SUMIF($F$6:$AJ$6,"C.Nhật",$F14:$AJ15)/8*2</f>
        <v>0</v>
      </c>
      <c r="AN14" s="247">
        <f>SUM(AK14:AM15)</f>
        <v>26</v>
      </c>
      <c r="AO14" s="249">
        <v>0</v>
      </c>
      <c r="AP14" s="247"/>
      <c r="AQ14" s="247"/>
      <c r="AR14" s="247"/>
      <c r="AS14" s="243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2"/>
      <c r="AL15" s="242"/>
      <c r="AM15" s="246"/>
      <c r="AN15" s="248"/>
      <c r="AO15" s="250"/>
      <c r="AP15" s="248"/>
      <c r="AQ15" s="248"/>
      <c r="AR15" s="248"/>
      <c r="AS15" s="244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1"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/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/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/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/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41">
        <f t="shared" ref="AK16" si="8">((SUM(F16:AJ16))/8)-(SUMIF($F$6:$AJ$6,"C.Nhật",F16:AJ16)/8)</f>
        <v>26</v>
      </c>
      <c r="AL16" s="241">
        <f t="shared" ref="AL16" si="9">SUM(F17:AJ17)/8*1.5</f>
        <v>0</v>
      </c>
      <c r="AM16" s="245">
        <f>SUMIF($F$6:$AJ$6,"C.Nhật",$F16:$AJ17)/8*2</f>
        <v>0</v>
      </c>
      <c r="AN16" s="247">
        <f t="shared" ref="AN16" si="10">SUM(AK16:AM17)</f>
        <v>26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12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12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T5:AT6"/>
    <mergeCell ref="AO9:AO10"/>
    <mergeCell ref="AP9:AP10"/>
    <mergeCell ref="AQ9:AQ10"/>
    <mergeCell ref="AR9:AR10"/>
    <mergeCell ref="AS9:AS10"/>
    <mergeCell ref="AS5:AS6"/>
    <mergeCell ref="AR5:AR6"/>
    <mergeCell ref="A9:A10"/>
    <mergeCell ref="B9:B10"/>
    <mergeCell ref="C9:C10"/>
    <mergeCell ref="D9:D10"/>
    <mergeCell ref="E5:E6"/>
    <mergeCell ref="A5:A6"/>
    <mergeCell ref="C5:C6"/>
    <mergeCell ref="D5:D6"/>
    <mergeCell ref="B5:B6"/>
    <mergeCell ref="A11:A12"/>
    <mergeCell ref="B11:B12"/>
    <mergeCell ref="C11:C12"/>
    <mergeCell ref="D11:D12"/>
    <mergeCell ref="AK11:AK12"/>
    <mergeCell ref="AM1:AS1"/>
    <mergeCell ref="AP11:AP12"/>
    <mergeCell ref="AQ11:AQ12"/>
    <mergeCell ref="AR11:AR12"/>
    <mergeCell ref="AS11:AS12"/>
    <mergeCell ref="AM9:AM10"/>
    <mergeCell ref="AO5:AO6"/>
    <mergeCell ref="AP5:AP6"/>
    <mergeCell ref="AN5:AN6"/>
    <mergeCell ref="AQ5:AQ6"/>
    <mergeCell ref="AL11:AL12"/>
    <mergeCell ref="AM11:AM12"/>
    <mergeCell ref="AN11:AN12"/>
    <mergeCell ref="AO11:AO12"/>
    <mergeCell ref="AK5:AM5"/>
    <mergeCell ref="AK9:AK10"/>
    <mergeCell ref="AN9:AN10"/>
    <mergeCell ref="AL9:AL10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  <mergeCell ref="AQ14:AQ15"/>
    <mergeCell ref="AR14:AR15"/>
    <mergeCell ref="A14:A15"/>
    <mergeCell ref="B14:B15"/>
    <mergeCell ref="C14:C15"/>
    <mergeCell ref="AQ16:AQ17"/>
    <mergeCell ref="AR16:AR17"/>
    <mergeCell ref="A16:A17"/>
    <mergeCell ref="B16:B17"/>
    <mergeCell ref="C16:C17"/>
    <mergeCell ref="D16:D17"/>
    <mergeCell ref="AK16:AK17"/>
    <mergeCell ref="D14:D15"/>
    <mergeCell ref="AK14:AK15"/>
  </mergeCells>
  <phoneticPr fontId="47" type="noConversion"/>
  <conditionalFormatting sqref="F5:AJ6 F9:AJ12">
    <cfRule type="expression" dxfId="107" priority="37" stopIfTrue="1">
      <formula>IF(WEEKDAY(F$5)=1,TRUE,FALSE)</formula>
    </cfRule>
  </conditionalFormatting>
  <conditionalFormatting sqref="F9:AJ12">
    <cfRule type="expression" dxfId="106" priority="34" stopIfTrue="1">
      <formula>IF(WEEKDAY(F$5)=1,TRUE,FALSE)</formula>
    </cfRule>
  </conditionalFormatting>
  <conditionalFormatting sqref="F14:AJ17">
    <cfRule type="expression" dxfId="105" priority="2" stopIfTrue="1">
      <formula>IF(WEEKDAY(F$5)=1,TRUE,FALSE)</formula>
    </cfRule>
  </conditionalFormatting>
  <conditionalFormatting sqref="F14:AJ17">
    <cfRule type="expression" dxfId="10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2" sqref="A2:A3"/>
      <selection pane="topRight" activeCell="A2" sqref="A2:A3"/>
      <selection pane="bottomLeft" activeCell="A2" sqref="A2:A3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45"/>
      <c r="C1" s="45"/>
      <c r="D1" s="276" t="str">
        <f>"BẢNG THANH TOÁN LƯƠNG THÁNG"&amp;" "&amp;TEXT($E$4,"mm")&amp;" / "&amp;TEXT($E$4,"yyyy")</f>
        <v>BẢNG THANH TOÁN LƯƠNG THÁNG 05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45"/>
      <c r="C2" s="45"/>
      <c r="D2" s="45"/>
      <c r="E2" s="78"/>
      <c r="F2" s="45"/>
      <c r="G2" s="45"/>
      <c r="H2" s="45"/>
      <c r="I2" s="45"/>
      <c r="J2" s="79"/>
      <c r="K2" s="45"/>
      <c r="L2" s="45"/>
      <c r="M2" s="170"/>
      <c r="N2" s="45"/>
      <c r="O2" s="45"/>
      <c r="P2" s="45"/>
      <c r="Q2" s="45"/>
      <c r="R2" s="45"/>
      <c r="S2" s="45"/>
      <c r="T2" s="56"/>
      <c r="U2" s="77">
        <f>MAX(F10:F18)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45"/>
      <c r="C3" s="45"/>
      <c r="D3" s="45"/>
      <c r="E3" s="78"/>
      <c r="F3" s="45"/>
      <c r="G3" s="45"/>
      <c r="H3" s="45"/>
      <c r="I3" s="45"/>
      <c r="J3" s="79"/>
      <c r="K3" s="45"/>
      <c r="L3" s="45"/>
      <c r="M3" s="170"/>
      <c r="N3" s="45"/>
      <c r="O3" s="45"/>
      <c r="P3" s="45"/>
      <c r="Q3" s="45"/>
      <c r="R3" s="45"/>
      <c r="S3" s="45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-5'!$E$4</f>
        <v>41760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32" t="s">
        <v>40</v>
      </c>
      <c r="G7" s="33" t="s">
        <v>18</v>
      </c>
      <c r="H7" s="167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-5'!$B$8:$AS$17,36,0)</f>
        <v>26</v>
      </c>
      <c r="G10" s="142">
        <f t="shared" ref="G10" si="3">ROUND(E10/$U$2*F10,0)</f>
        <v>2700000</v>
      </c>
      <c r="H10" s="89">
        <f>(VLOOKUP(B10,'CC -5'!$B$8:$AS$17,37,0)+VLOOKUP(B10,'CC -5'!$B$8:$AS$17,38,0))</f>
        <v>0</v>
      </c>
      <c r="I10" s="142">
        <f t="shared" ref="I10" si="4">ROUND(E10/$U$2*H10,0)</f>
        <v>0</v>
      </c>
      <c r="J10" s="90">
        <f t="shared" ref="J10" si="5">F10+H10</f>
        <v>26</v>
      </c>
      <c r="K10" s="37">
        <f>G10+I10</f>
        <v>2700000</v>
      </c>
      <c r="L10" s="87">
        <f t="shared" ref="L10" si="6">+F10*15000</f>
        <v>390000</v>
      </c>
      <c r="M10" s="38">
        <f t="shared" ref="M10" si="7">K10+L10</f>
        <v>3090000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3090000</v>
      </c>
      <c r="R10" s="37">
        <f>VLOOKUP(B10,DS,23,0)</f>
        <v>0</v>
      </c>
      <c r="S10" s="43">
        <f t="shared" ref="S10" si="9">Q10-R10</f>
        <v>3090000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-5'!$B$8:$AS$17,36,0)</f>
        <v>26</v>
      </c>
      <c r="G11" s="142">
        <f t="shared" ref="G11" si="13">ROUND(E11/$U$2*F11,0)</f>
        <v>2400000</v>
      </c>
      <c r="H11" s="89">
        <f>(VLOOKUP(B11,'CC -5'!$B$8:$AS$17,37,0)+VLOOKUP(B11,'CC -5'!$B$8:$AS$17,38,0))</f>
        <v>0</v>
      </c>
      <c r="I11" s="142">
        <f t="shared" ref="I11" si="14">ROUND(E11/$U$2*H11,0)</f>
        <v>0</v>
      </c>
      <c r="J11" s="90">
        <f t="shared" ref="J11" si="15">F11+H11</f>
        <v>26</v>
      </c>
      <c r="K11" s="37">
        <f t="shared" ref="K11" si="16">G11+I11</f>
        <v>2400000</v>
      </c>
      <c r="L11" s="87">
        <f t="shared" ref="L11" si="17">+F11*15000</f>
        <v>390000</v>
      </c>
      <c r="M11" s="38">
        <f t="shared" ref="M11" si="18">K11+L11</f>
        <v>2790000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2790000</v>
      </c>
      <c r="R11" s="37">
        <f>VLOOKUP(B11,DS,23,0)</f>
        <v>0</v>
      </c>
      <c r="S11" s="43">
        <f t="shared" ref="S11" si="20">Q11-R11</f>
        <v>2790000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780000</v>
      </c>
      <c r="M13" s="137">
        <f t="shared" si="21"/>
        <v>5880000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5880000</v>
      </c>
      <c r="R13" s="137">
        <f t="shared" si="21"/>
        <v>0</v>
      </c>
      <c r="S13" s="137">
        <f t="shared" si="21"/>
        <v>5880000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-5'!$B$8:$AS$17,36,0)</f>
        <v>26</v>
      </c>
      <c r="G15" s="142">
        <f t="shared" ref="G15" si="25">ROUND(E15/$U$2*F15,0)</f>
        <v>2200000</v>
      </c>
      <c r="H15" s="89">
        <f>(VLOOKUP(B15,'CC -5'!$B$8:$AS$17,37,0)+VLOOKUP(B15,'CC -5'!$B$8:$AS$17,38,0))</f>
        <v>0</v>
      </c>
      <c r="I15" s="142">
        <f t="shared" ref="I15" si="26">ROUND(E15/$U$2*H15,0)</f>
        <v>0</v>
      </c>
      <c r="J15" s="143">
        <f t="shared" ref="J15" si="27">F15+H15</f>
        <v>26</v>
      </c>
      <c r="K15" s="37">
        <f t="shared" ref="K15" si="28">G15+I15</f>
        <v>2200000</v>
      </c>
      <c r="L15" s="87">
        <f t="shared" ref="L15" si="29">+F15*15000</f>
        <v>390000</v>
      </c>
      <c r="M15" s="38">
        <f t="shared" ref="M15" si="30">K15+L15</f>
        <v>2590000</v>
      </c>
      <c r="N15" s="38">
        <f>IF(VLOOKUP(B15,DS,9,0)="x",'L - 5'!E15*$N$4,0)</f>
        <v>0</v>
      </c>
      <c r="O15" s="38">
        <f t="shared" ref="O15" si="31">IF(VLOOKUP(B15,DS,9,0)="x",E15*0.015,0)</f>
        <v>0</v>
      </c>
      <c r="P15" s="38">
        <f t="shared" ref="P15" si="32">IF(VLOOKUP(B15,DS,9,0)="x",E15*0.01,0)</f>
        <v>0</v>
      </c>
      <c r="Q15" s="37">
        <f>M15-SUM(N15:P15)</f>
        <v>2590000</v>
      </c>
      <c r="R15" s="37">
        <f t="shared" ref="R15" si="33">VLOOKUP(B15,DS,23,0)</f>
        <v>0</v>
      </c>
      <c r="S15" s="43">
        <f>Q15-R15</f>
        <v>2590000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34">VLOOKUP(B16,DS,2,0)</f>
        <v>Đoàn Hồng Phong</v>
      </c>
      <c r="D16" s="113" t="str">
        <f t="shared" ref="D16" si="35">VLOOKUP(B16,DS,3,0)</f>
        <v>Thợ đóng - xả</v>
      </c>
      <c r="E16" s="87">
        <f t="shared" ref="E16" si="36">VLOOKUP(B16,DS,4,0)</f>
        <v>2200000</v>
      </c>
      <c r="F16" s="89">
        <f>VLOOKUP(B16,'CC -5'!$B$8:$AS$17,36,0)</f>
        <v>26</v>
      </c>
      <c r="G16" s="142">
        <f t="shared" ref="G16" si="37">ROUND(E16/$U$2*F16,0)</f>
        <v>2200000</v>
      </c>
      <c r="H16" s="89">
        <f>(VLOOKUP(B16,'CC -5'!$B$8:$AS$17,37,0)+VLOOKUP(B16,'CC -5'!$B$8:$AS$17,38,0))</f>
        <v>0</v>
      </c>
      <c r="I16" s="142">
        <f t="shared" ref="I16" si="38">ROUND(E16/$U$2*H16,0)</f>
        <v>0</v>
      </c>
      <c r="J16" s="143">
        <f t="shared" ref="J16" si="39">F16+H16</f>
        <v>26</v>
      </c>
      <c r="K16" s="37">
        <f t="shared" ref="K16" si="40">G16+I16</f>
        <v>2200000</v>
      </c>
      <c r="L16" s="87">
        <f t="shared" ref="L16" si="41">+F16*15000</f>
        <v>390000</v>
      </c>
      <c r="M16" s="38">
        <f t="shared" ref="M16" si="42">K16+L16</f>
        <v>2590000</v>
      </c>
      <c r="N16" s="38">
        <f>IF(VLOOKUP(B16,DS,9,0)="x",'L - 5'!E16*$N$4,0)</f>
        <v>0</v>
      </c>
      <c r="O16" s="38">
        <f t="shared" ref="O16" si="43">IF(VLOOKUP(B16,DS,9,0)="x",E16*0.015,0)</f>
        <v>0</v>
      </c>
      <c r="P16" s="38">
        <f t="shared" ref="P16" si="44">IF(VLOOKUP(B16,DS,9,0)="x",E16*0.01,0)</f>
        <v>0</v>
      </c>
      <c r="Q16" s="37">
        <f t="shared" ref="Q16" si="45">M16-SUM(N16:P16)</f>
        <v>2590000</v>
      </c>
      <c r="R16" s="37">
        <f t="shared" ref="R16" si="46">VLOOKUP(B16,DS,23,0)</f>
        <v>0</v>
      </c>
      <c r="S16" s="43">
        <f t="shared" ref="S16" si="47">Q16-R16</f>
        <v>2590000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8">SUM(K14:K17)</f>
        <v>4400000</v>
      </c>
      <c r="L18" s="137">
        <f t="shared" si="48"/>
        <v>780000</v>
      </c>
      <c r="M18" s="137">
        <f t="shared" si="48"/>
        <v>5180000</v>
      </c>
      <c r="N18" s="137">
        <f t="shared" si="48"/>
        <v>0</v>
      </c>
      <c r="O18" s="137">
        <f t="shared" si="48"/>
        <v>0</v>
      </c>
      <c r="P18" s="137">
        <f t="shared" si="48"/>
        <v>0</v>
      </c>
      <c r="Q18" s="137">
        <f t="shared" si="48"/>
        <v>5180000</v>
      </c>
      <c r="R18" s="137">
        <f t="shared" si="48"/>
        <v>0</v>
      </c>
      <c r="S18" s="137">
        <f t="shared" si="48"/>
        <v>5180000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05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N5:P6 L5 L21 J6:K7 L7 A24:T57 U30:U57 N17:S17 V24:IK57 W12 J17:L17 A58:IK65325 Q12:S12 AF14:IK14 V13:IK13 D13:T13 D18:T18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U2" name="Range1_2_2_1_1"/>
  </protectedRanges>
  <autoFilter ref="A7:AE10"/>
  <mergeCells count="24">
    <mergeCell ref="A13:D13"/>
    <mergeCell ref="A18:D18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4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8" sqref="A18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8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06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41791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41791</v>
      </c>
      <c r="G5" s="115">
        <f t="shared" ref="G5:AJ5" si="0">F5+1</f>
        <v>41792</v>
      </c>
      <c r="H5" s="115">
        <f t="shared" si="0"/>
        <v>41793</v>
      </c>
      <c r="I5" s="115">
        <f t="shared" si="0"/>
        <v>41794</v>
      </c>
      <c r="J5" s="115">
        <f t="shared" si="0"/>
        <v>41795</v>
      </c>
      <c r="K5" s="115">
        <f t="shared" si="0"/>
        <v>41796</v>
      </c>
      <c r="L5" s="115">
        <f t="shared" si="0"/>
        <v>41797</v>
      </c>
      <c r="M5" s="115">
        <f t="shared" si="0"/>
        <v>41798</v>
      </c>
      <c r="N5" s="115">
        <f t="shared" si="0"/>
        <v>41799</v>
      </c>
      <c r="O5" s="115">
        <f t="shared" si="0"/>
        <v>41800</v>
      </c>
      <c r="P5" s="115">
        <f t="shared" si="0"/>
        <v>41801</v>
      </c>
      <c r="Q5" s="115">
        <f t="shared" si="0"/>
        <v>41802</v>
      </c>
      <c r="R5" s="115">
        <f t="shared" si="0"/>
        <v>41803</v>
      </c>
      <c r="S5" s="115">
        <f t="shared" si="0"/>
        <v>41804</v>
      </c>
      <c r="T5" s="115">
        <f t="shared" si="0"/>
        <v>41805</v>
      </c>
      <c r="U5" s="115">
        <f t="shared" si="0"/>
        <v>41806</v>
      </c>
      <c r="V5" s="115">
        <f t="shared" si="0"/>
        <v>41807</v>
      </c>
      <c r="W5" s="115">
        <f t="shared" si="0"/>
        <v>41808</v>
      </c>
      <c r="X5" s="115">
        <f t="shared" si="0"/>
        <v>41809</v>
      </c>
      <c r="Y5" s="115">
        <f t="shared" si="0"/>
        <v>41810</v>
      </c>
      <c r="Z5" s="115">
        <f t="shared" si="0"/>
        <v>41811</v>
      </c>
      <c r="AA5" s="115">
        <f t="shared" si="0"/>
        <v>41812</v>
      </c>
      <c r="AB5" s="115">
        <f t="shared" si="0"/>
        <v>41813</v>
      </c>
      <c r="AC5" s="115">
        <f t="shared" si="0"/>
        <v>41814</v>
      </c>
      <c r="AD5" s="115">
        <f t="shared" si="0"/>
        <v>41815</v>
      </c>
      <c r="AE5" s="115">
        <f t="shared" si="0"/>
        <v>41816</v>
      </c>
      <c r="AF5" s="115">
        <f t="shared" si="0"/>
        <v>41817</v>
      </c>
      <c r="AG5" s="115">
        <f t="shared" si="0"/>
        <v>41818</v>
      </c>
      <c r="AH5" s="115">
        <f>AG5+1</f>
        <v>41819</v>
      </c>
      <c r="AI5" s="115">
        <f t="shared" si="0"/>
        <v>41820</v>
      </c>
      <c r="AJ5" s="115">
        <f t="shared" si="0"/>
        <v>41821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C.Nhật</v>
      </c>
      <c r="G6" s="171" t="str">
        <f t="shared" ref="G6:AJ6" si="1">CHOOSE(WEEKDAY(G5),"C.Nhật","T.Hai","T.Ba","T.Tư","T.Năm","T.Sáu","T.Bảy")</f>
        <v>T.Hai</v>
      </c>
      <c r="H6" s="171" t="str">
        <f t="shared" si="1"/>
        <v>T.Ba</v>
      </c>
      <c r="I6" s="171" t="str">
        <f t="shared" si="1"/>
        <v>T.Tư</v>
      </c>
      <c r="J6" s="171" t="str">
        <f t="shared" si="1"/>
        <v>T.Năm</v>
      </c>
      <c r="K6" s="171" t="str">
        <f t="shared" si="1"/>
        <v>T.Sáu</v>
      </c>
      <c r="L6" s="171" t="str">
        <f t="shared" si="1"/>
        <v>T.Bảy</v>
      </c>
      <c r="M6" s="171" t="str">
        <f t="shared" si="1"/>
        <v>C.Nhật</v>
      </c>
      <c r="N6" s="171" t="str">
        <f t="shared" si="1"/>
        <v>T.Hai</v>
      </c>
      <c r="O6" s="171" t="str">
        <f t="shared" si="1"/>
        <v>T.Ba</v>
      </c>
      <c r="P6" s="171" t="str">
        <f t="shared" si="1"/>
        <v>T.Tư</v>
      </c>
      <c r="Q6" s="171" t="str">
        <f t="shared" si="1"/>
        <v>T.Năm</v>
      </c>
      <c r="R6" s="171" t="str">
        <f t="shared" si="1"/>
        <v>T.Sáu</v>
      </c>
      <c r="S6" s="171" t="str">
        <f t="shared" si="1"/>
        <v>T.Bảy</v>
      </c>
      <c r="T6" s="171" t="str">
        <f t="shared" si="1"/>
        <v>C.Nhật</v>
      </c>
      <c r="U6" s="171" t="str">
        <f t="shared" si="1"/>
        <v>T.Hai</v>
      </c>
      <c r="V6" s="171" t="str">
        <f t="shared" si="1"/>
        <v>T.Ba</v>
      </c>
      <c r="W6" s="171" t="str">
        <f t="shared" si="1"/>
        <v>T.Tư</v>
      </c>
      <c r="X6" s="171" t="str">
        <f t="shared" si="1"/>
        <v>T.Năm</v>
      </c>
      <c r="Y6" s="171" t="str">
        <f t="shared" si="1"/>
        <v>T.Sáu</v>
      </c>
      <c r="Z6" s="171" t="str">
        <f t="shared" si="1"/>
        <v>T.Bảy</v>
      </c>
      <c r="AA6" s="171" t="str">
        <f t="shared" si="1"/>
        <v>C.Nhật</v>
      </c>
      <c r="AB6" s="171" t="str">
        <f t="shared" si="1"/>
        <v>T.Hai</v>
      </c>
      <c r="AC6" s="171" t="str">
        <f t="shared" si="1"/>
        <v>T.Ba</v>
      </c>
      <c r="AD6" s="171" t="str">
        <f t="shared" si="1"/>
        <v>T.Tư</v>
      </c>
      <c r="AE6" s="171" t="str">
        <f t="shared" si="1"/>
        <v>T.Năm</v>
      </c>
      <c r="AF6" s="171" t="str">
        <f t="shared" si="1"/>
        <v>T.Sáu</v>
      </c>
      <c r="AG6" s="171" t="str">
        <f t="shared" si="1"/>
        <v>T.Bảy</v>
      </c>
      <c r="AH6" s="171" t="str">
        <f t="shared" si="1"/>
        <v>C.Nhật</v>
      </c>
      <c r="AI6" s="171" t="str">
        <f t="shared" si="1"/>
        <v>T.Hai</v>
      </c>
      <c r="AJ6" s="171" t="str">
        <f t="shared" si="1"/>
        <v>T.Ba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0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160</v>
      </c>
      <c r="C9" s="253" t="str">
        <f>VLOOKUP(B9,DS,2,0)</f>
        <v>Phan Văn Hiền</v>
      </c>
      <c r="D9" s="255" t="str">
        <f>VLOOKUP(B9,DS,3,0)</f>
        <v>Quản Đốc</v>
      </c>
      <c r="E9" s="65" t="s">
        <v>32</v>
      </c>
      <c r="F9" s="140"/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/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/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/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/>
      <c r="AI9" s="140">
        <v>8</v>
      </c>
      <c r="AJ9" s="140"/>
      <c r="AK9" s="241">
        <f>((SUM(F9:AJ9))/8)-(SUMIF($F$6:$AJ$6,"C.Nhật",F9:AJ9)/8)</f>
        <v>25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25</v>
      </c>
      <c r="AO9" s="249">
        <v>0</v>
      </c>
      <c r="AP9" s="247"/>
      <c r="AQ9" s="247"/>
      <c r="AR9" s="247"/>
      <c r="AS9" s="243"/>
      <c r="AT9" s="190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190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f>A7+1</f>
        <v>2</v>
      </c>
      <c r="B11" s="251" t="s">
        <v>173</v>
      </c>
      <c r="C11" s="253" t="str">
        <f>VLOOKUP(B11,DS,2,0)</f>
        <v>Nguyễn Thị Thu Sương</v>
      </c>
      <c r="D11" s="255" t="str">
        <f>VLOOKUP(B11,DS,3,0)</f>
        <v>Kinh Doanh</v>
      </c>
      <c r="E11" s="65" t="s">
        <v>32</v>
      </c>
      <c r="F11" s="140"/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/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/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/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/>
      <c r="AI11" s="140">
        <v>8</v>
      </c>
      <c r="AJ11" s="140"/>
      <c r="AK11" s="241">
        <f t="shared" ref="AK11" si="2">((SUM(F11:AJ11))/8)-(SUMIF($F$6:$AJ$6,"C.Nhật",F11:AJ11)/8)</f>
        <v>25</v>
      </c>
      <c r="AL11" s="241">
        <f t="shared" ref="AL11" si="3">SUM(F12:AJ12)/8*1.5</f>
        <v>0</v>
      </c>
      <c r="AM11" s="245">
        <f t="shared" ref="AM11" si="4">SUMIF($F$6:$AJ$6,"C.Nhật",$F11:$AJ12)/8*2</f>
        <v>0</v>
      </c>
      <c r="AN11" s="247">
        <f t="shared" ref="AN11" si="5">SUM(AK11:AM12)</f>
        <v>25</v>
      </c>
      <c r="AO11" s="249">
        <v>0</v>
      </c>
      <c r="AP11" s="247"/>
      <c r="AQ11" s="247"/>
      <c r="AR11" s="247"/>
      <c r="AS11" s="243"/>
      <c r="AT11" s="194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194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177" customFormat="1" ht="21" customHeight="1">
      <c r="A13" s="175" t="s">
        <v>156</v>
      </c>
      <c r="B13" s="178" t="s">
        <v>159</v>
      </c>
      <c r="C13" s="179"/>
      <c r="D13" s="179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79"/>
      <c r="AN13" s="179"/>
      <c r="AO13" s="179"/>
      <c r="AP13" s="179"/>
      <c r="AQ13" s="179"/>
      <c r="AR13" s="179"/>
      <c r="AS13" s="180"/>
      <c r="AT13" s="176"/>
    </row>
    <row r="14" spans="1:91" s="64" customFormat="1" ht="18" customHeight="1">
      <c r="A14" s="251">
        <v>1</v>
      </c>
      <c r="B14" s="251" t="s">
        <v>161</v>
      </c>
      <c r="C14" s="253" t="str">
        <f>VLOOKUP(B14,DS,2,0)</f>
        <v>Nguyễn Trường Giang</v>
      </c>
      <c r="D14" s="255" t="str">
        <f>VLOOKUP(B14,DS,3,0)</f>
        <v>Thợ in</v>
      </c>
      <c r="E14" s="65" t="s">
        <v>32</v>
      </c>
      <c r="F14" s="140"/>
      <c r="G14" s="140">
        <v>8</v>
      </c>
      <c r="H14" s="140">
        <v>8</v>
      </c>
      <c r="I14" s="140">
        <v>8</v>
      </c>
      <c r="J14" s="140">
        <v>8</v>
      </c>
      <c r="K14" s="140">
        <v>8</v>
      </c>
      <c r="L14" s="140">
        <v>8</v>
      </c>
      <c r="M14" s="140"/>
      <c r="N14" s="140">
        <v>8</v>
      </c>
      <c r="O14" s="140">
        <v>8</v>
      </c>
      <c r="P14" s="140">
        <v>8</v>
      </c>
      <c r="Q14" s="140">
        <v>8</v>
      </c>
      <c r="R14" s="140">
        <v>8</v>
      </c>
      <c r="S14" s="140">
        <v>8</v>
      </c>
      <c r="T14" s="140"/>
      <c r="U14" s="140">
        <v>8</v>
      </c>
      <c r="V14" s="140">
        <v>8</v>
      </c>
      <c r="W14" s="140">
        <v>8</v>
      </c>
      <c r="X14" s="140">
        <v>8</v>
      </c>
      <c r="Y14" s="140">
        <v>8</v>
      </c>
      <c r="Z14" s="140">
        <v>8</v>
      </c>
      <c r="AA14" s="140"/>
      <c r="AB14" s="140">
        <v>8</v>
      </c>
      <c r="AC14" s="140">
        <v>8</v>
      </c>
      <c r="AD14" s="140">
        <v>8</v>
      </c>
      <c r="AE14" s="140">
        <v>8</v>
      </c>
      <c r="AF14" s="140">
        <v>8</v>
      </c>
      <c r="AG14" s="140">
        <v>8</v>
      </c>
      <c r="AH14" s="140"/>
      <c r="AI14" s="140">
        <v>8</v>
      </c>
      <c r="AJ14" s="140"/>
      <c r="AK14" s="241">
        <f t="shared" ref="AK14" si="6">((SUM(F14:AJ14))/8)-(SUMIF($F$6:$AJ$6,"C.Nhật",F14:AJ14)/8)</f>
        <v>25</v>
      </c>
      <c r="AL14" s="241">
        <f t="shared" ref="AL14" si="7">SUM(F15:AJ15)/8*1.5</f>
        <v>0</v>
      </c>
      <c r="AM14" s="245">
        <f>SUMIF($F$6:$AJ$6,"C.Nhật",$F14:$AJ15)/8*2</f>
        <v>0</v>
      </c>
      <c r="AN14" s="247">
        <f>SUM(AK14:AM15)</f>
        <v>25</v>
      </c>
      <c r="AO14" s="249">
        <v>0</v>
      </c>
      <c r="AP14" s="247"/>
      <c r="AQ14" s="247"/>
      <c r="AR14" s="247"/>
      <c r="AS14" s="243"/>
      <c r="AT14" s="21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4" customFormat="1" ht="18" customHeight="1">
      <c r="A15" s="252"/>
      <c r="B15" s="252"/>
      <c r="C15" s="254"/>
      <c r="D15" s="256"/>
      <c r="E15" s="66" t="s">
        <v>31</v>
      </c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242"/>
      <c r="AL15" s="242"/>
      <c r="AM15" s="246"/>
      <c r="AN15" s="248"/>
      <c r="AO15" s="250"/>
      <c r="AP15" s="248"/>
      <c r="AQ15" s="248"/>
      <c r="AR15" s="248"/>
      <c r="AS15" s="244"/>
      <c r="AT15" s="21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4" customFormat="1" ht="18" customHeight="1">
      <c r="A16" s="251">
        <v>2</v>
      </c>
      <c r="B16" s="251" t="s">
        <v>162</v>
      </c>
      <c r="C16" s="253" t="str">
        <f>VLOOKUP(B16,DS,2,0)</f>
        <v>Đoàn Hồng Phong</v>
      </c>
      <c r="D16" s="255" t="str">
        <f>VLOOKUP(B16,DS,3,0)</f>
        <v>Thợ đóng - xả</v>
      </c>
      <c r="E16" s="65" t="s">
        <v>32</v>
      </c>
      <c r="F16" s="140"/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/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/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/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/>
      <c r="AI16" s="140">
        <v>8</v>
      </c>
      <c r="AJ16" s="140"/>
      <c r="AK16" s="241">
        <f t="shared" ref="AK16" si="8">((SUM(F16:AJ16))/8)-(SUMIF($F$6:$AJ$6,"C.Nhật",F16:AJ16)/8)</f>
        <v>25</v>
      </c>
      <c r="AL16" s="241">
        <f t="shared" ref="AL16" si="9">SUM(F17:AJ17)/8*1.5</f>
        <v>0</v>
      </c>
      <c r="AM16" s="245">
        <f>SUMIF($F$6:$AJ$6,"C.Nhật",$F16:$AJ17)/8*2</f>
        <v>0</v>
      </c>
      <c r="AN16" s="247">
        <f t="shared" ref="AN16" si="10">SUM(AK16:AM17)</f>
        <v>25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2.75">
      <c r="A18" s="14"/>
      <c r="B18" s="68"/>
      <c r="C18" s="4"/>
      <c r="D18" s="110"/>
      <c r="E18" s="4"/>
      <c r="F18" s="72"/>
      <c r="G18" s="72"/>
      <c r="H18" s="69"/>
      <c r="I18" s="69"/>
      <c r="J18" s="117"/>
      <c r="K18" s="72"/>
      <c r="L18" s="69"/>
      <c r="M18" s="72"/>
      <c r="N18" s="72"/>
      <c r="O18" s="72"/>
      <c r="P18" s="72"/>
      <c r="Q18" s="69"/>
      <c r="R18" s="72"/>
      <c r="S18" s="72"/>
      <c r="T18" s="117"/>
      <c r="U18" s="72"/>
      <c r="V18" s="72"/>
      <c r="W18" s="72"/>
      <c r="X18" s="68"/>
      <c r="Y18" s="72"/>
      <c r="Z18" s="72"/>
      <c r="AA18" s="72"/>
      <c r="AB18" s="72"/>
      <c r="AC18" s="72"/>
      <c r="AD18" s="69"/>
      <c r="AE18" s="72"/>
      <c r="AF18" s="72"/>
      <c r="AG18" s="72"/>
      <c r="AH18" s="72"/>
      <c r="AI18" s="72"/>
      <c r="AJ18" s="72"/>
      <c r="AK18" s="4"/>
      <c r="AL18" s="4"/>
      <c r="AM18" s="95"/>
      <c r="AN18" s="71"/>
      <c r="AO18" s="71"/>
      <c r="AP18" s="71"/>
      <c r="AQ18" s="71"/>
      <c r="AR18" s="71"/>
      <c r="AS18" s="4"/>
      <c r="AT18" s="101"/>
    </row>
    <row r="19" spans="1:90" s="67" customFormat="1" ht="12.75">
      <c r="A19" s="14"/>
      <c r="B19" s="68"/>
      <c r="C19" s="14" t="s">
        <v>14</v>
      </c>
      <c r="D19" s="110"/>
      <c r="E19" s="4"/>
      <c r="F19" s="72"/>
      <c r="G19" s="72"/>
      <c r="H19" s="69"/>
      <c r="I19" s="69"/>
      <c r="J19" s="117"/>
      <c r="K19" s="72"/>
      <c r="L19" s="69"/>
      <c r="M19" s="72"/>
      <c r="N19" s="72"/>
      <c r="O19" s="72"/>
      <c r="P19" s="72"/>
      <c r="Q19" s="69"/>
      <c r="R19" s="72"/>
      <c r="S19" s="72"/>
      <c r="T19" s="117"/>
      <c r="U19" s="72"/>
      <c r="V19" s="72"/>
      <c r="W19" s="72"/>
      <c r="X19" s="68"/>
      <c r="Y19" s="72"/>
      <c r="Z19" s="72"/>
      <c r="AA19" s="72"/>
      <c r="AB19" s="72"/>
      <c r="AC19" s="72"/>
      <c r="AD19" s="69"/>
      <c r="AE19" s="72"/>
      <c r="AF19" s="72"/>
      <c r="AG19" s="72"/>
      <c r="AH19" s="72"/>
      <c r="AI19" s="72"/>
      <c r="AJ19" s="72"/>
      <c r="AK19" s="4"/>
      <c r="AL19" s="4"/>
      <c r="AM19" s="95"/>
      <c r="AN19" s="71"/>
      <c r="AO19" s="71"/>
      <c r="AP19" s="71"/>
      <c r="AQ19" s="71"/>
      <c r="AR19" s="71"/>
      <c r="AS19" s="4"/>
      <c r="AT19" s="101"/>
    </row>
    <row r="20" spans="1:90" s="67" customFormat="1" ht="12.75">
      <c r="A20" s="12"/>
      <c r="B20" s="12"/>
      <c r="C20" s="4"/>
      <c r="D20" s="110"/>
      <c r="E20" s="4"/>
      <c r="F20" s="72"/>
      <c r="G20" s="72"/>
      <c r="H20" s="118"/>
      <c r="I20" s="118"/>
      <c r="J20" s="118"/>
      <c r="K20" s="72"/>
      <c r="L20" s="118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118"/>
      <c r="AE20" s="72"/>
      <c r="AF20" s="72"/>
      <c r="AG20" s="72"/>
      <c r="AH20" s="72"/>
      <c r="AI20" s="72"/>
      <c r="AJ20" s="72"/>
      <c r="AK20" s="4"/>
      <c r="AL20" s="4"/>
      <c r="AM20" s="95"/>
      <c r="AN20" s="73"/>
      <c r="AO20" s="73"/>
      <c r="AP20" s="73"/>
      <c r="AQ20" s="73"/>
      <c r="AR20" s="73"/>
      <c r="AS20" s="4"/>
      <c r="AT20" s="101"/>
    </row>
    <row r="21" spans="1:90" s="70" customFormat="1" ht="15" customHeight="1">
      <c r="A21" s="12"/>
      <c r="B21" s="12"/>
      <c r="C21" s="4"/>
      <c r="D21" s="110"/>
      <c r="E21" s="4"/>
      <c r="F21" s="72"/>
      <c r="G21" s="72"/>
      <c r="H21" s="118"/>
      <c r="I21" s="118"/>
      <c r="J21" s="118"/>
      <c r="K21" s="72"/>
      <c r="L21" s="118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118"/>
      <c r="AE21" s="72"/>
      <c r="AF21" s="72"/>
      <c r="AG21" s="72"/>
      <c r="AH21" s="72"/>
      <c r="AI21" s="72"/>
      <c r="AJ21" s="72"/>
      <c r="AK21" s="4"/>
      <c r="AL21" s="4"/>
      <c r="AM21" s="95"/>
      <c r="AN21" s="73"/>
      <c r="AO21" s="73"/>
      <c r="AP21" s="73"/>
      <c r="AQ21" s="73"/>
      <c r="AR21" s="73"/>
      <c r="AS21" s="4"/>
      <c r="AT21" s="4"/>
    </row>
    <row r="22" spans="1:90" s="70" customFormat="1" ht="11.25">
      <c r="A22" s="12"/>
      <c r="B22" s="12"/>
      <c r="C22" s="4"/>
      <c r="D22" s="110"/>
      <c r="E22" s="4"/>
      <c r="F22" s="72"/>
      <c r="G22" s="72"/>
      <c r="H22" s="118"/>
      <c r="I22" s="118"/>
      <c r="J22" s="118"/>
      <c r="K22" s="72"/>
      <c r="L22" s="118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118"/>
      <c r="AE22" s="72"/>
      <c r="AF22" s="72"/>
      <c r="AG22" s="72"/>
      <c r="AH22" s="72"/>
      <c r="AI22" s="72"/>
      <c r="AJ22" s="72"/>
      <c r="AK22" s="4"/>
      <c r="AL22" s="4"/>
      <c r="AM22" s="95"/>
      <c r="AN22" s="73"/>
      <c r="AO22" s="73"/>
      <c r="AP22" s="73"/>
      <c r="AQ22" s="73"/>
      <c r="AR22" s="73"/>
      <c r="AS22" s="4"/>
      <c r="AT22" s="4"/>
    </row>
    <row r="23" spans="1:90" s="70" customFormat="1" ht="11.25">
      <c r="A23" s="12"/>
      <c r="B23" s="12"/>
      <c r="C23" s="4"/>
      <c r="D23" s="110"/>
      <c r="E23" s="4"/>
      <c r="F23" s="72"/>
      <c r="G23" s="72"/>
      <c r="H23" s="118"/>
      <c r="I23" s="118"/>
      <c r="J23" s="118"/>
      <c r="K23" s="72"/>
      <c r="L23" s="118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118"/>
      <c r="AE23" s="72"/>
      <c r="AF23" s="72"/>
      <c r="AG23" s="72"/>
      <c r="AH23" s="72"/>
      <c r="AI23" s="72"/>
      <c r="AJ23" s="72"/>
      <c r="AK23" s="4"/>
      <c r="AL23" s="4"/>
      <c r="AM23" s="95"/>
      <c r="AN23" s="73"/>
      <c r="AO23" s="73"/>
      <c r="AP23" s="73"/>
      <c r="AQ23" s="73"/>
      <c r="AR23" s="73"/>
      <c r="AS23" s="4"/>
      <c r="AT23" s="4"/>
    </row>
    <row r="24" spans="1:90" s="70" customFormat="1" ht="11.25">
      <c r="A24" s="10"/>
      <c r="B24" s="10"/>
      <c r="C24" s="14"/>
      <c r="D24" s="111"/>
      <c r="E24" s="74"/>
      <c r="F24" s="117"/>
      <c r="G24" s="119"/>
      <c r="H24" s="69"/>
      <c r="I24" s="69"/>
      <c r="J24" s="69"/>
      <c r="K24" s="119"/>
      <c r="L24" s="69"/>
      <c r="M24" s="119"/>
      <c r="N24" s="119"/>
      <c r="O24" s="119"/>
      <c r="P24" s="119"/>
      <c r="Q24" s="69"/>
      <c r="R24" s="117"/>
      <c r="S24" s="119"/>
      <c r="T24" s="119"/>
      <c r="U24" s="69"/>
      <c r="V24" s="119"/>
      <c r="W24" s="119"/>
      <c r="X24" s="69"/>
      <c r="Y24" s="119"/>
      <c r="Z24" s="119"/>
      <c r="AA24" s="119"/>
      <c r="AB24" s="119"/>
      <c r="AC24" s="119"/>
      <c r="AD24" s="69"/>
      <c r="AE24" s="119"/>
      <c r="AF24" s="119"/>
      <c r="AG24" s="119"/>
      <c r="AH24" s="119"/>
      <c r="AI24" s="119"/>
      <c r="AJ24" s="119"/>
      <c r="AK24" s="74"/>
      <c r="AM24" s="96"/>
      <c r="AN24" s="10"/>
      <c r="AO24" s="10"/>
      <c r="AP24" s="10"/>
      <c r="AQ24" s="10"/>
      <c r="AR24" s="10"/>
      <c r="AS24" s="14"/>
      <c r="AT24" s="4"/>
    </row>
    <row r="25" spans="1:90" s="70" customFormat="1" ht="12.75">
      <c r="A25" s="2"/>
      <c r="B25" s="2" t="s">
        <v>0</v>
      </c>
      <c r="C25" s="2"/>
      <c r="D25" s="188"/>
      <c r="E25" s="2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1"/>
      <c r="AI25" s="121"/>
      <c r="AJ25" s="121"/>
      <c r="AK25" s="2"/>
      <c r="AL25" s="2"/>
      <c r="AM25" s="97"/>
      <c r="AN25" s="2"/>
      <c r="AO25" s="2"/>
      <c r="AP25" s="2"/>
      <c r="AQ25" s="2"/>
      <c r="AR25" s="2"/>
      <c r="AS25" s="2"/>
      <c r="AT25" s="4"/>
    </row>
    <row r="26" spans="1:90" s="70" customFormat="1" ht="12.75">
      <c r="A26" s="2"/>
      <c r="B26" s="2"/>
      <c r="C26" s="2" t="s">
        <v>46</v>
      </c>
      <c r="D26" s="188"/>
      <c r="E26" s="2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1"/>
      <c r="AI26" s="121"/>
      <c r="AJ26" s="121"/>
      <c r="AK26" s="2"/>
      <c r="AL26" s="2"/>
      <c r="AM26" s="97"/>
      <c r="AN26" s="2"/>
      <c r="AO26" s="2"/>
      <c r="AP26" s="2"/>
      <c r="AQ26" s="2"/>
      <c r="AR26" s="2"/>
      <c r="AS26" s="2"/>
      <c r="AT26" s="14"/>
    </row>
    <row r="27" spans="1:90" ht="15" customHeight="1">
      <c r="C27" s="2" t="s">
        <v>47</v>
      </c>
    </row>
    <row r="28" spans="1:90" ht="15" customHeight="1">
      <c r="C28" s="2" t="s">
        <v>48</v>
      </c>
    </row>
    <row r="29" spans="1:90" ht="15" customHeight="1">
      <c r="C29" s="2" t="s">
        <v>49</v>
      </c>
    </row>
    <row r="30" spans="1:90" ht="15" customHeight="1">
      <c r="C30" s="2" t="s">
        <v>50</v>
      </c>
    </row>
    <row r="31" spans="1:90" ht="15" customHeight="1">
      <c r="C31" s="2" t="s">
        <v>51</v>
      </c>
    </row>
    <row r="32" spans="1:90" ht="15" customHeight="1">
      <c r="C32" s="2" t="s">
        <v>52</v>
      </c>
    </row>
    <row r="33" spans="3:3" ht="15" customHeight="1">
      <c r="C33" s="2" t="s">
        <v>53</v>
      </c>
    </row>
    <row r="34" spans="3:3" ht="15" customHeight="1">
      <c r="C34" s="2" t="s">
        <v>54</v>
      </c>
    </row>
  </sheetData>
  <protectedRanges>
    <protectedRange password="CC78" sqref="A1:A3" name="Range1_2_1"/>
    <protectedRange password="CC78" sqref="A9:A12" name="Range1_1"/>
    <protectedRange password="CC78" sqref="A9:A12 C9:E12" name="Range1_6"/>
    <protectedRange password="CC78" sqref="B9:B12" name="Range1_4"/>
    <protectedRange password="CC78" sqref="J20:J23 Q18:Q19" name="Range1_1_1_1"/>
    <protectedRange password="CC78" sqref="J24" name="Range1_3_1_1"/>
    <protectedRange password="CC78" sqref="A14:A17" name="Range1_1_2"/>
    <protectedRange password="CC78" sqref="C14:E17 A14:A17" name="Range1_6_2"/>
    <protectedRange password="CC78" sqref="B14:B17" name="Range1_4_2"/>
  </protectedRanges>
  <mergeCells count="66"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4:A15"/>
    <mergeCell ref="B14:B15"/>
    <mergeCell ref="C14:C15"/>
    <mergeCell ref="AS11:AS12"/>
    <mergeCell ref="A11:A12"/>
    <mergeCell ref="B11:B12"/>
    <mergeCell ref="AN11:AN12"/>
    <mergeCell ref="AO11:AO12"/>
    <mergeCell ref="C11:C12"/>
    <mergeCell ref="D11:D12"/>
    <mergeCell ref="AK11:AK12"/>
    <mergeCell ref="AL11:AL12"/>
    <mergeCell ref="D14:D15"/>
    <mergeCell ref="AK14:AK15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M9:AM10"/>
    <mergeCell ref="AN9:AN10"/>
    <mergeCell ref="AO9:AO10"/>
    <mergeCell ref="AQ14:AQ15"/>
    <mergeCell ref="AR14:AR15"/>
    <mergeCell ref="AM11:AM12"/>
    <mergeCell ref="AP11:AP12"/>
    <mergeCell ref="AQ11:AQ12"/>
    <mergeCell ref="AR11:AR12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4:AL15"/>
    <mergeCell ref="AM14:AM15"/>
    <mergeCell ref="AN14:AN15"/>
    <mergeCell ref="AO14:AO15"/>
    <mergeCell ref="AP14:AP15"/>
    <mergeCell ref="AL16:AL17"/>
    <mergeCell ref="AM16:AM17"/>
    <mergeCell ref="AN16:AN17"/>
    <mergeCell ref="AO16:AO17"/>
    <mergeCell ref="AP16:AP17"/>
    <mergeCell ref="AS14:AS15"/>
  </mergeCells>
  <conditionalFormatting sqref="F5:AJ6 F9:AJ10 F11:AI12">
    <cfRule type="expression" dxfId="103" priority="29" stopIfTrue="1">
      <formula>IF(WEEKDAY(F$5)=1,TRUE,FALSE)</formula>
    </cfRule>
  </conditionalFormatting>
  <conditionalFormatting sqref="F9:AJ10 F11:AI12">
    <cfRule type="expression" dxfId="102" priority="28" stopIfTrue="1">
      <formula>IF(WEEKDAY(F$5)=1,TRUE,FALSE)</formula>
    </cfRule>
  </conditionalFormatting>
  <conditionalFormatting sqref="AJ11:AJ12">
    <cfRule type="expression" dxfId="101" priority="19" stopIfTrue="1">
      <formula>IF(WEEKDAY(AJ$5)=1,TRUE,FALSE)</formula>
    </cfRule>
  </conditionalFormatting>
  <conditionalFormatting sqref="AJ11:AJ12">
    <cfRule type="expression" dxfId="100" priority="18" stopIfTrue="1">
      <formula>IF(WEEKDAY(AJ$5)=1,TRUE,FALSE)</formula>
    </cfRule>
  </conditionalFormatting>
  <conditionalFormatting sqref="AJ14:AJ17">
    <cfRule type="expression" dxfId="99" priority="17" stopIfTrue="1">
      <formula>IF(WEEKDAY(AJ$5)=1,TRUE,FALSE)</formula>
    </cfRule>
  </conditionalFormatting>
  <conditionalFormatting sqref="AJ14:AJ17">
    <cfRule type="expression" dxfId="98" priority="16" stopIfTrue="1">
      <formula>IF(WEEKDAY(AJ$5)=1,TRUE,FALSE)</formula>
    </cfRule>
  </conditionalFormatting>
  <conditionalFormatting sqref="AJ14:AJ17">
    <cfRule type="expression" dxfId="97" priority="15" stopIfTrue="1">
      <formula>IF(WEEKDAY(AJ$5)=1,TRUE,FALSE)</formula>
    </cfRule>
  </conditionalFormatting>
  <conditionalFormatting sqref="AJ14:AJ17">
    <cfRule type="expression" dxfId="96" priority="13" stopIfTrue="1">
      <formula>IF(WEEKDAY(AJ$5)=1,TRUE,FALSE)</formula>
    </cfRule>
  </conditionalFormatting>
  <conditionalFormatting sqref="AJ14:AJ17">
    <cfRule type="expression" dxfId="95" priority="11" stopIfTrue="1">
      <formula>IF(WEEKDAY(AJ$5)=1,TRUE,FALSE)</formula>
    </cfRule>
  </conditionalFormatting>
  <conditionalFormatting sqref="AJ14:AJ17">
    <cfRule type="expression" dxfId="94" priority="10" stopIfTrue="1">
      <formula>IF(WEEKDAY(AJ$5)=1,TRUE,FALSE)</formula>
    </cfRule>
  </conditionalFormatting>
  <conditionalFormatting sqref="AJ14:AJ17">
    <cfRule type="expression" dxfId="93" priority="9" stopIfTrue="1">
      <formula>IF(WEEKDAY(AJ$5)=1,TRUE,FALSE)</formula>
    </cfRule>
  </conditionalFormatting>
  <conditionalFormatting sqref="F14:AI17">
    <cfRule type="expression" dxfId="92" priority="2" stopIfTrue="1">
      <formula>IF(WEEKDAY(F$5)=1,TRUE,FALSE)</formula>
    </cfRule>
  </conditionalFormatting>
  <conditionalFormatting sqref="F14:AI17">
    <cfRule type="expression" dxfId="9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29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8" activeCellId="1" sqref="S13 S1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1"/>
      <c r="C1" s="191"/>
      <c r="D1" s="276" t="str">
        <f>"BẢNG THANH TOÁN LƯƠNG THÁNG"&amp;" "&amp;TEXT($E$4,"mm")&amp;" / "&amp;TEXT($E$4,"yyyy")</f>
        <v>BẢNG THANH TOÁN LƯƠNG THÁNG 06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1"/>
      <c r="C2" s="191"/>
      <c r="D2" s="191"/>
      <c r="E2" s="78"/>
      <c r="F2" s="191"/>
      <c r="G2" s="191"/>
      <c r="H2" s="191"/>
      <c r="I2" s="191"/>
      <c r="J2" s="79"/>
      <c r="K2" s="191"/>
      <c r="L2" s="191"/>
      <c r="M2" s="191"/>
      <c r="N2" s="191"/>
      <c r="O2" s="191"/>
      <c r="P2" s="191"/>
      <c r="Q2" s="191"/>
      <c r="R2" s="191"/>
      <c r="S2" s="191"/>
      <c r="T2" s="56"/>
      <c r="U2" s="77">
        <f>MAX(F10:F18)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1"/>
      <c r="C3" s="191"/>
      <c r="D3" s="191"/>
      <c r="E3" s="78"/>
      <c r="F3" s="191"/>
      <c r="G3" s="191"/>
      <c r="H3" s="191"/>
      <c r="I3" s="191"/>
      <c r="J3" s="79"/>
      <c r="K3" s="191"/>
      <c r="L3" s="191"/>
      <c r="M3" s="191"/>
      <c r="N3" s="191"/>
      <c r="O3" s="191"/>
      <c r="P3" s="191"/>
      <c r="Q3" s="191"/>
      <c r="R3" s="191"/>
      <c r="S3" s="191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-6'!$E$4</f>
        <v>41791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192" t="s">
        <v>40</v>
      </c>
      <c r="G7" s="189" t="s">
        <v>18</v>
      </c>
      <c r="H7" s="192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160</v>
      </c>
      <c r="C10" s="86" t="str">
        <f t="shared" ref="C10" si="0">VLOOKUP(B10,DS,2,0)</f>
        <v>Phan Văn Hiền</v>
      </c>
      <c r="D10" s="113" t="str">
        <f t="shared" ref="D10" si="1">VLOOKUP(B10,DS,3,0)</f>
        <v>Quản Đốc</v>
      </c>
      <c r="E10" s="87">
        <f t="shared" ref="E10" si="2">VLOOKUP(B10,DS,4,0)</f>
        <v>2700000</v>
      </c>
      <c r="F10" s="89">
        <f>VLOOKUP(B10,'CC -6'!$B$8:$AS$17,36,0)</f>
        <v>25</v>
      </c>
      <c r="G10" s="142">
        <f t="shared" ref="G10" si="3">ROUND(E10/$U$2*F10,0)</f>
        <v>2700000</v>
      </c>
      <c r="H10" s="89">
        <f>(VLOOKUP(B10,'CC -6'!$B$8:$AS$17,37,0)+VLOOKUP(B10,'CC -6'!$B$8:$AS$17,38,0))</f>
        <v>0</v>
      </c>
      <c r="I10" s="142">
        <f t="shared" ref="I10" si="4">ROUND(E10/$U$2*H10,0)</f>
        <v>0</v>
      </c>
      <c r="J10" s="90">
        <f t="shared" ref="J10" si="5">F10+H10</f>
        <v>25</v>
      </c>
      <c r="K10" s="37">
        <f>G10+I10</f>
        <v>2700000</v>
      </c>
      <c r="L10" s="87">
        <f t="shared" ref="L10" si="6">+F10*15000</f>
        <v>375000</v>
      </c>
      <c r="M10" s="38">
        <f t="shared" ref="M10" si="7">K10+L10</f>
        <v>3075000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8">M10-SUM(N10:P10)</f>
        <v>3075000</v>
      </c>
      <c r="R10" s="37">
        <f>VLOOKUP(B10,DS,23,0)</f>
        <v>0</v>
      </c>
      <c r="S10" s="43">
        <f t="shared" ref="S10" si="9">Q10-R10</f>
        <v>3075000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173</v>
      </c>
      <c r="C11" s="86" t="str">
        <f t="shared" ref="C11" si="10">VLOOKUP(B11,DS,2,0)</f>
        <v>Nguyễn Thị Thu Sương</v>
      </c>
      <c r="D11" s="113" t="str">
        <f t="shared" ref="D11" si="11">VLOOKUP(B11,DS,3,0)</f>
        <v>Kinh Doanh</v>
      </c>
      <c r="E11" s="87">
        <f t="shared" ref="E11" si="12">VLOOKUP(B11,DS,4,0)</f>
        <v>2400000</v>
      </c>
      <c r="F11" s="89">
        <f>VLOOKUP(B11,'CC -6'!$B$8:$AS$17,36,0)</f>
        <v>25</v>
      </c>
      <c r="G11" s="142">
        <f t="shared" ref="G11" si="13">ROUND(E11/$U$2*F11,0)</f>
        <v>2400000</v>
      </c>
      <c r="H11" s="89">
        <f>(VLOOKUP(B11,'CC -6'!$B$8:$AS$17,37,0)+VLOOKUP(B11,'CC -6'!$B$8:$AS$17,38,0))</f>
        <v>0</v>
      </c>
      <c r="I11" s="142">
        <f t="shared" ref="I11" si="14">ROUND(E11/$U$2*H11,0)</f>
        <v>0</v>
      </c>
      <c r="J11" s="90">
        <f t="shared" ref="J11" si="15">F11+H11</f>
        <v>25</v>
      </c>
      <c r="K11" s="37">
        <f t="shared" ref="K11" si="16">G11+I11</f>
        <v>2400000</v>
      </c>
      <c r="L11" s="87">
        <f t="shared" ref="L11" si="17">+F11*15000</f>
        <v>375000</v>
      </c>
      <c r="M11" s="38">
        <f t="shared" ref="M11" si="18">K11+L11</f>
        <v>2775000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9">M11-SUM(N11:P11)</f>
        <v>2775000</v>
      </c>
      <c r="R11" s="37">
        <f>VLOOKUP(B11,DS,23,0)</f>
        <v>0</v>
      </c>
      <c r="S11" s="43">
        <f t="shared" ref="S11" si="20">Q11-R11</f>
        <v>2775000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200"/>
      <c r="B12" s="201"/>
      <c r="C12" s="202"/>
      <c r="D12" s="203"/>
      <c r="E12" s="204"/>
      <c r="F12" s="205"/>
      <c r="G12" s="206"/>
      <c r="H12" s="205"/>
      <c r="I12" s="206"/>
      <c r="J12" s="207"/>
      <c r="K12" s="208"/>
      <c r="L12" s="204"/>
      <c r="M12" s="209"/>
      <c r="N12" s="209"/>
      <c r="O12" s="209"/>
      <c r="P12" s="209"/>
      <c r="Q12" s="208"/>
      <c r="R12" s="208"/>
      <c r="S12" s="210"/>
      <c r="T12" s="208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0" customFormat="1" ht="21" customHeight="1">
      <c r="A13" s="269" t="s">
        <v>25</v>
      </c>
      <c r="B13" s="269"/>
      <c r="C13" s="269"/>
      <c r="D13" s="269"/>
      <c r="E13" s="137">
        <f>SUM(E9:E11)</f>
        <v>5100000</v>
      </c>
      <c r="F13" s="137"/>
      <c r="G13" s="137">
        <f>SUM(G9:G11)</f>
        <v>5100000</v>
      </c>
      <c r="H13" s="137"/>
      <c r="I13" s="137">
        <f>SUM(I9:I11)</f>
        <v>0</v>
      </c>
      <c r="J13" s="137"/>
      <c r="K13" s="137">
        <f t="shared" ref="K13:S13" si="21">SUM(K9:K11)</f>
        <v>5100000</v>
      </c>
      <c r="L13" s="137">
        <f t="shared" si="21"/>
        <v>750000</v>
      </c>
      <c r="M13" s="137">
        <f t="shared" si="21"/>
        <v>5850000</v>
      </c>
      <c r="N13" s="137">
        <f t="shared" si="21"/>
        <v>0</v>
      </c>
      <c r="O13" s="137">
        <f t="shared" si="21"/>
        <v>0</v>
      </c>
      <c r="P13" s="137">
        <f t="shared" si="21"/>
        <v>0</v>
      </c>
      <c r="Q13" s="137">
        <f t="shared" si="21"/>
        <v>5850000</v>
      </c>
      <c r="R13" s="137">
        <f t="shared" si="21"/>
        <v>0</v>
      </c>
      <c r="S13" s="137">
        <f t="shared" si="21"/>
        <v>5850000</v>
      </c>
      <c r="T13" s="24"/>
      <c r="U13" s="101"/>
      <c r="V13" s="31"/>
      <c r="W13" s="31"/>
      <c r="X13" s="31"/>
      <c r="Y13" s="31"/>
      <c r="Z13" s="31"/>
    </row>
    <row r="14" spans="1:31" s="82" customFormat="1" ht="24" customHeight="1">
      <c r="A14" s="185" t="s">
        <v>156</v>
      </c>
      <c r="B14" s="184" t="s">
        <v>157</v>
      </c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01"/>
      <c r="V14" s="83"/>
      <c r="W14" s="83"/>
      <c r="X14" s="84"/>
      <c r="Y14" s="84"/>
      <c r="Z14" s="84"/>
      <c r="AA14" s="85"/>
      <c r="AB14" s="85"/>
      <c r="AC14" s="85"/>
      <c r="AD14" s="85"/>
      <c r="AE14" s="85"/>
    </row>
    <row r="15" spans="1:31" s="34" customFormat="1" ht="24" customHeight="1">
      <c r="A15" s="36">
        <v>1</v>
      </c>
      <c r="B15" s="138" t="s">
        <v>161</v>
      </c>
      <c r="C15" s="86" t="str">
        <f t="shared" ref="C15" si="22">VLOOKUP(B15,DS,2,0)</f>
        <v>Nguyễn Trường Giang</v>
      </c>
      <c r="D15" s="113" t="str">
        <f t="shared" ref="D15" si="23">VLOOKUP(B15,DS,3,0)</f>
        <v>Thợ in</v>
      </c>
      <c r="E15" s="87">
        <f t="shared" ref="E15" si="24">VLOOKUP(B15,DS,4,0)</f>
        <v>2200000</v>
      </c>
      <c r="F15" s="89">
        <f>VLOOKUP(B15,'CC -6'!$B$8:$AS$17,36,0)</f>
        <v>25</v>
      </c>
      <c r="G15" s="142">
        <f t="shared" ref="G15" si="25">ROUND(E15/$U$2*F15,0)</f>
        <v>2200000</v>
      </c>
      <c r="H15" s="89">
        <f>(VLOOKUP(B15,'CC -6'!$B$8:$AS$17,37,0)+VLOOKUP(B15,'CC -6'!$B$8:$AS$17,38,0))</f>
        <v>0</v>
      </c>
      <c r="I15" s="142">
        <f t="shared" ref="I15" si="26">ROUND(E15/$U$2*H15,0)</f>
        <v>0</v>
      </c>
      <c r="J15" s="143">
        <f t="shared" ref="J15:K15" si="27">F15+H15</f>
        <v>25</v>
      </c>
      <c r="K15" s="37">
        <f t="shared" si="27"/>
        <v>2200000</v>
      </c>
      <c r="L15" s="87">
        <f t="shared" ref="L15" si="28">+F15*15000</f>
        <v>375000</v>
      </c>
      <c r="M15" s="38">
        <f t="shared" ref="M15" si="29">K15+L15</f>
        <v>2575000</v>
      </c>
      <c r="N15" s="38">
        <f>IF(VLOOKUP(B15,DS,9,0)="x",'L - 6'!E15*$N$4,0)</f>
        <v>0</v>
      </c>
      <c r="O15" s="38">
        <f t="shared" ref="O15" si="30">IF(VLOOKUP(B15,DS,9,0)="x",E15*0.015,0)</f>
        <v>0</v>
      </c>
      <c r="P15" s="38">
        <f t="shared" ref="P15" si="31">IF(VLOOKUP(B15,DS,9,0)="x",E15*0.01,0)</f>
        <v>0</v>
      </c>
      <c r="Q15" s="37">
        <f>M15-SUM(N15:P15)</f>
        <v>2575000</v>
      </c>
      <c r="R15" s="37">
        <f t="shared" ref="R15" si="32">VLOOKUP(B15,DS,23,0)</f>
        <v>0</v>
      </c>
      <c r="S15" s="43">
        <f>Q15-R15</f>
        <v>2575000</v>
      </c>
      <c r="T15" s="37"/>
      <c r="U15" s="101"/>
      <c r="V15" s="35"/>
      <c r="W15" s="26"/>
      <c r="X15" s="5"/>
      <c r="Y15" s="5"/>
      <c r="Z15" s="5"/>
      <c r="AA15" s="4"/>
      <c r="AB15" s="4"/>
      <c r="AC15" s="4"/>
      <c r="AD15" s="4"/>
      <c r="AE15" s="4"/>
    </row>
    <row r="16" spans="1:31" s="34" customFormat="1" ht="24" customHeight="1">
      <c r="A16" s="36">
        <v>2</v>
      </c>
      <c r="B16" s="138" t="s">
        <v>162</v>
      </c>
      <c r="C16" s="86" t="str">
        <f t="shared" ref="C16" si="33">VLOOKUP(B16,DS,2,0)</f>
        <v>Đoàn Hồng Phong</v>
      </c>
      <c r="D16" s="113" t="str">
        <f t="shared" ref="D16" si="34">VLOOKUP(B16,DS,3,0)</f>
        <v>Thợ đóng - xả</v>
      </c>
      <c r="E16" s="87">
        <f t="shared" ref="E16" si="35">VLOOKUP(B16,DS,4,0)</f>
        <v>2200000</v>
      </c>
      <c r="F16" s="89">
        <f>VLOOKUP(B16,'CC -6'!$B$8:$AS$17,36,0)</f>
        <v>25</v>
      </c>
      <c r="G16" s="142">
        <f t="shared" ref="G16" si="36">ROUND(E16/$U$2*F16,0)</f>
        <v>2200000</v>
      </c>
      <c r="H16" s="89">
        <f>(VLOOKUP(B16,'CC -6'!$B$8:$AS$17,37,0)+VLOOKUP(B16,'CC -6'!$B$8:$AS$17,38,0))</f>
        <v>0</v>
      </c>
      <c r="I16" s="142">
        <f t="shared" ref="I16" si="37">ROUND(E16/$U$2*H16,0)</f>
        <v>0</v>
      </c>
      <c r="J16" s="143">
        <f t="shared" ref="J16" si="38">F16+H16</f>
        <v>25</v>
      </c>
      <c r="K16" s="37">
        <f t="shared" ref="K16" si="39">G16+I16</f>
        <v>2200000</v>
      </c>
      <c r="L16" s="87">
        <f t="shared" ref="L16" si="40">+F16*15000</f>
        <v>375000</v>
      </c>
      <c r="M16" s="38">
        <f t="shared" ref="M16" si="41">K16+L16</f>
        <v>2575000</v>
      </c>
      <c r="N16" s="38">
        <f>IF(VLOOKUP(B16,DS,9,0)="x",'L - 6'!E16*$N$4,0)</f>
        <v>0</v>
      </c>
      <c r="O16" s="38">
        <f t="shared" ref="O16" si="42">IF(VLOOKUP(B16,DS,9,0)="x",E16*0.015,0)</f>
        <v>0</v>
      </c>
      <c r="P16" s="38">
        <f t="shared" ref="P16" si="43">IF(VLOOKUP(B16,DS,9,0)="x",E16*0.01,0)</f>
        <v>0</v>
      </c>
      <c r="Q16" s="37">
        <f t="shared" ref="Q16" si="44">M16-SUM(N16:P16)</f>
        <v>2575000</v>
      </c>
      <c r="R16" s="37">
        <f t="shared" ref="R16" si="45">VLOOKUP(B16,DS,23,0)</f>
        <v>0</v>
      </c>
      <c r="S16" s="43">
        <f t="shared" ref="S16" si="46">Q16-R16</f>
        <v>2575000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26" s="34" customFormat="1" ht="22.5" customHeight="1">
      <c r="A17" s="39"/>
      <c r="B17" s="182"/>
      <c r="C17" s="40"/>
      <c r="D17" s="3"/>
      <c r="E17" s="41"/>
      <c r="F17" s="41"/>
      <c r="G17" s="41"/>
      <c r="H17" s="41"/>
      <c r="I17" s="41"/>
      <c r="J17" s="42"/>
      <c r="K17" s="41"/>
      <c r="L17" s="41"/>
      <c r="M17" s="181"/>
      <c r="N17" s="41"/>
      <c r="O17" s="41"/>
      <c r="P17" s="41"/>
      <c r="Q17" s="41"/>
      <c r="R17" s="41"/>
      <c r="S17" s="41"/>
      <c r="T17" s="37"/>
      <c r="U17" s="101"/>
      <c r="V17" s="35"/>
      <c r="W17" s="35"/>
      <c r="X17" s="35"/>
      <c r="Y17" s="35"/>
      <c r="Z17" s="35"/>
    </row>
    <row r="18" spans="1:26" s="30" customFormat="1" ht="21" customHeight="1">
      <c r="A18" s="269" t="s">
        <v>25</v>
      </c>
      <c r="B18" s="269"/>
      <c r="C18" s="269"/>
      <c r="D18" s="269"/>
      <c r="E18" s="137">
        <f>SUM(E14:E17)</f>
        <v>4400000</v>
      </c>
      <c r="F18" s="137"/>
      <c r="G18" s="137">
        <f>SUM(G14:G17)</f>
        <v>4400000</v>
      </c>
      <c r="H18" s="137"/>
      <c r="I18" s="137">
        <f>SUM(I14:I17)</f>
        <v>0</v>
      </c>
      <c r="J18" s="137"/>
      <c r="K18" s="137">
        <f t="shared" ref="K18:S18" si="47">SUM(K14:K17)</f>
        <v>4400000</v>
      </c>
      <c r="L18" s="137">
        <f t="shared" si="47"/>
        <v>750000</v>
      </c>
      <c r="M18" s="137">
        <f t="shared" si="47"/>
        <v>5150000</v>
      </c>
      <c r="N18" s="137">
        <f t="shared" si="47"/>
        <v>0</v>
      </c>
      <c r="O18" s="137">
        <f t="shared" si="47"/>
        <v>0</v>
      </c>
      <c r="P18" s="137">
        <f t="shared" si="47"/>
        <v>0</v>
      </c>
      <c r="Q18" s="137">
        <f t="shared" si="47"/>
        <v>5150000</v>
      </c>
      <c r="R18" s="137">
        <f t="shared" si="47"/>
        <v>0</v>
      </c>
      <c r="S18" s="137">
        <f t="shared" si="47"/>
        <v>5150000</v>
      </c>
      <c r="T18" s="24"/>
      <c r="U18" s="101"/>
      <c r="V18" s="31"/>
      <c r="W18" s="31"/>
      <c r="X18" s="31"/>
      <c r="Y18" s="31"/>
      <c r="Z18" s="31"/>
    </row>
    <row r="19" spans="1:26" ht="11.25" customHeight="1">
      <c r="A19" s="8"/>
      <c r="B19" s="8"/>
      <c r="C19" s="9"/>
      <c r="D19" s="114"/>
      <c r="E19" s="91"/>
      <c r="F19" s="9"/>
      <c r="G19" s="9"/>
      <c r="H19" s="9"/>
      <c r="I19" s="9"/>
      <c r="K19" s="9"/>
      <c r="L19" s="9"/>
      <c r="M19" s="99"/>
      <c r="N19" s="9"/>
      <c r="O19" s="9"/>
      <c r="P19" s="9"/>
      <c r="Q19" s="9"/>
      <c r="R19" s="9"/>
      <c r="S19" s="9"/>
      <c r="T19" s="9"/>
      <c r="U19" s="101"/>
    </row>
    <row r="20" spans="1:26" s="34" customFormat="1" ht="11.25" customHeight="1">
      <c r="A20" s="75"/>
      <c r="B20" s="75"/>
      <c r="C20" s="75"/>
      <c r="D20" s="130"/>
      <c r="E20" s="131"/>
      <c r="F20" s="75"/>
      <c r="G20" s="75"/>
      <c r="H20" s="75"/>
      <c r="I20" s="75"/>
      <c r="J20" s="132"/>
      <c r="K20" s="131"/>
      <c r="L20" s="75"/>
      <c r="M20" s="75"/>
      <c r="N20" s="75"/>
      <c r="O20" s="75"/>
      <c r="P20" s="75"/>
      <c r="Q20" s="75"/>
      <c r="R20" s="75"/>
      <c r="S20" s="105" t="str">
        <f>"Long An, ngày  "&amp;$V$2&amp;"   tháng   "&amp;TEXT(E4,"mm")&amp;"   năm "&amp;TEXT(E4,"yyyy")</f>
        <v>Long An, ngày  31   tháng   06   năm 2014</v>
      </c>
      <c r="T20" s="75"/>
      <c r="U20" s="133"/>
      <c r="V20" s="35"/>
      <c r="W20" s="35"/>
      <c r="X20" s="35"/>
      <c r="Y20" s="35"/>
      <c r="Z20" s="35"/>
    </row>
    <row r="21" spans="1:26" s="34" customFormat="1" ht="12.75">
      <c r="A21" s="27"/>
      <c r="B21" s="27"/>
      <c r="C21" s="27" t="s">
        <v>60</v>
      </c>
      <c r="D21" s="134"/>
      <c r="E21" s="76"/>
      <c r="F21" s="133"/>
      <c r="G21" s="76"/>
      <c r="H21" s="76"/>
      <c r="I21" s="76"/>
      <c r="J21" s="135"/>
      <c r="K21" s="35"/>
      <c r="L21" s="27"/>
      <c r="M21" s="144"/>
      <c r="N21" s="18"/>
      <c r="O21" s="18"/>
      <c r="P21" s="18"/>
      <c r="Q21" s="18"/>
      <c r="S21" s="133" t="s">
        <v>22</v>
      </c>
      <c r="T21" s="133"/>
      <c r="U21" s="133"/>
      <c r="V21" s="35"/>
      <c r="W21" s="35"/>
      <c r="X21" s="35"/>
      <c r="Y21" s="35"/>
      <c r="Z21" s="35"/>
    </row>
    <row r="22" spans="1:26" ht="12">
      <c r="A22" s="8"/>
      <c r="B22" s="8"/>
      <c r="C22" s="15"/>
      <c r="E22" s="13"/>
      <c r="F22" s="12"/>
      <c r="G22" s="13"/>
      <c r="H22" s="13"/>
      <c r="I22" s="13"/>
      <c r="K22" s="7"/>
      <c r="L22" s="15"/>
      <c r="N22" s="11"/>
      <c r="O22" s="11"/>
      <c r="P22" s="11"/>
      <c r="Q22" s="11"/>
      <c r="S22" s="11"/>
      <c r="T22" s="12"/>
      <c r="U22" s="101"/>
    </row>
    <row r="23" spans="1:26" ht="12">
      <c r="C23" s="15"/>
      <c r="L23" s="15"/>
      <c r="T23" s="15"/>
      <c r="U23" s="101"/>
    </row>
    <row r="24" spans="1:26" ht="12">
      <c r="U24" s="101"/>
    </row>
    <row r="25" spans="1:26" ht="12">
      <c r="U25" s="101"/>
    </row>
    <row r="26" spans="1:26" ht="12">
      <c r="U26" s="101"/>
    </row>
    <row r="27" spans="1:26" ht="12">
      <c r="U27" s="101"/>
    </row>
    <row r="28" spans="1:26" ht="12">
      <c r="U28" s="101"/>
    </row>
    <row r="29" spans="1:26" ht="12">
      <c r="U29" s="101"/>
    </row>
  </sheetData>
  <protectedRanges>
    <protectedRange password="CC78" sqref="V17:IK18 C5:D7 B21:C21 V5:W9 A17:A22 B17:B20 B22 V14:W14 Q5:T7 AF12:IK12 E5:I6 D18 N5:P6 L5 L21 J6:K7 L7 A24:T57 U30:U57 N17:S17 V24:IK57 W12 J17:L17 A58:IK65325 AF14:IK14 V13:IK13 D13 Q12:S12 A12:B13 A10:B11 Q10:S11 W10:W11 AF5:IK11" name="Range1"/>
    <protectedRange password="CC78" sqref="F7:H7" name="Range1_4"/>
    <protectedRange password="CC78" sqref="V21:IK22 S21:T22 N21:Q22 E21:I22" name="Range1_1_1"/>
    <protectedRange password="CC78" sqref="U1 W1:IK3 V4:IK4 B4:T4 X12:AE12 R2:S3 B1:Q3 U17:U29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Q15:S16 A15:B16 AF15:IK16 W15:W16" name="Range1_5"/>
    <protectedRange password="CC78" sqref="X15:AE16 U15:U16" name="Range1_2_3"/>
    <protectedRange password="CC78" sqref="V15:V16" name="Range1_1_3"/>
    <protectedRange password="CC78" sqref="K10:K12 K15:K16" name="Range1_6"/>
    <protectedRange password="CC78" sqref="A2:A3" name="Range1_2_1_3"/>
    <protectedRange password="CC78" sqref="E13:T13" name="Range1_3"/>
    <protectedRange password="CC78" sqref="E18:T18" name="Range1_7"/>
    <protectedRange password="CC78" sqref="U2" name="Range1_2_2_1_1"/>
  </protectedRanges>
  <autoFilter ref="A7:AE10"/>
  <mergeCells count="24">
    <mergeCell ref="N5:P5"/>
    <mergeCell ref="Q5:Q7"/>
    <mergeCell ref="A13:D13"/>
    <mergeCell ref="K6:K7"/>
    <mergeCell ref="N6:N7"/>
    <mergeCell ref="O6:O7"/>
    <mergeCell ref="P6:P7"/>
    <mergeCell ref="J6:J7"/>
    <mergeCell ref="A18:D18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07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41821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41821</v>
      </c>
      <c r="G5" s="115">
        <f t="shared" ref="G5:AJ5" si="0">F5+1</f>
        <v>41822</v>
      </c>
      <c r="H5" s="115">
        <f t="shared" si="0"/>
        <v>41823</v>
      </c>
      <c r="I5" s="115">
        <f t="shared" si="0"/>
        <v>41824</v>
      </c>
      <c r="J5" s="115">
        <f t="shared" si="0"/>
        <v>41825</v>
      </c>
      <c r="K5" s="115">
        <f t="shared" si="0"/>
        <v>41826</v>
      </c>
      <c r="L5" s="115">
        <f t="shared" si="0"/>
        <v>41827</v>
      </c>
      <c r="M5" s="115">
        <f t="shared" si="0"/>
        <v>41828</v>
      </c>
      <c r="N5" s="115">
        <f t="shared" si="0"/>
        <v>41829</v>
      </c>
      <c r="O5" s="115">
        <f t="shared" si="0"/>
        <v>41830</v>
      </c>
      <c r="P5" s="115">
        <f t="shared" si="0"/>
        <v>41831</v>
      </c>
      <c r="Q5" s="115">
        <f t="shared" si="0"/>
        <v>41832</v>
      </c>
      <c r="R5" s="115">
        <f t="shared" si="0"/>
        <v>41833</v>
      </c>
      <c r="S5" s="115">
        <f t="shared" si="0"/>
        <v>41834</v>
      </c>
      <c r="T5" s="115">
        <f t="shared" si="0"/>
        <v>41835</v>
      </c>
      <c r="U5" s="115">
        <f t="shared" si="0"/>
        <v>41836</v>
      </c>
      <c r="V5" s="115">
        <f t="shared" si="0"/>
        <v>41837</v>
      </c>
      <c r="W5" s="115">
        <f t="shared" si="0"/>
        <v>41838</v>
      </c>
      <c r="X5" s="115">
        <f t="shared" si="0"/>
        <v>41839</v>
      </c>
      <c r="Y5" s="115">
        <f t="shared" si="0"/>
        <v>41840</v>
      </c>
      <c r="Z5" s="115">
        <f t="shared" si="0"/>
        <v>41841</v>
      </c>
      <c r="AA5" s="115">
        <f t="shared" si="0"/>
        <v>41842</v>
      </c>
      <c r="AB5" s="115">
        <f t="shared" si="0"/>
        <v>41843</v>
      </c>
      <c r="AC5" s="115">
        <f t="shared" si="0"/>
        <v>41844</v>
      </c>
      <c r="AD5" s="115">
        <f t="shared" si="0"/>
        <v>41845</v>
      </c>
      <c r="AE5" s="115">
        <f t="shared" si="0"/>
        <v>41846</v>
      </c>
      <c r="AF5" s="115">
        <f t="shared" si="0"/>
        <v>41847</v>
      </c>
      <c r="AG5" s="115">
        <f t="shared" si="0"/>
        <v>41848</v>
      </c>
      <c r="AH5" s="115">
        <f>AG5+1</f>
        <v>41849</v>
      </c>
      <c r="AI5" s="115">
        <f t="shared" si="0"/>
        <v>41850</v>
      </c>
      <c r="AJ5" s="115">
        <f t="shared" si="0"/>
        <v>41851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T.Ba</v>
      </c>
      <c r="G6" s="171" t="str">
        <f t="shared" ref="G6:AJ6" si="1">CHOOSE(WEEKDAY(G5),"C.Nhật","T.Hai","T.Ba","T.Tư","T.Năm","T.Sáu","T.Bảy")</f>
        <v>T.Tư</v>
      </c>
      <c r="H6" s="171" t="str">
        <f t="shared" si="1"/>
        <v>T.Năm</v>
      </c>
      <c r="I6" s="171" t="str">
        <f t="shared" si="1"/>
        <v>T.Sáu</v>
      </c>
      <c r="J6" s="171" t="str">
        <f t="shared" si="1"/>
        <v>T.Bảy</v>
      </c>
      <c r="K6" s="171" t="str">
        <f t="shared" si="1"/>
        <v>C.Nhật</v>
      </c>
      <c r="L6" s="171" t="str">
        <f t="shared" si="1"/>
        <v>T.Hai</v>
      </c>
      <c r="M6" s="171" t="str">
        <f t="shared" si="1"/>
        <v>T.Ba</v>
      </c>
      <c r="N6" s="171" t="str">
        <f t="shared" si="1"/>
        <v>T.Tư</v>
      </c>
      <c r="O6" s="171" t="str">
        <f t="shared" si="1"/>
        <v>T.Năm</v>
      </c>
      <c r="P6" s="171" t="str">
        <f t="shared" si="1"/>
        <v>T.Sáu</v>
      </c>
      <c r="Q6" s="171" t="str">
        <f t="shared" si="1"/>
        <v>T.Bảy</v>
      </c>
      <c r="R6" s="171" t="str">
        <f t="shared" si="1"/>
        <v>C.Nhật</v>
      </c>
      <c r="S6" s="171" t="str">
        <f t="shared" si="1"/>
        <v>T.Hai</v>
      </c>
      <c r="T6" s="171" t="str">
        <f t="shared" si="1"/>
        <v>T.Ba</v>
      </c>
      <c r="U6" s="171" t="str">
        <f t="shared" si="1"/>
        <v>T.Tư</v>
      </c>
      <c r="V6" s="171" t="str">
        <f t="shared" si="1"/>
        <v>T.Năm</v>
      </c>
      <c r="W6" s="171" t="str">
        <f t="shared" si="1"/>
        <v>T.Sáu</v>
      </c>
      <c r="X6" s="171" t="str">
        <f t="shared" si="1"/>
        <v>T.Bảy</v>
      </c>
      <c r="Y6" s="171" t="str">
        <f t="shared" si="1"/>
        <v>C.Nhật</v>
      </c>
      <c r="Z6" s="171" t="str">
        <f t="shared" si="1"/>
        <v>T.Hai</v>
      </c>
      <c r="AA6" s="171" t="str">
        <f t="shared" si="1"/>
        <v>T.Ba</v>
      </c>
      <c r="AB6" s="171" t="str">
        <f t="shared" si="1"/>
        <v>T.Tư</v>
      </c>
      <c r="AC6" s="171" t="str">
        <f t="shared" si="1"/>
        <v>T.Năm</v>
      </c>
      <c r="AD6" s="171" t="str">
        <f t="shared" si="1"/>
        <v>T.Sáu</v>
      </c>
      <c r="AE6" s="171" t="str">
        <f t="shared" si="1"/>
        <v>T.Bảy</v>
      </c>
      <c r="AF6" s="171" t="str">
        <f t="shared" si="1"/>
        <v>C.Nhật</v>
      </c>
      <c r="AG6" s="171" t="str">
        <f t="shared" si="1"/>
        <v>T.Hai</v>
      </c>
      <c r="AH6" s="171" t="str">
        <f t="shared" si="1"/>
        <v>T.Ba</v>
      </c>
      <c r="AI6" s="171" t="str">
        <f t="shared" si="1"/>
        <v>T.Tư</v>
      </c>
      <c r="AJ6" s="171" t="str">
        <f t="shared" si="1"/>
        <v>T.Năm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/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/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/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/>
      <c r="AG9" s="140">
        <v>8</v>
      </c>
      <c r="AH9" s="140">
        <v>8</v>
      </c>
      <c r="AI9" s="140">
        <v>8</v>
      </c>
      <c r="AJ9" s="140">
        <v>8</v>
      </c>
      <c r="AK9" s="241">
        <f>((SUM(F9:AJ9))/8)-(SUMIF($F$6:$AJ$6,"C.Nhật",F9:AJ9)/8)</f>
        <v>27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27</v>
      </c>
      <c r="AO9" s="249">
        <v>0</v>
      </c>
      <c r="AP9" s="247"/>
      <c r="AQ9" s="247"/>
      <c r="AR9" s="247"/>
      <c r="AS9" s="243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/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/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/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/>
      <c r="AG11" s="140">
        <v>8</v>
      </c>
      <c r="AH11" s="140">
        <v>8</v>
      </c>
      <c r="AI11" s="140">
        <v>8</v>
      </c>
      <c r="AJ11" s="140">
        <v>8</v>
      </c>
      <c r="AK11" s="241">
        <f t="shared" ref="AK11" si="2">((SUM(F11:AJ11))/8)-(SUMIF($F$6:$AJ$6,"C.Nhật",F11:AJ11)/8)</f>
        <v>27</v>
      </c>
      <c r="AL11" s="241">
        <f t="shared" ref="AL11" si="3">SUM(F12:AJ12)/8*1.5</f>
        <v>0</v>
      </c>
      <c r="AM11" s="245">
        <f t="shared" ref="AM11:AM13" si="4">SUMIF($F$6:$AJ$6,"C.Nhật",$F11:$AJ12)/8*2</f>
        <v>0</v>
      </c>
      <c r="AN11" s="247">
        <f t="shared" ref="AN11" si="5">SUM(AK11:AM12)</f>
        <v>27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/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/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/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/>
      <c r="AG13" s="140">
        <v>8</v>
      </c>
      <c r="AH13" s="140">
        <v>8</v>
      </c>
      <c r="AI13" s="140">
        <v>8</v>
      </c>
      <c r="AJ13" s="140">
        <v>8</v>
      </c>
      <c r="AK13" s="241">
        <f t="shared" ref="AK13" si="6">((SUM(F13:AJ13))/8)-(SUMIF($F$6:$AJ$6,"C.Nhật",F13:AJ13)/8)</f>
        <v>27</v>
      </c>
      <c r="AL13" s="241">
        <f t="shared" ref="AL13" si="7">SUM(F14:AJ14)/8*1.5</f>
        <v>0</v>
      </c>
      <c r="AM13" s="245">
        <f t="shared" si="4"/>
        <v>0</v>
      </c>
      <c r="AN13" s="247">
        <f t="shared" ref="AN13" si="8">SUM(AK13:AM14)</f>
        <v>27</v>
      </c>
      <c r="AO13" s="249">
        <v>0</v>
      </c>
      <c r="AP13" s="247"/>
      <c r="AQ13" s="247"/>
      <c r="AR13" s="247"/>
      <c r="AS13" s="243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2"/>
      <c r="AL14" s="242"/>
      <c r="AM14" s="246"/>
      <c r="AN14" s="248"/>
      <c r="AO14" s="250"/>
      <c r="AP14" s="248"/>
      <c r="AQ14" s="248"/>
      <c r="AR14" s="248"/>
      <c r="AS14" s="244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/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/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/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/>
      <c r="AG16" s="140">
        <v>8</v>
      </c>
      <c r="AH16" s="140">
        <v>8</v>
      </c>
      <c r="AI16" s="140">
        <v>8</v>
      </c>
      <c r="AJ16" s="140">
        <v>8</v>
      </c>
      <c r="AK16" s="241">
        <f t="shared" ref="AK16" si="9">((SUM(F16:AJ16))/8)-(SUMIF($F$6:$AJ$6,"C.Nhật",F16:AJ16)/8)</f>
        <v>27</v>
      </c>
      <c r="AL16" s="241">
        <f t="shared" ref="AL16" si="10">SUM(F17:AJ17)/8*1.5</f>
        <v>0</v>
      </c>
      <c r="AM16" s="245">
        <f>SUMIF($F$6:$AJ$6,"C.Nhật",$F16:$AJ17)/8*2</f>
        <v>0</v>
      </c>
      <c r="AN16" s="247">
        <f>SUM(AK16:AM17)</f>
        <v>27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/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/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/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/>
      <c r="AG18" s="140">
        <v>8</v>
      </c>
      <c r="AH18" s="140">
        <v>8</v>
      </c>
      <c r="AI18" s="140">
        <v>8</v>
      </c>
      <c r="AJ18" s="140">
        <v>8</v>
      </c>
      <c r="AK18" s="241">
        <f t="shared" ref="AK18" si="11">((SUM(F18:AJ18))/8)-(SUMIF($F$6:$AJ$6,"C.Nhật",F18:AJ18)/8)</f>
        <v>27</v>
      </c>
      <c r="AL18" s="241">
        <f t="shared" ref="AL18" si="12">SUM(F19:AJ19)/8*1.5</f>
        <v>0</v>
      </c>
      <c r="AM18" s="245">
        <f>SUMIF($F$6:$AJ$6,"C.Nhật",$F18:$AJ19)/8*2</f>
        <v>0</v>
      </c>
      <c r="AN18" s="247">
        <f t="shared" ref="AN18" si="13">SUM(AK18:AM19)</f>
        <v>27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/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/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/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/>
      <c r="AG20" s="140">
        <v>8</v>
      </c>
      <c r="AH20" s="140">
        <v>8</v>
      </c>
      <c r="AI20" s="140">
        <v>8</v>
      </c>
      <c r="AJ20" s="140">
        <v>8</v>
      </c>
      <c r="AK20" s="241">
        <f t="shared" ref="AK20" si="14">((SUM(F20:AJ20))/8)-(SUMIF($F$6:$AJ$6,"C.Nhật",F20:AJ20)/8)</f>
        <v>27</v>
      </c>
      <c r="AL20" s="241">
        <f t="shared" ref="AL20" si="15">SUM(F21:AJ21)/8*1.5</f>
        <v>0</v>
      </c>
      <c r="AM20" s="245">
        <f>SUMIF($F$6:$AJ$6,"C.Nhật",$F20:$AJ21)/8*2</f>
        <v>0</v>
      </c>
      <c r="AN20" s="247">
        <f t="shared" ref="AN20" si="16">SUM(AK20:AM21)</f>
        <v>27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/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/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/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/>
      <c r="AG22" s="140">
        <v>8</v>
      </c>
      <c r="AH22" s="140">
        <v>8</v>
      </c>
      <c r="AI22" s="140">
        <v>8</v>
      </c>
      <c r="AJ22" s="140">
        <v>8</v>
      </c>
      <c r="AK22" s="241">
        <f t="shared" ref="AK22" si="17">((SUM(F22:AJ22))/8)-(SUMIF($F$6:$AJ$6,"C.Nhật",F22:AJ22)/8)</f>
        <v>27</v>
      </c>
      <c r="AL22" s="241">
        <f t="shared" ref="AL22" si="18">SUM(F23:AJ23)/8*1.5</f>
        <v>0</v>
      </c>
      <c r="AM22" s="245">
        <f>SUMIF($F$6:$AJ$6,"C.Nhật",$F22:$AJ23)/8*2</f>
        <v>0</v>
      </c>
      <c r="AN22" s="247">
        <f t="shared" ref="AN22" si="19">SUM(AK22:AM23)</f>
        <v>27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/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/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/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/>
      <c r="AG24" s="140">
        <v>8</v>
      </c>
      <c r="AH24" s="140">
        <v>8</v>
      </c>
      <c r="AI24" s="140">
        <v>8</v>
      </c>
      <c r="AJ24" s="140">
        <v>8</v>
      </c>
      <c r="AK24" s="241">
        <f t="shared" ref="AK24" si="20">((SUM(F24:AJ24))/8)-(SUMIF($F$6:$AJ$6,"C.Nhật",F24:AJ24)/8)</f>
        <v>27</v>
      </c>
      <c r="AL24" s="241">
        <f t="shared" ref="AL24" si="21">SUM(F25:AJ25)/8*1.5</f>
        <v>0</v>
      </c>
      <c r="AM24" s="245">
        <f>SUMIF($F$6:$AJ$6,"C.Nhật",$F24:$AJ25)/8*2</f>
        <v>0</v>
      </c>
      <c r="AN24" s="247">
        <f t="shared" ref="AN24" si="22">SUM(AK24:AM25)</f>
        <v>27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/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/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/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/>
      <c r="AG26" s="140">
        <v>8</v>
      </c>
      <c r="AH26" s="140">
        <v>8</v>
      </c>
      <c r="AI26" s="140">
        <v>8</v>
      </c>
      <c r="AJ26" s="140">
        <v>8</v>
      </c>
      <c r="AK26" s="241">
        <f t="shared" ref="AK26" si="23">((SUM(F26:AJ26))/8)-(SUMIF($F$6:$AJ$6,"C.Nhật",F26:AJ26)/8)</f>
        <v>27</v>
      </c>
      <c r="AL26" s="241">
        <f t="shared" ref="AL26" si="24">SUM(F27:AJ27)/8*1.5</f>
        <v>0</v>
      </c>
      <c r="AM26" s="245">
        <f>SUMIF($F$6:$AJ$6,"C.Nhật",$F26:$AJ27)/8*2</f>
        <v>0</v>
      </c>
      <c r="AN26" s="247">
        <f t="shared" ref="AN26" si="25">SUM(AK26:AM27)</f>
        <v>27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/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/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/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/>
      <c r="AG28" s="140">
        <v>8</v>
      </c>
      <c r="AH28" s="140">
        <v>8</v>
      </c>
      <c r="AI28" s="140">
        <v>8</v>
      </c>
      <c r="AJ28" s="140">
        <v>8</v>
      </c>
      <c r="AK28" s="241">
        <f t="shared" ref="AK28" si="26">((SUM(F28:AJ28))/8)-(SUMIF($F$6:$AJ$6,"C.Nhật",F28:AJ28)/8)</f>
        <v>27</v>
      </c>
      <c r="AL28" s="241">
        <f t="shared" ref="AL28" si="27">SUM(F29:AJ29)/8*1.5</f>
        <v>0</v>
      </c>
      <c r="AM28" s="245">
        <f>SUMIF($F$6:$AJ$6,"C.Nhật",$F28:$AJ29)/8*2</f>
        <v>0</v>
      </c>
      <c r="AN28" s="247">
        <f t="shared" ref="AN28" si="28">SUM(AK28:AM29)</f>
        <v>27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3:AS14"/>
    <mergeCell ref="AL13:AL14"/>
    <mergeCell ref="AM13:AM14"/>
    <mergeCell ref="AN13:AN14"/>
    <mergeCell ref="AO13:AO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3:A14"/>
    <mergeCell ref="B13:B14"/>
    <mergeCell ref="C13:C14"/>
    <mergeCell ref="D13:D14"/>
    <mergeCell ref="AK13:AK14"/>
    <mergeCell ref="AS16:AS17"/>
    <mergeCell ref="AL16:AL17"/>
    <mergeCell ref="AM16:AM17"/>
    <mergeCell ref="AN16:AN17"/>
    <mergeCell ref="D26:D27"/>
    <mergeCell ref="AK26:AK27"/>
    <mergeCell ref="AL26:AL27"/>
    <mergeCell ref="AM26:AM27"/>
    <mergeCell ref="AN26:AN27"/>
    <mergeCell ref="AL24:AL25"/>
    <mergeCell ref="AM24:AM25"/>
    <mergeCell ref="AN24:AN25"/>
    <mergeCell ref="AL18:AL19"/>
    <mergeCell ref="AM18:AM19"/>
    <mergeCell ref="AN18:AN19"/>
    <mergeCell ref="AL20:AL21"/>
    <mergeCell ref="AM20:AM21"/>
    <mergeCell ref="D16:D17"/>
    <mergeCell ref="AK16:AK1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D11:D12"/>
    <mergeCell ref="AK11:AK12"/>
    <mergeCell ref="AO26:AO27"/>
    <mergeCell ref="AP26:AP27"/>
    <mergeCell ref="A26:A27"/>
    <mergeCell ref="B26:B27"/>
    <mergeCell ref="C26:C27"/>
    <mergeCell ref="AQ26:AQ27"/>
    <mergeCell ref="AR26:AR27"/>
    <mergeCell ref="AO16:AO17"/>
    <mergeCell ref="AP16:AP17"/>
    <mergeCell ref="AQ16:AQ17"/>
    <mergeCell ref="AR16:AR17"/>
    <mergeCell ref="A16:A17"/>
    <mergeCell ref="B16:B17"/>
    <mergeCell ref="C16:C17"/>
    <mergeCell ref="AP13:AP14"/>
    <mergeCell ref="AQ13:AQ14"/>
    <mergeCell ref="AR13:AR14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S20:AS21"/>
    <mergeCell ref="AN20:AN21"/>
    <mergeCell ref="AO20:AO21"/>
    <mergeCell ref="AP20:AP21"/>
    <mergeCell ref="AQ20:AQ21"/>
    <mergeCell ref="AR20:AR21"/>
    <mergeCell ref="A20:A21"/>
    <mergeCell ref="B20:B21"/>
    <mergeCell ref="C20:C21"/>
    <mergeCell ref="D20:D21"/>
    <mergeCell ref="AK20:AK21"/>
  </mergeCells>
  <conditionalFormatting sqref="F5:AJ6 F9:AJ10 F13:AJ14">
    <cfRule type="expression" dxfId="90" priority="36" stopIfTrue="1">
      <formula>IF(WEEKDAY(F$5)=1,TRUE,FALSE)</formula>
    </cfRule>
  </conditionalFormatting>
  <conditionalFormatting sqref="F9:AJ10 F13:AJ14">
    <cfRule type="expression" dxfId="89" priority="35" stopIfTrue="1">
      <formula>IF(WEEKDAY(F$5)=1,TRUE,FALSE)</formula>
    </cfRule>
  </conditionalFormatting>
  <conditionalFormatting sqref="F16:AJ17 F26:AJ29">
    <cfRule type="expression" dxfId="88" priority="8" stopIfTrue="1">
      <formula>IF(WEEKDAY(F$5)=1,TRUE,FALSE)</formula>
    </cfRule>
  </conditionalFormatting>
  <conditionalFormatting sqref="F16:AJ17 F26:AJ29">
    <cfRule type="expression" dxfId="87" priority="7" stopIfTrue="1">
      <formula>IF(WEEKDAY(F$5)=1,TRUE,FALSE)</formula>
    </cfRule>
  </conditionalFormatting>
  <conditionalFormatting sqref="F11:AJ12">
    <cfRule type="expression" dxfId="86" priority="6" stopIfTrue="1">
      <formula>IF(WEEKDAY(F$5)=1,TRUE,FALSE)</formula>
    </cfRule>
  </conditionalFormatting>
  <conditionalFormatting sqref="F11:AJ12">
    <cfRule type="expression" dxfId="85" priority="5" stopIfTrue="1">
      <formula>IF(WEEKDAY(F$5)=1,TRUE,FALSE)</formula>
    </cfRule>
  </conditionalFormatting>
  <conditionalFormatting sqref="F22:AJ25">
    <cfRule type="expression" dxfId="84" priority="4" stopIfTrue="1">
      <formula>IF(WEEKDAY(F$5)=1,TRUE,FALSE)</formula>
    </cfRule>
  </conditionalFormatting>
  <conditionalFormatting sqref="F22:AJ25">
    <cfRule type="expression" dxfId="83" priority="3" stopIfTrue="1">
      <formula>IF(WEEKDAY(F$5)=1,TRUE,FALSE)</formula>
    </cfRule>
  </conditionalFormatting>
  <conditionalFormatting sqref="F18:AJ21">
    <cfRule type="expression" dxfId="82" priority="2" stopIfTrue="1">
      <formula>IF(WEEKDAY(F$5)=1,TRUE,FALSE)</formula>
    </cfRule>
  </conditionalFormatting>
  <conditionalFormatting sqref="F18:AJ21">
    <cfRule type="expression" dxfId="8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6" t="str">
        <f>"BẢNG THANH TOÁN LƯƠNG THÁNG"&amp;" "&amp;TEXT($E$4,"mm")&amp;" / "&amp;TEXT($E$4,"yyyy")</f>
        <v>BẢNG THANH TOÁN LƯƠNG THÁNG 07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-7'!$E$4</f>
        <v>41821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198" t="s">
        <v>40</v>
      </c>
      <c r="G7" s="196" t="s">
        <v>18</v>
      </c>
      <c r="H7" s="198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" si="0">VLOOKUP(B10,DS,2,0)</f>
        <v>Nguyễn Thị Thu Sương</v>
      </c>
      <c r="D10" s="113" t="str">
        <f t="shared" ref="D10" si="1">VLOOKUP(B10,DS,3,0)</f>
        <v>Kinh Doanh</v>
      </c>
      <c r="E10" s="87">
        <f>VLOOKUP(B10,DS,5,0)</f>
        <v>4500000</v>
      </c>
      <c r="F10" s="89">
        <f>VLOOKUP(B10,'CC -7'!$B$8:$AS$29,36,0)</f>
        <v>27</v>
      </c>
      <c r="G10" s="142">
        <f>ROUND(E10/$U$2*F10,0)</f>
        <v>4500000</v>
      </c>
      <c r="H10" s="89">
        <f>(VLOOKUP(B10,'CC -7'!$B$8:$AS$29,37,0)+VLOOKUP(B10,'CC -7'!$B$8:$AS$29,38,0))</f>
        <v>0</v>
      </c>
      <c r="I10" s="142">
        <f t="shared" ref="I10" si="2">ROUND(E10/$U$2*H10,0)</f>
        <v>0</v>
      </c>
      <c r="J10" s="90">
        <f t="shared" ref="J10" si="3">F10+H10</f>
        <v>27</v>
      </c>
      <c r="K10" s="37">
        <f>G10+I10</f>
        <v>4500000</v>
      </c>
      <c r="L10" s="87">
        <f t="shared" ref="L10" si="4">+F10*15000</f>
        <v>405000</v>
      </c>
      <c r="M10" s="38">
        <f t="shared" ref="M10" si="5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" si="6">M10-SUM(N10:P10)</f>
        <v>4905000</v>
      </c>
      <c r="R10" s="37">
        <f>VLOOKUP(B10,DS,23,0)</f>
        <v>0</v>
      </c>
      <c r="S10" s="43">
        <f t="shared" ref="S10" si="7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:C12" si="8">VLOOKUP(B11,DS,2,0)</f>
        <v>Trần Anh Nhựt</v>
      </c>
      <c r="D11" s="113" t="str">
        <f t="shared" ref="D11:D12" si="9">VLOOKUP(B11,DS,3,0)</f>
        <v>Thiết Kế</v>
      </c>
      <c r="E11" s="87">
        <f>VLOOKUP(B11,DS,5,0)</f>
        <v>4500000</v>
      </c>
      <c r="F11" s="89">
        <f>VLOOKUP(B11,'CC -7'!$B$8:$AS$29,36,0)</f>
        <v>27</v>
      </c>
      <c r="G11" s="142">
        <f t="shared" ref="G11:G12" si="10">ROUND(E11/$U$2*F11,0)</f>
        <v>4500000</v>
      </c>
      <c r="H11" s="89">
        <f>(VLOOKUP(B11,'CC -7'!$B$8:$AS$29,37,0)+VLOOKUP(B11,'CC -7'!$B$8:$AS$29,38,0))</f>
        <v>0</v>
      </c>
      <c r="I11" s="142">
        <f t="shared" ref="I11:I12" si="11">ROUND(E11/$U$2*H11,0)</f>
        <v>0</v>
      </c>
      <c r="J11" s="90">
        <f t="shared" ref="J11:J12" si="12">F11+H11</f>
        <v>27</v>
      </c>
      <c r="K11" s="37">
        <f t="shared" ref="K11:K12" si="13">G11+I11</f>
        <v>4500000</v>
      </c>
      <c r="L11" s="87">
        <f t="shared" ref="L11:L12" si="14">+F11*15000</f>
        <v>405000</v>
      </c>
      <c r="M11" s="38">
        <f t="shared" ref="M11:M12" si="15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:Q12" si="16">M11-SUM(N11:P11)</f>
        <v>4905000</v>
      </c>
      <c r="R11" s="37">
        <f>VLOOKUP(B11,DS,23,0)</f>
        <v>0</v>
      </c>
      <c r="S11" s="43">
        <f t="shared" ref="S11:S12" si="17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8"/>
        <v>Huỳnh Minh Toàn</v>
      </c>
      <c r="D12" s="113" t="str">
        <f t="shared" si="9"/>
        <v>Thủ Kho</v>
      </c>
      <c r="E12" s="87">
        <f>VLOOKUP(B12,DS,5,0)</f>
        <v>5000000</v>
      </c>
      <c r="F12" s="89">
        <f>VLOOKUP(B12,'CC -7'!$B$8:$AS$29,36,0)</f>
        <v>27</v>
      </c>
      <c r="G12" s="142">
        <f t="shared" si="10"/>
        <v>5000000</v>
      </c>
      <c r="H12" s="89">
        <f>(VLOOKUP(B12,'CC -7'!$B$8:$AS$29,37,0)+VLOOKUP(B12,'CC -7'!$B$8:$AS$29,38,0))</f>
        <v>0</v>
      </c>
      <c r="I12" s="142">
        <f t="shared" si="11"/>
        <v>0</v>
      </c>
      <c r="J12" s="90">
        <f t="shared" si="12"/>
        <v>27</v>
      </c>
      <c r="K12" s="37">
        <f t="shared" si="13"/>
        <v>5000000</v>
      </c>
      <c r="L12" s="87">
        <f t="shared" si="14"/>
        <v>405000</v>
      </c>
      <c r="M12" s="38">
        <f t="shared" si="15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16"/>
        <v>5405000</v>
      </c>
      <c r="R12" s="37">
        <f>VLOOKUP(B12,DS,23,0)</f>
        <v>0</v>
      </c>
      <c r="S12" s="43">
        <f t="shared" si="17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8">SUM(K9:K12)</f>
        <v>14000000</v>
      </c>
      <c r="L14" s="137">
        <f t="shared" si="18"/>
        <v>1215000</v>
      </c>
      <c r="M14" s="137">
        <f t="shared" si="18"/>
        <v>15215000</v>
      </c>
      <c r="N14" s="137">
        <f t="shared" si="18"/>
        <v>0</v>
      </c>
      <c r="O14" s="137">
        <f t="shared" si="18"/>
        <v>0</v>
      </c>
      <c r="P14" s="137">
        <f t="shared" si="18"/>
        <v>0</v>
      </c>
      <c r="Q14" s="137">
        <f t="shared" si="18"/>
        <v>15215000</v>
      </c>
      <c r="R14" s="137">
        <f t="shared" si="18"/>
        <v>0</v>
      </c>
      <c r="S14" s="137">
        <f t="shared" si="18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19">VLOOKUP(B16,DS,2,0)</f>
        <v>Nguyễn Trường Giang</v>
      </c>
      <c r="D16" s="113" t="str">
        <f t="shared" ref="D16:D20" si="20">VLOOKUP(B16,DS,3,0)</f>
        <v>Thợ in</v>
      </c>
      <c r="E16" s="87">
        <f>VLOOKUP(B16,DS,5,0)</f>
        <v>4500000</v>
      </c>
      <c r="F16" s="89">
        <f>VLOOKUP(B16,'CC -7'!$B$8:$AS$29,36,0)</f>
        <v>27</v>
      </c>
      <c r="G16" s="142">
        <f t="shared" ref="G16:G20" si="21">ROUND(E16/$U$2*F16,0)</f>
        <v>4500000</v>
      </c>
      <c r="H16" s="89">
        <f>(VLOOKUP(B16,'CC -7'!$B$8:$AS$29,37,0)+VLOOKUP(B16,'CC -7'!$B$8:$AS$29,38,0))</f>
        <v>0</v>
      </c>
      <c r="I16" s="142">
        <f t="shared" ref="I16:I20" si="22">ROUND(E16/$U$2*H16,0)</f>
        <v>0</v>
      </c>
      <c r="J16" s="143">
        <f t="shared" ref="J16:K20" si="23">F16+H16</f>
        <v>27</v>
      </c>
      <c r="K16" s="37">
        <f t="shared" si="23"/>
        <v>4500000</v>
      </c>
      <c r="L16" s="87">
        <f t="shared" ref="L16:L20" si="24">+F16*15000</f>
        <v>405000</v>
      </c>
      <c r="M16" s="38">
        <f t="shared" ref="M16:M20" si="25">K16+L16</f>
        <v>4905000</v>
      </c>
      <c r="N16" s="38">
        <f>IF(VLOOKUP(B16,DS,9,0)="x",'L - 7'!E16*$N$4,0)</f>
        <v>0</v>
      </c>
      <c r="O16" s="38">
        <f t="shared" ref="O16:O20" si="26">IF(VLOOKUP(B16,DS,9,0)="x",E16*0.015,0)</f>
        <v>0</v>
      </c>
      <c r="P16" s="38">
        <f t="shared" ref="P16:P20" si="27">IF(VLOOKUP(B16,DS,9,0)="x",E16*0.01,0)</f>
        <v>0</v>
      </c>
      <c r="Q16" s="37">
        <f>M16-SUM(N16:P16)</f>
        <v>4905000</v>
      </c>
      <c r="R16" s="37">
        <f t="shared" ref="R16:R20" si="28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29">VLOOKUP(B17,DS,2,0)</f>
        <v>Võ Văn Kiệt</v>
      </c>
      <c r="D17" s="113" t="str">
        <f t="shared" ref="D17:D18" si="30">VLOOKUP(B17,DS,3,0)</f>
        <v>Công Đoạn 1</v>
      </c>
      <c r="E17" s="87">
        <f>VLOOKUP(B17,DS,5,0)</f>
        <v>4500000</v>
      </c>
      <c r="F17" s="89">
        <f>VLOOKUP(B17,'CC -7'!$B$8:$AS$29,36,0)</f>
        <v>27</v>
      </c>
      <c r="G17" s="142">
        <f t="shared" ref="G17:G18" si="31">ROUND(E17/$U$2*F17,0)</f>
        <v>4500000</v>
      </c>
      <c r="H17" s="89">
        <f>(VLOOKUP(B17,'CC -7'!$B$8:$AS$29,37,0)+VLOOKUP(B17,'CC -7'!$B$8:$AS$29,38,0))</f>
        <v>0</v>
      </c>
      <c r="I17" s="142">
        <f t="shared" ref="I17:I18" si="32">ROUND(E17/$U$2*H17,0)</f>
        <v>0</v>
      </c>
      <c r="J17" s="143">
        <f t="shared" ref="J17:J18" si="33">F17+H17</f>
        <v>27</v>
      </c>
      <c r="K17" s="37">
        <f t="shared" ref="K17:K18" si="34">G17+I17</f>
        <v>4500000</v>
      </c>
      <c r="L17" s="87">
        <f t="shared" ref="L17:L18" si="35">+F17*15000</f>
        <v>405000</v>
      </c>
      <c r="M17" s="38">
        <f t="shared" ref="M17:M18" si="36">K17+L17</f>
        <v>4905000</v>
      </c>
      <c r="N17" s="38">
        <f>IF(VLOOKUP(B17,DS,9,0)="x",'L - 7'!E17*$N$4,0)</f>
        <v>0</v>
      </c>
      <c r="O17" s="38">
        <f t="shared" ref="O17:O18" si="37">IF(VLOOKUP(B17,DS,9,0)="x",E17*0.015,0)</f>
        <v>0</v>
      </c>
      <c r="P17" s="38">
        <f t="shared" ref="P17:P18" si="38">IF(VLOOKUP(B17,DS,9,0)="x",E17*0.01,0)</f>
        <v>0</v>
      </c>
      <c r="Q17" s="37">
        <f t="shared" ref="Q17:Q18" si="39">M17-SUM(N17:P17)</f>
        <v>4905000</v>
      </c>
      <c r="R17" s="37">
        <f t="shared" ref="R17:R18" si="40">VLOOKUP(B17,DS,23,0)</f>
        <v>0</v>
      </c>
      <c r="S17" s="43">
        <f t="shared" ref="S17:S18" si="41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29"/>
        <v>Diệp Văn Lân</v>
      </c>
      <c r="D18" s="113" t="str">
        <f t="shared" si="30"/>
        <v>Công Đoạn 1</v>
      </c>
      <c r="E18" s="87">
        <f>VLOOKUP(B18,DS,5,0)</f>
        <v>3700000</v>
      </c>
      <c r="F18" s="89">
        <f>VLOOKUP(B18,'CC -7'!$B$8:$AS$29,36,0)</f>
        <v>27</v>
      </c>
      <c r="G18" s="142">
        <f t="shared" si="31"/>
        <v>3700000</v>
      </c>
      <c r="H18" s="89">
        <f>(VLOOKUP(B18,'CC -7'!$B$8:$AS$29,37,0)+VLOOKUP(B18,'CC -7'!$B$8:$AS$29,38,0))</f>
        <v>0</v>
      </c>
      <c r="I18" s="142">
        <f t="shared" si="32"/>
        <v>0</v>
      </c>
      <c r="J18" s="143">
        <f t="shared" si="33"/>
        <v>27</v>
      </c>
      <c r="K18" s="37">
        <f t="shared" si="34"/>
        <v>3700000</v>
      </c>
      <c r="L18" s="87">
        <f t="shared" si="35"/>
        <v>405000</v>
      </c>
      <c r="M18" s="38">
        <f t="shared" si="36"/>
        <v>4105000</v>
      </c>
      <c r="N18" s="38">
        <f>IF(VLOOKUP(B18,DS,9,0)="x",'L - 7'!E18*$N$4,0)</f>
        <v>0</v>
      </c>
      <c r="O18" s="38">
        <f t="shared" si="37"/>
        <v>0</v>
      </c>
      <c r="P18" s="38">
        <f t="shared" si="38"/>
        <v>0</v>
      </c>
      <c r="Q18" s="37">
        <f t="shared" si="39"/>
        <v>4105000</v>
      </c>
      <c r="R18" s="37">
        <f t="shared" si="40"/>
        <v>0</v>
      </c>
      <c r="S18" s="43">
        <f t="shared" si="41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19"/>
        <v>Dương Thế Kiệt</v>
      </c>
      <c r="D19" s="113" t="str">
        <f t="shared" si="20"/>
        <v>Công Đoạn 1</v>
      </c>
      <c r="E19" s="87">
        <f>VLOOKUP(B19,DS,5,0)</f>
        <v>3700000</v>
      </c>
      <c r="F19" s="89">
        <f>VLOOKUP(B19,'CC -7'!$B$8:$AS$29,36,0)</f>
        <v>27</v>
      </c>
      <c r="G19" s="142">
        <f t="shared" si="21"/>
        <v>3700000</v>
      </c>
      <c r="H19" s="89">
        <f>(VLOOKUP(B19,'CC -7'!$B$8:$AS$29,37,0)+VLOOKUP(B19,'CC -7'!$B$8:$AS$29,38,0))</f>
        <v>0</v>
      </c>
      <c r="I19" s="142">
        <f t="shared" si="22"/>
        <v>0</v>
      </c>
      <c r="J19" s="143">
        <f t="shared" si="23"/>
        <v>27</v>
      </c>
      <c r="K19" s="37">
        <f t="shared" si="23"/>
        <v>3700000</v>
      </c>
      <c r="L19" s="87">
        <f t="shared" si="24"/>
        <v>405000</v>
      </c>
      <c r="M19" s="38">
        <f t="shared" si="25"/>
        <v>4105000</v>
      </c>
      <c r="N19" s="38">
        <f>IF(VLOOKUP(B19,DS,9,0)="x",'L - 7'!E19*$N$4,0)</f>
        <v>0</v>
      </c>
      <c r="O19" s="38">
        <f t="shared" si="26"/>
        <v>0</v>
      </c>
      <c r="P19" s="38">
        <f t="shared" si="27"/>
        <v>0</v>
      </c>
      <c r="Q19" s="37">
        <f t="shared" ref="Q19:Q20" si="42">M19-SUM(N19:P19)</f>
        <v>4105000</v>
      </c>
      <c r="R19" s="37">
        <f t="shared" si="28"/>
        <v>0</v>
      </c>
      <c r="S19" s="43">
        <f t="shared" ref="S19:S20" si="43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19"/>
        <v>Lê Văn Hữu</v>
      </c>
      <c r="D20" s="113" t="str">
        <f t="shared" si="20"/>
        <v>Công Đoạn 2</v>
      </c>
      <c r="E20" s="87">
        <f>VLOOKUP(B20,DS,5,0)</f>
        <v>4500000</v>
      </c>
      <c r="F20" s="89">
        <f>VLOOKUP(B20,'CC -7'!$B$8:$AS$29,36,0)</f>
        <v>27</v>
      </c>
      <c r="G20" s="142">
        <f t="shared" si="21"/>
        <v>4500000</v>
      </c>
      <c r="H20" s="89">
        <f>(VLOOKUP(B20,'CC -7'!$B$8:$AS$29,37,0)+VLOOKUP(B20,'CC -7'!$B$8:$AS$29,38,0))</f>
        <v>0</v>
      </c>
      <c r="I20" s="142">
        <f t="shared" si="22"/>
        <v>0</v>
      </c>
      <c r="J20" s="143">
        <f t="shared" si="23"/>
        <v>27</v>
      </c>
      <c r="K20" s="37">
        <f t="shared" si="23"/>
        <v>4500000</v>
      </c>
      <c r="L20" s="87">
        <f t="shared" si="24"/>
        <v>405000</v>
      </c>
      <c r="M20" s="38">
        <f t="shared" si="25"/>
        <v>4905000</v>
      </c>
      <c r="N20" s="38">
        <f>IF(VLOOKUP(B20,DS,9,0)="x",'L - 7'!E20*$N$4,0)</f>
        <v>0</v>
      </c>
      <c r="O20" s="38">
        <f t="shared" si="26"/>
        <v>0</v>
      </c>
      <c r="P20" s="38">
        <f t="shared" si="27"/>
        <v>0</v>
      </c>
      <c r="Q20" s="37">
        <f t="shared" si="42"/>
        <v>4905000</v>
      </c>
      <c r="R20" s="37">
        <f t="shared" si="28"/>
        <v>0</v>
      </c>
      <c r="S20" s="43">
        <f t="shared" si="43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4">VLOOKUP(B21,DS,2,0)</f>
        <v>Bùi Trường Giang</v>
      </c>
      <c r="D21" s="113" t="str">
        <f t="shared" ref="D21:D22" si="45">VLOOKUP(B21,DS,3,0)</f>
        <v>Công Đoạn 2</v>
      </c>
      <c r="E21" s="87">
        <f>VLOOKUP(B21,DS,5,0)</f>
        <v>3700000</v>
      </c>
      <c r="F21" s="89">
        <f>VLOOKUP(B21,'CC -7'!$B$8:$AS$29,36,0)</f>
        <v>27</v>
      </c>
      <c r="G21" s="142">
        <f t="shared" ref="G21:G22" si="46">ROUND(E21/$U$2*F21,0)</f>
        <v>3700000</v>
      </c>
      <c r="H21" s="89">
        <f>(VLOOKUP(B21,'CC -7'!$B$8:$AS$29,37,0)+VLOOKUP(B21,'CC -7'!$B$8:$AS$29,38,0))</f>
        <v>0</v>
      </c>
      <c r="I21" s="142">
        <f t="shared" ref="I21:I22" si="47">ROUND(E21/$U$2*H21,0)</f>
        <v>0</v>
      </c>
      <c r="J21" s="143">
        <f t="shared" ref="J21:J22" si="48">F21+H21</f>
        <v>27</v>
      </c>
      <c r="K21" s="37">
        <f t="shared" ref="K21:K22" si="49">G21+I21</f>
        <v>3700000</v>
      </c>
      <c r="L21" s="87">
        <f t="shared" ref="L21:L22" si="50">+F21*15000</f>
        <v>405000</v>
      </c>
      <c r="M21" s="38">
        <f t="shared" ref="M21:M22" si="51">K21+L21</f>
        <v>4105000</v>
      </c>
      <c r="N21" s="38">
        <f>IF(VLOOKUP(B21,DS,9,0)="x",'L - 7'!E21*$N$4,0)</f>
        <v>0</v>
      </c>
      <c r="O21" s="38">
        <f t="shared" ref="O21:O22" si="52">IF(VLOOKUP(B21,DS,9,0)="x",E21*0.015,0)</f>
        <v>0</v>
      </c>
      <c r="P21" s="38">
        <f t="shared" ref="P21:P22" si="53">IF(VLOOKUP(B21,DS,9,0)="x",E21*0.01,0)</f>
        <v>0</v>
      </c>
      <c r="Q21" s="37">
        <f t="shared" ref="Q21:Q22" si="54">M21-SUM(N21:P21)</f>
        <v>4105000</v>
      </c>
      <c r="R21" s="37">
        <f t="shared" ref="R21:R22" si="55">VLOOKUP(B21,DS,23,0)</f>
        <v>0</v>
      </c>
      <c r="S21" s="43">
        <f t="shared" ref="S21:S22" si="56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4"/>
        <v>Nguyễn T Bích Thủy</v>
      </c>
      <c r="D22" s="113" t="str">
        <f t="shared" si="45"/>
        <v>Công Đoạn 2</v>
      </c>
      <c r="E22" s="87">
        <f>VLOOKUP(B22,DS,5,0)</f>
        <v>3700000</v>
      </c>
      <c r="F22" s="89">
        <f>VLOOKUP(B22,'CC -7'!$B$8:$AS$29,36,0)</f>
        <v>27</v>
      </c>
      <c r="G22" s="142">
        <f t="shared" si="46"/>
        <v>3700000</v>
      </c>
      <c r="H22" s="89">
        <f>(VLOOKUP(B22,'CC -7'!$B$8:$AS$29,37,0)+VLOOKUP(B22,'CC -7'!$B$8:$AS$29,38,0))</f>
        <v>0</v>
      </c>
      <c r="I22" s="142">
        <f t="shared" si="47"/>
        <v>0</v>
      </c>
      <c r="J22" s="143">
        <f t="shared" si="48"/>
        <v>27</v>
      </c>
      <c r="K22" s="37">
        <f t="shared" si="49"/>
        <v>3700000</v>
      </c>
      <c r="L22" s="87">
        <f t="shared" si="50"/>
        <v>405000</v>
      </c>
      <c r="M22" s="38">
        <f t="shared" si="51"/>
        <v>4105000</v>
      </c>
      <c r="N22" s="38">
        <f>IF(VLOOKUP(B22,DS,9,0)="x",'L - 7'!E22*$N$4,0)</f>
        <v>0</v>
      </c>
      <c r="O22" s="38">
        <f t="shared" si="52"/>
        <v>0</v>
      </c>
      <c r="P22" s="38">
        <f t="shared" si="53"/>
        <v>0</v>
      </c>
      <c r="Q22" s="37">
        <f t="shared" si="54"/>
        <v>4105000</v>
      </c>
      <c r="R22" s="37">
        <f t="shared" si="55"/>
        <v>0</v>
      </c>
      <c r="S22" s="43">
        <f t="shared" si="56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7">SUM(K15:K23)</f>
        <v>28300000</v>
      </c>
      <c r="L24" s="137">
        <f t="shared" si="57"/>
        <v>2835000</v>
      </c>
      <c r="M24" s="137">
        <f t="shared" si="57"/>
        <v>31135000</v>
      </c>
      <c r="N24" s="137">
        <f t="shared" si="57"/>
        <v>0</v>
      </c>
      <c r="O24" s="137">
        <f t="shared" si="57"/>
        <v>0</v>
      </c>
      <c r="P24" s="137">
        <f t="shared" si="57"/>
        <v>0</v>
      </c>
      <c r="Q24" s="137">
        <f t="shared" si="57"/>
        <v>31135000</v>
      </c>
      <c r="R24" s="137">
        <f t="shared" si="57"/>
        <v>0</v>
      </c>
      <c r="S24" s="137">
        <f t="shared" si="57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07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W10:W13 AF5:IK13 Q10:S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08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41852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41852</v>
      </c>
      <c r="G5" s="115">
        <f t="shared" ref="G5:AJ5" si="0">F5+1</f>
        <v>41853</v>
      </c>
      <c r="H5" s="115">
        <f t="shared" si="0"/>
        <v>41854</v>
      </c>
      <c r="I5" s="115">
        <f t="shared" si="0"/>
        <v>41855</v>
      </c>
      <c r="J5" s="115">
        <f t="shared" si="0"/>
        <v>41856</v>
      </c>
      <c r="K5" s="115">
        <f t="shared" si="0"/>
        <v>41857</v>
      </c>
      <c r="L5" s="115">
        <f t="shared" si="0"/>
        <v>41858</v>
      </c>
      <c r="M5" s="115">
        <f t="shared" si="0"/>
        <v>41859</v>
      </c>
      <c r="N5" s="115">
        <f t="shared" si="0"/>
        <v>41860</v>
      </c>
      <c r="O5" s="115">
        <f t="shared" si="0"/>
        <v>41861</v>
      </c>
      <c r="P5" s="115">
        <f t="shared" si="0"/>
        <v>41862</v>
      </c>
      <c r="Q5" s="115">
        <f t="shared" si="0"/>
        <v>41863</v>
      </c>
      <c r="R5" s="115">
        <f t="shared" si="0"/>
        <v>41864</v>
      </c>
      <c r="S5" s="115">
        <f t="shared" si="0"/>
        <v>41865</v>
      </c>
      <c r="T5" s="115">
        <f t="shared" si="0"/>
        <v>41866</v>
      </c>
      <c r="U5" s="115">
        <f t="shared" si="0"/>
        <v>41867</v>
      </c>
      <c r="V5" s="115">
        <f t="shared" si="0"/>
        <v>41868</v>
      </c>
      <c r="W5" s="115">
        <f t="shared" si="0"/>
        <v>41869</v>
      </c>
      <c r="X5" s="115">
        <f t="shared" si="0"/>
        <v>41870</v>
      </c>
      <c r="Y5" s="115">
        <f t="shared" si="0"/>
        <v>41871</v>
      </c>
      <c r="Z5" s="115">
        <f t="shared" si="0"/>
        <v>41872</v>
      </c>
      <c r="AA5" s="115">
        <f t="shared" si="0"/>
        <v>41873</v>
      </c>
      <c r="AB5" s="115">
        <f t="shared" si="0"/>
        <v>41874</v>
      </c>
      <c r="AC5" s="115">
        <f t="shared" si="0"/>
        <v>41875</v>
      </c>
      <c r="AD5" s="115">
        <f t="shared" si="0"/>
        <v>41876</v>
      </c>
      <c r="AE5" s="115">
        <f t="shared" si="0"/>
        <v>41877</v>
      </c>
      <c r="AF5" s="115">
        <f t="shared" si="0"/>
        <v>41878</v>
      </c>
      <c r="AG5" s="115">
        <f t="shared" si="0"/>
        <v>41879</v>
      </c>
      <c r="AH5" s="115">
        <f>AG5+1</f>
        <v>41880</v>
      </c>
      <c r="AI5" s="115">
        <f t="shared" si="0"/>
        <v>41881</v>
      </c>
      <c r="AJ5" s="115">
        <f t="shared" si="0"/>
        <v>41882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T.Sáu</v>
      </c>
      <c r="G6" s="171" t="str">
        <f t="shared" ref="G6:AJ6" si="1">CHOOSE(WEEKDAY(G5),"C.Nhật","T.Hai","T.Ba","T.Tư","T.Năm","T.Sáu","T.Bảy")</f>
        <v>T.Bảy</v>
      </c>
      <c r="H6" s="171" t="str">
        <f t="shared" si="1"/>
        <v>C.Nhật</v>
      </c>
      <c r="I6" s="171" t="str">
        <f t="shared" si="1"/>
        <v>T.Hai</v>
      </c>
      <c r="J6" s="171" t="str">
        <f t="shared" si="1"/>
        <v>T.Ba</v>
      </c>
      <c r="K6" s="171" t="str">
        <f t="shared" si="1"/>
        <v>T.Tư</v>
      </c>
      <c r="L6" s="171" t="str">
        <f t="shared" si="1"/>
        <v>T.Năm</v>
      </c>
      <c r="M6" s="171" t="str">
        <f t="shared" si="1"/>
        <v>T.Sáu</v>
      </c>
      <c r="N6" s="171" t="str">
        <f t="shared" si="1"/>
        <v>T.Bảy</v>
      </c>
      <c r="O6" s="171" t="str">
        <f t="shared" si="1"/>
        <v>C.Nhật</v>
      </c>
      <c r="P6" s="171" t="str">
        <f t="shared" si="1"/>
        <v>T.Hai</v>
      </c>
      <c r="Q6" s="171" t="str">
        <f t="shared" si="1"/>
        <v>T.Ba</v>
      </c>
      <c r="R6" s="171" t="str">
        <f t="shared" si="1"/>
        <v>T.Tư</v>
      </c>
      <c r="S6" s="171" t="str">
        <f t="shared" si="1"/>
        <v>T.Năm</v>
      </c>
      <c r="T6" s="171" t="str">
        <f t="shared" si="1"/>
        <v>T.Sáu</v>
      </c>
      <c r="U6" s="171" t="str">
        <f t="shared" si="1"/>
        <v>T.Bảy</v>
      </c>
      <c r="V6" s="171" t="str">
        <f t="shared" si="1"/>
        <v>C.Nhật</v>
      </c>
      <c r="W6" s="171" t="str">
        <f t="shared" si="1"/>
        <v>T.Hai</v>
      </c>
      <c r="X6" s="171" t="str">
        <f t="shared" si="1"/>
        <v>T.Ba</v>
      </c>
      <c r="Y6" s="171" t="str">
        <f t="shared" si="1"/>
        <v>T.Tư</v>
      </c>
      <c r="Z6" s="171" t="str">
        <f t="shared" si="1"/>
        <v>T.Năm</v>
      </c>
      <c r="AA6" s="171" t="str">
        <f t="shared" si="1"/>
        <v>T.Sáu</v>
      </c>
      <c r="AB6" s="171" t="str">
        <f t="shared" si="1"/>
        <v>T.Bảy</v>
      </c>
      <c r="AC6" s="171" t="str">
        <f t="shared" si="1"/>
        <v>C.Nhật</v>
      </c>
      <c r="AD6" s="171" t="str">
        <f t="shared" si="1"/>
        <v>T.Hai</v>
      </c>
      <c r="AE6" s="171" t="str">
        <f t="shared" si="1"/>
        <v>T.Ba</v>
      </c>
      <c r="AF6" s="171" t="str">
        <f t="shared" si="1"/>
        <v>T.Tư</v>
      </c>
      <c r="AG6" s="171" t="str">
        <f t="shared" si="1"/>
        <v>T.Năm</v>
      </c>
      <c r="AH6" s="171" t="str">
        <f t="shared" si="1"/>
        <v>T.Sáu</v>
      </c>
      <c r="AI6" s="171" t="str">
        <f t="shared" si="1"/>
        <v>T.Bảy</v>
      </c>
      <c r="AJ6" s="171" t="str">
        <f t="shared" si="1"/>
        <v>C.Nhật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>
        <v>8</v>
      </c>
      <c r="H9" s="140"/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>
        <v>8</v>
      </c>
      <c r="O9" s="140"/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>
        <v>8</v>
      </c>
      <c r="V9" s="140"/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>
        <v>8</v>
      </c>
      <c r="AC9" s="140"/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>
        <v>8</v>
      </c>
      <c r="AJ9" s="140"/>
      <c r="AK9" s="241">
        <f>((SUM(F9:AJ9))/8)-(SUMIF($F$6:$AJ$6,"C.Nhật",F9:AJ9)/8)</f>
        <v>26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26</v>
      </c>
      <c r="AO9" s="249">
        <v>0</v>
      </c>
      <c r="AP9" s="247"/>
      <c r="AQ9" s="247"/>
      <c r="AR9" s="247"/>
      <c r="AS9" s="243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>
        <v>8</v>
      </c>
      <c r="H11" s="140"/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>
        <v>8</v>
      </c>
      <c r="O11" s="140"/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>
        <v>8</v>
      </c>
      <c r="V11" s="140"/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>
        <v>8</v>
      </c>
      <c r="AC11" s="140"/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>
        <v>8</v>
      </c>
      <c r="AJ11" s="140"/>
      <c r="AK11" s="241">
        <f t="shared" ref="AK11" si="2">((SUM(F11:AJ11))/8)-(SUMIF($F$6:$AJ$6,"C.Nhật",F11:AJ11)/8)</f>
        <v>26</v>
      </c>
      <c r="AL11" s="241">
        <f t="shared" ref="AL11" si="3">SUM(F12:AJ12)/8*1.5</f>
        <v>0</v>
      </c>
      <c r="AM11" s="245">
        <f t="shared" ref="AM11:AM13" si="4">SUMIF($F$6:$AJ$6,"C.Nhật",$F11:$AJ12)/8*2</f>
        <v>0</v>
      </c>
      <c r="AN11" s="247">
        <f t="shared" ref="AN11" si="5">SUM(AK11:AM12)</f>
        <v>26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>
        <v>8</v>
      </c>
      <c r="H13" s="140"/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>
        <v>8</v>
      </c>
      <c r="O13" s="140"/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>
        <v>8</v>
      </c>
      <c r="V13" s="140"/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>
        <v>8</v>
      </c>
      <c r="AC13" s="140"/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>
        <v>8</v>
      </c>
      <c r="AJ13" s="140"/>
      <c r="AK13" s="241">
        <f t="shared" ref="AK13" si="6">((SUM(F13:AJ13))/8)-(SUMIF($F$6:$AJ$6,"C.Nhật",F13:AJ13)/8)</f>
        <v>26</v>
      </c>
      <c r="AL13" s="241">
        <f t="shared" ref="AL13" si="7">SUM(F14:AJ14)/8*1.5</f>
        <v>0</v>
      </c>
      <c r="AM13" s="245">
        <f t="shared" si="4"/>
        <v>0</v>
      </c>
      <c r="AN13" s="247">
        <f t="shared" ref="AN13" si="8">SUM(AK13:AM14)</f>
        <v>26</v>
      </c>
      <c r="AO13" s="249">
        <v>0</v>
      </c>
      <c r="AP13" s="247"/>
      <c r="AQ13" s="247"/>
      <c r="AR13" s="247"/>
      <c r="AS13" s="243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2"/>
      <c r="AL14" s="242"/>
      <c r="AM14" s="246"/>
      <c r="AN14" s="248"/>
      <c r="AO14" s="250"/>
      <c r="AP14" s="248"/>
      <c r="AQ14" s="248"/>
      <c r="AR14" s="248"/>
      <c r="AS14" s="244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>
        <v>8</v>
      </c>
      <c r="H16" s="140"/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>
        <v>8</v>
      </c>
      <c r="O16" s="140"/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>
        <v>8</v>
      </c>
      <c r="V16" s="140"/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>
        <v>8</v>
      </c>
      <c r="AC16" s="140"/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>
        <v>8</v>
      </c>
      <c r="AJ16" s="140"/>
      <c r="AK16" s="241">
        <f t="shared" ref="AK16" si="9">((SUM(F16:AJ16))/8)-(SUMIF($F$6:$AJ$6,"C.Nhật",F16:AJ16)/8)</f>
        <v>26</v>
      </c>
      <c r="AL16" s="241">
        <f t="shared" ref="AL16" si="10">SUM(F17:AJ17)/8*1.5</f>
        <v>0</v>
      </c>
      <c r="AM16" s="245">
        <f>SUMIF($F$6:$AJ$6,"C.Nhật",$F16:$AJ17)/8*2</f>
        <v>0</v>
      </c>
      <c r="AN16" s="247">
        <f>SUM(AK16:AM17)</f>
        <v>26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/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>
        <v>8</v>
      </c>
      <c r="O18" s="140"/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>
        <v>8</v>
      </c>
      <c r="V18" s="140"/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>
        <v>8</v>
      </c>
      <c r="AC18" s="140"/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>
        <v>8</v>
      </c>
      <c r="AJ18" s="140"/>
      <c r="AK18" s="241">
        <f t="shared" ref="AK18" si="11">((SUM(F18:AJ18))/8)-(SUMIF($F$6:$AJ$6,"C.Nhật",F18:AJ18)/8)</f>
        <v>26</v>
      </c>
      <c r="AL18" s="241">
        <f t="shared" ref="AL18" si="12">SUM(F19:AJ19)/8*1.5</f>
        <v>0</v>
      </c>
      <c r="AM18" s="245">
        <f>SUMIF($F$6:$AJ$6,"C.Nhật",$F18:$AJ19)/8*2</f>
        <v>0</v>
      </c>
      <c r="AN18" s="247">
        <f t="shared" ref="AN18" si="13">SUM(AK18:AM19)</f>
        <v>26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/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>
        <v>8</v>
      </c>
      <c r="O20" s="140"/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>
        <v>8</v>
      </c>
      <c r="V20" s="140"/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>
        <v>8</v>
      </c>
      <c r="AC20" s="140"/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>
        <v>8</v>
      </c>
      <c r="AJ20" s="140"/>
      <c r="AK20" s="241">
        <f t="shared" ref="AK20" si="14">((SUM(F20:AJ20))/8)-(SUMIF($F$6:$AJ$6,"C.Nhật",F20:AJ20)/8)</f>
        <v>26</v>
      </c>
      <c r="AL20" s="241">
        <f t="shared" ref="AL20" si="15">SUM(F21:AJ21)/8*1.5</f>
        <v>0</v>
      </c>
      <c r="AM20" s="245">
        <f>SUMIF($F$6:$AJ$6,"C.Nhật",$F20:$AJ21)/8*2</f>
        <v>0</v>
      </c>
      <c r="AN20" s="247">
        <f t="shared" ref="AN20" si="16">SUM(AK20:AM21)</f>
        <v>26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/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>
        <v>8</v>
      </c>
      <c r="O22" s="140"/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>
        <v>8</v>
      </c>
      <c r="V22" s="140"/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>
        <v>8</v>
      </c>
      <c r="AC22" s="140"/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>
        <v>8</v>
      </c>
      <c r="AJ22" s="140"/>
      <c r="AK22" s="241">
        <f t="shared" ref="AK22" si="17">((SUM(F22:AJ22))/8)-(SUMIF($F$6:$AJ$6,"C.Nhật",F22:AJ22)/8)</f>
        <v>26</v>
      </c>
      <c r="AL22" s="241">
        <f t="shared" ref="AL22" si="18">SUM(F23:AJ23)/8*1.5</f>
        <v>0</v>
      </c>
      <c r="AM22" s="245">
        <f>SUMIF($F$6:$AJ$6,"C.Nhật",$F22:$AJ23)/8*2</f>
        <v>0</v>
      </c>
      <c r="AN22" s="247">
        <f t="shared" ref="AN22" si="19">SUM(AK22:AM23)</f>
        <v>26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/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>
        <v>8</v>
      </c>
      <c r="O24" s="140"/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>
        <v>8</v>
      </c>
      <c r="V24" s="140"/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>
        <v>8</v>
      </c>
      <c r="AC24" s="140"/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>
        <v>8</v>
      </c>
      <c r="AJ24" s="140"/>
      <c r="AK24" s="241">
        <f t="shared" ref="AK24" si="20">((SUM(F24:AJ24))/8)-(SUMIF($F$6:$AJ$6,"C.Nhật",F24:AJ24)/8)</f>
        <v>26</v>
      </c>
      <c r="AL24" s="241">
        <f t="shared" ref="AL24" si="21">SUM(F25:AJ25)/8*1.5</f>
        <v>0</v>
      </c>
      <c r="AM24" s="245">
        <f>SUMIF($F$6:$AJ$6,"C.Nhật",$F24:$AJ25)/8*2</f>
        <v>0</v>
      </c>
      <c r="AN24" s="247">
        <f t="shared" ref="AN24" si="22">SUM(AK24:AM25)</f>
        <v>26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/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>
        <v>8</v>
      </c>
      <c r="O26" s="140"/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>
        <v>8</v>
      </c>
      <c r="V26" s="140"/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>
        <v>8</v>
      </c>
      <c r="AC26" s="140"/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>
        <v>8</v>
      </c>
      <c r="AJ26" s="140"/>
      <c r="AK26" s="241">
        <f t="shared" ref="AK26" si="23">((SUM(F26:AJ26))/8)-(SUMIF($F$6:$AJ$6,"C.Nhật",F26:AJ26)/8)</f>
        <v>26</v>
      </c>
      <c r="AL26" s="241">
        <f t="shared" ref="AL26" si="24">SUM(F27:AJ27)/8*1.5</f>
        <v>0</v>
      </c>
      <c r="AM26" s="245">
        <f>SUMIF($F$6:$AJ$6,"C.Nhật",$F26:$AJ27)/8*2</f>
        <v>0</v>
      </c>
      <c r="AN26" s="247">
        <f t="shared" ref="AN26" si="25">SUM(AK26:AM27)</f>
        <v>26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/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>
        <v>8</v>
      </c>
      <c r="O28" s="140"/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>
        <v>8</v>
      </c>
      <c r="V28" s="140"/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>
        <v>8</v>
      </c>
      <c r="AC28" s="140"/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>
        <v>8</v>
      </c>
      <c r="AJ28" s="140"/>
      <c r="AK28" s="241">
        <f t="shared" ref="AK28" si="26">((SUM(F28:AJ28))/8)-(SUMIF($F$6:$AJ$6,"C.Nhật",F28:AJ28)/8)</f>
        <v>26</v>
      </c>
      <c r="AL28" s="241">
        <f t="shared" ref="AL28" si="27">SUM(F29:AJ29)/8*1.5</f>
        <v>0</v>
      </c>
      <c r="AM28" s="245">
        <f>SUMIF($F$6:$AJ$6,"C.Nhật",$F28:$AJ29)/8*2</f>
        <v>0</v>
      </c>
      <c r="AN28" s="247">
        <f t="shared" ref="AN28" si="28">SUM(AK28:AM29)</f>
        <v>26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</mergeCells>
  <conditionalFormatting sqref="F5:AJ6 F9:AJ10 F13:AJ14">
    <cfRule type="expression" dxfId="80" priority="36" stopIfTrue="1">
      <formula>IF(WEEKDAY(F$5)=1,TRUE,FALSE)</formula>
    </cfRule>
  </conditionalFormatting>
  <conditionalFormatting sqref="F9:AJ10 F13:AJ14">
    <cfRule type="expression" dxfId="79" priority="35" stopIfTrue="1">
      <formula>IF(WEEKDAY(F$5)=1,TRUE,FALSE)</formula>
    </cfRule>
  </conditionalFormatting>
  <conditionalFormatting sqref="F16:AJ17 F26:AJ29">
    <cfRule type="expression" dxfId="78" priority="8" stopIfTrue="1">
      <formula>IF(WEEKDAY(F$5)=1,TRUE,FALSE)</formula>
    </cfRule>
  </conditionalFormatting>
  <conditionalFormatting sqref="F16:AJ17 F26:AJ29">
    <cfRule type="expression" dxfId="77" priority="7" stopIfTrue="1">
      <formula>IF(WEEKDAY(F$5)=1,TRUE,FALSE)</formula>
    </cfRule>
  </conditionalFormatting>
  <conditionalFormatting sqref="F11:AJ12">
    <cfRule type="expression" dxfId="76" priority="6" stopIfTrue="1">
      <formula>IF(WEEKDAY(F$5)=1,TRUE,FALSE)</formula>
    </cfRule>
  </conditionalFormatting>
  <conditionalFormatting sqref="F11:AJ12">
    <cfRule type="expression" dxfId="75" priority="5" stopIfTrue="1">
      <formula>IF(WEEKDAY(F$5)=1,TRUE,FALSE)</formula>
    </cfRule>
  </conditionalFormatting>
  <conditionalFormatting sqref="F22:AJ25">
    <cfRule type="expression" dxfId="74" priority="4" stopIfTrue="1">
      <formula>IF(WEEKDAY(F$5)=1,TRUE,FALSE)</formula>
    </cfRule>
  </conditionalFormatting>
  <conditionalFormatting sqref="F22:AJ25">
    <cfRule type="expression" dxfId="73" priority="3" stopIfTrue="1">
      <formula>IF(WEEKDAY(F$5)=1,TRUE,FALSE)</formula>
    </cfRule>
  </conditionalFormatting>
  <conditionalFormatting sqref="F18:AJ21">
    <cfRule type="expression" dxfId="72" priority="2" stopIfTrue="1">
      <formula>IF(WEEKDAY(F$5)=1,TRUE,FALSE)</formula>
    </cfRule>
  </conditionalFormatting>
  <conditionalFormatting sqref="F18:AJ21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6" t="str">
        <f>"BẢNG THANH TOÁN LƯƠNG THÁNG"&amp;" "&amp;TEXT($E$4,"mm")&amp;" / "&amp;TEXT($E$4,"yyyy")</f>
        <v>BẢNG THANH TOÁN LƯƠNG THÁNG 08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26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- 8'!$E$4</f>
        <v>41852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198" t="s">
        <v>40</v>
      </c>
      <c r="G7" s="196" t="s">
        <v>18</v>
      </c>
      <c r="H7" s="198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- 8'!$B$8:$AS$29,36,0)</f>
        <v>26</v>
      </c>
      <c r="G10" s="142">
        <f t="shared" ref="G10:G12" si="2">ROUND(E10/$U$2*F10,0)</f>
        <v>4500000</v>
      </c>
      <c r="H10" s="89">
        <f>(VLOOKUP(B10,'CC - 8'!$B$8:$AS$29,37,0)+VLOOKUP(B10,'CC - 8'!$B$8:$AS$29,38,0))</f>
        <v>0</v>
      </c>
      <c r="I10" s="142">
        <f t="shared" ref="I10:I12" si="3">ROUND(E10/$U$2*H10,0)</f>
        <v>0</v>
      </c>
      <c r="J10" s="90">
        <f t="shared" ref="J10:K12" si="4">F10+H10</f>
        <v>26</v>
      </c>
      <c r="K10" s="37">
        <f>G10+I10</f>
        <v>4500000</v>
      </c>
      <c r="L10" s="87">
        <f t="shared" ref="L10:L12" si="5">+F10*15000</f>
        <v>390000</v>
      </c>
      <c r="M10" s="38">
        <f t="shared" ref="M10:M12" si="6">K10+L10</f>
        <v>4890000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4890000</v>
      </c>
      <c r="R10" s="37">
        <f>VLOOKUP(B10,DS,23,0)</f>
        <v>0</v>
      </c>
      <c r="S10" s="43">
        <f t="shared" ref="S10:S12" si="8">Q10-R10</f>
        <v>4890000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- 8'!$B$8:$AS$29,36,0)</f>
        <v>26</v>
      </c>
      <c r="G11" s="142">
        <f t="shared" ref="G11" si="11">ROUND(E11/$U$2*F11,0)</f>
        <v>4500000</v>
      </c>
      <c r="H11" s="89">
        <f>(VLOOKUP(B11,'CC - 8'!$B$8:$AS$29,37,0)+VLOOKUP(B11,'CC - 8'!$B$8:$AS$29,38,0))</f>
        <v>0</v>
      </c>
      <c r="I11" s="142">
        <f t="shared" ref="I11" si="12">ROUND(E11/$U$2*H11,0)</f>
        <v>0</v>
      </c>
      <c r="J11" s="90">
        <f t="shared" ref="J11" si="13">F11+H11</f>
        <v>26</v>
      </c>
      <c r="K11" s="37">
        <f t="shared" ref="K11" si="14">G11+I11</f>
        <v>4500000</v>
      </c>
      <c r="L11" s="87">
        <f t="shared" ref="L11" si="15">+F11*15000</f>
        <v>390000</v>
      </c>
      <c r="M11" s="38">
        <f t="shared" ref="M11" si="16">K11+L11</f>
        <v>4890000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4890000</v>
      </c>
      <c r="R11" s="37">
        <f>VLOOKUP(B11,DS,23,0)</f>
        <v>0</v>
      </c>
      <c r="S11" s="43">
        <f t="shared" ref="S11" si="18">Q11-R11</f>
        <v>4890000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2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- 8'!$B$8:$AS$29,36,0)</f>
        <v>26</v>
      </c>
      <c r="G12" s="142">
        <f t="shared" si="2"/>
        <v>5000000</v>
      </c>
      <c r="H12" s="89">
        <f>(VLOOKUP(B12,'CC - 8'!$B$8:$AS$29,37,0)+VLOOKUP(B12,'CC - 8'!$B$8:$AS$29,38,0))</f>
        <v>0</v>
      </c>
      <c r="I12" s="142">
        <f t="shared" si="3"/>
        <v>0</v>
      </c>
      <c r="J12" s="90">
        <f t="shared" si="4"/>
        <v>26</v>
      </c>
      <c r="K12" s="37">
        <f t="shared" si="4"/>
        <v>5000000</v>
      </c>
      <c r="L12" s="87">
        <f t="shared" si="5"/>
        <v>390000</v>
      </c>
      <c r="M12" s="38">
        <f t="shared" si="6"/>
        <v>5390000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5390000</v>
      </c>
      <c r="R12" s="37">
        <f>VLOOKUP(B12,DS,23,0)</f>
        <v>0</v>
      </c>
      <c r="S12" s="43">
        <f t="shared" si="8"/>
        <v>5390000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1170000</v>
      </c>
      <c r="M14" s="137">
        <f t="shared" si="19"/>
        <v>15170000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15170000</v>
      </c>
      <c r="R14" s="137">
        <f t="shared" si="19"/>
        <v>0</v>
      </c>
      <c r="S14" s="137">
        <f t="shared" si="19"/>
        <v>15170000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>VLOOKUP(B16,DS,5,0)</f>
        <v>4500000</v>
      </c>
      <c r="F16" s="89">
        <f>VLOOKUP(B16,'CC - 8'!$B$8:$AS$29,36,0)</f>
        <v>26</v>
      </c>
      <c r="G16" s="142">
        <f t="shared" ref="G16:G20" si="22">ROUND(E16/$U$2*F16,0)</f>
        <v>4500000</v>
      </c>
      <c r="H16" s="89">
        <f>(VLOOKUP(B16,'CC - 8'!$B$8:$AS$29,37,0)+VLOOKUP(B16,'CC - 8'!$B$8:$AS$29,38,0))</f>
        <v>0</v>
      </c>
      <c r="I16" s="142">
        <f t="shared" ref="I16:I20" si="23">ROUND(E16/$U$2*H16,0)</f>
        <v>0</v>
      </c>
      <c r="J16" s="143">
        <f t="shared" ref="J16:K20" si="24">F16+H16</f>
        <v>26</v>
      </c>
      <c r="K16" s="37">
        <f t="shared" si="24"/>
        <v>4500000</v>
      </c>
      <c r="L16" s="87">
        <f t="shared" ref="L16:L20" si="25">+F16*15000</f>
        <v>390000</v>
      </c>
      <c r="M16" s="38">
        <f t="shared" ref="M16:M20" si="26">K16+L16</f>
        <v>4890000</v>
      </c>
      <c r="N16" s="38">
        <f>IF(VLOOKUP(B16,DS,9,0)="x",'L - 8'!E16*$N$4,0)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4890000</v>
      </c>
      <c r="R16" s="37">
        <f t="shared" ref="R16:R20" si="29">VLOOKUP(B16,DS,23,0)</f>
        <v>0</v>
      </c>
      <c r="S16" s="43">
        <f>Q16-R16</f>
        <v>4890000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>VLOOKUP(B17,DS,5,0)</f>
        <v>4500000</v>
      </c>
      <c r="F17" s="89">
        <f>VLOOKUP(B17,'CC - 8'!$B$8:$AS$29,36,0)</f>
        <v>26</v>
      </c>
      <c r="G17" s="142">
        <f t="shared" ref="G17:G18" si="32">ROUND(E17/$U$2*F17,0)</f>
        <v>4500000</v>
      </c>
      <c r="H17" s="89">
        <f>(VLOOKUP(B17,'CC - 8'!$B$8:$AS$29,37,0)+VLOOKUP(B17,'CC - 8'!$B$8:$AS$29,38,0))</f>
        <v>0</v>
      </c>
      <c r="I17" s="142">
        <f t="shared" ref="I17:I18" si="33">ROUND(E17/$U$2*H17,0)</f>
        <v>0</v>
      </c>
      <c r="J17" s="143">
        <f t="shared" ref="J17:J18" si="34">F17+H17</f>
        <v>26</v>
      </c>
      <c r="K17" s="37">
        <f t="shared" ref="K17:K18" si="35">G17+I17</f>
        <v>4500000</v>
      </c>
      <c r="L17" s="87">
        <f t="shared" ref="L17:L18" si="36">+F17*15000</f>
        <v>390000</v>
      </c>
      <c r="M17" s="38">
        <f t="shared" ref="M17:M18" si="37">K17+L17</f>
        <v>4890000</v>
      </c>
      <c r="N17" s="38">
        <f>IF(VLOOKUP(B17,DS,9,0)="x",'L - 8'!E17*$N$4,0)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4890000</v>
      </c>
      <c r="R17" s="37">
        <f t="shared" ref="R17:R18" si="41">VLOOKUP(B17,DS,23,0)</f>
        <v>0</v>
      </c>
      <c r="S17" s="43">
        <f t="shared" ref="S17:S18" si="42">Q17-R17</f>
        <v>4890000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>VLOOKUP(B18,DS,5,0)</f>
        <v>3700000</v>
      </c>
      <c r="F18" s="89">
        <f>VLOOKUP(B18,'CC - 8'!$B$8:$AS$29,36,0)</f>
        <v>26</v>
      </c>
      <c r="G18" s="142">
        <f t="shared" si="32"/>
        <v>3700000</v>
      </c>
      <c r="H18" s="89">
        <f>(VLOOKUP(B18,'CC - 8'!$B$8:$AS$29,37,0)+VLOOKUP(B18,'CC - 8'!$B$8:$AS$29,38,0))</f>
        <v>0</v>
      </c>
      <c r="I18" s="142">
        <f t="shared" si="33"/>
        <v>0</v>
      </c>
      <c r="J18" s="143">
        <f t="shared" si="34"/>
        <v>26</v>
      </c>
      <c r="K18" s="37">
        <f t="shared" si="35"/>
        <v>3700000</v>
      </c>
      <c r="L18" s="87">
        <f t="shared" si="36"/>
        <v>390000</v>
      </c>
      <c r="M18" s="38">
        <f t="shared" si="37"/>
        <v>4090000</v>
      </c>
      <c r="N18" s="38">
        <f>IF(VLOOKUP(B18,DS,9,0)="x",'L - 8'!E18*$N$4,0)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4090000</v>
      </c>
      <c r="R18" s="37">
        <f t="shared" si="41"/>
        <v>0</v>
      </c>
      <c r="S18" s="43">
        <f t="shared" si="42"/>
        <v>4090000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2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>VLOOKUP(B19,DS,5,0)</f>
        <v>3700000</v>
      </c>
      <c r="F19" s="89">
        <f>VLOOKUP(B19,'CC - 8'!$B$8:$AS$29,36,0)</f>
        <v>26</v>
      </c>
      <c r="G19" s="142">
        <f t="shared" si="22"/>
        <v>3700000</v>
      </c>
      <c r="H19" s="89">
        <f>(VLOOKUP(B19,'CC - 8'!$B$8:$AS$29,37,0)+VLOOKUP(B19,'CC - 8'!$B$8:$AS$29,38,0))</f>
        <v>0</v>
      </c>
      <c r="I19" s="142">
        <f t="shared" si="23"/>
        <v>0</v>
      </c>
      <c r="J19" s="143">
        <f t="shared" si="24"/>
        <v>26</v>
      </c>
      <c r="K19" s="37">
        <f t="shared" si="24"/>
        <v>3700000</v>
      </c>
      <c r="L19" s="87">
        <f t="shared" si="25"/>
        <v>390000</v>
      </c>
      <c r="M19" s="38">
        <f t="shared" si="26"/>
        <v>4090000</v>
      </c>
      <c r="N19" s="38">
        <f>IF(VLOOKUP(B19,DS,9,0)="x",'L - 8'!E19*$N$4,0)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4090000</v>
      </c>
      <c r="R19" s="37">
        <f t="shared" si="29"/>
        <v>0</v>
      </c>
      <c r="S19" s="43">
        <f t="shared" ref="S19:S20" si="44">Q19-R19</f>
        <v>4090000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3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>VLOOKUP(B20,DS,5,0)</f>
        <v>4500000</v>
      </c>
      <c r="F20" s="89">
        <f>VLOOKUP(B20,'CC - 8'!$B$8:$AS$29,36,0)</f>
        <v>26</v>
      </c>
      <c r="G20" s="142">
        <f t="shared" si="22"/>
        <v>4500000</v>
      </c>
      <c r="H20" s="89">
        <f>(VLOOKUP(B20,'CC - 8'!$B$8:$AS$29,37,0)+VLOOKUP(B20,'CC - 8'!$B$8:$AS$29,38,0))</f>
        <v>0</v>
      </c>
      <c r="I20" s="142">
        <f t="shared" si="23"/>
        <v>0</v>
      </c>
      <c r="J20" s="143">
        <f t="shared" si="24"/>
        <v>26</v>
      </c>
      <c r="K20" s="37">
        <f t="shared" si="24"/>
        <v>4500000</v>
      </c>
      <c r="L20" s="87">
        <f t="shared" si="25"/>
        <v>390000</v>
      </c>
      <c r="M20" s="38">
        <f t="shared" si="26"/>
        <v>4890000</v>
      </c>
      <c r="N20" s="38">
        <f>IF(VLOOKUP(B20,DS,9,0)="x",'L - 8'!E20*$N$4,0)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4890000</v>
      </c>
      <c r="R20" s="37">
        <f t="shared" si="29"/>
        <v>0</v>
      </c>
      <c r="S20" s="43">
        <f t="shared" si="44"/>
        <v>4890000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2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>VLOOKUP(B21,DS,5,0)</f>
        <v>3700000</v>
      </c>
      <c r="F21" s="89">
        <f>VLOOKUP(B21,'CC - 8'!$B$8:$AS$29,36,0)</f>
        <v>26</v>
      </c>
      <c r="G21" s="142">
        <f t="shared" ref="G21:G22" si="47">ROUND(E21/$U$2*F21,0)</f>
        <v>3700000</v>
      </c>
      <c r="H21" s="89">
        <f>(VLOOKUP(B21,'CC - 8'!$B$8:$AS$29,37,0)+VLOOKUP(B21,'CC - 8'!$B$8:$AS$29,38,0))</f>
        <v>0</v>
      </c>
      <c r="I21" s="142">
        <f t="shared" ref="I21:I22" si="48">ROUND(E21/$U$2*H21,0)</f>
        <v>0</v>
      </c>
      <c r="J21" s="143">
        <f t="shared" ref="J21:J22" si="49">F21+H21</f>
        <v>26</v>
      </c>
      <c r="K21" s="37">
        <f t="shared" ref="K21:K22" si="50">G21+I21</f>
        <v>3700000</v>
      </c>
      <c r="L21" s="87">
        <f t="shared" ref="L21:L22" si="51">+F21*15000</f>
        <v>390000</v>
      </c>
      <c r="M21" s="38">
        <f t="shared" ref="M21:M22" si="52">K21+L21</f>
        <v>4090000</v>
      </c>
      <c r="N21" s="38">
        <f>IF(VLOOKUP(B21,DS,9,0)="x",'L - 8'!E21*$N$4,0)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4090000</v>
      </c>
      <c r="R21" s="37">
        <f t="shared" ref="R21:R22" si="56">VLOOKUP(B21,DS,23,0)</f>
        <v>0</v>
      </c>
      <c r="S21" s="43">
        <f t="shared" ref="S21:S22" si="57">Q21-R21</f>
        <v>4090000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3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>VLOOKUP(B22,DS,5,0)</f>
        <v>3700000</v>
      </c>
      <c r="F22" s="89">
        <f>VLOOKUP(B22,'CC - 8'!$B$8:$AS$29,36,0)</f>
        <v>26</v>
      </c>
      <c r="G22" s="142">
        <f t="shared" si="47"/>
        <v>3700000</v>
      </c>
      <c r="H22" s="89">
        <f>(VLOOKUP(B22,'CC - 8'!$B$8:$AS$29,37,0)+VLOOKUP(B22,'CC - 8'!$B$8:$AS$29,38,0))</f>
        <v>0</v>
      </c>
      <c r="I22" s="142">
        <f t="shared" si="48"/>
        <v>0</v>
      </c>
      <c r="J22" s="143">
        <f t="shared" si="49"/>
        <v>26</v>
      </c>
      <c r="K22" s="37">
        <f t="shared" si="50"/>
        <v>3700000</v>
      </c>
      <c r="L22" s="87">
        <f t="shared" si="51"/>
        <v>390000</v>
      </c>
      <c r="M22" s="38">
        <f t="shared" si="52"/>
        <v>4090000</v>
      </c>
      <c r="N22" s="38">
        <f>IF(VLOOKUP(B22,DS,9,0)="x",'L - 8'!E22*$N$4,0)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4090000</v>
      </c>
      <c r="R22" s="37">
        <f t="shared" si="56"/>
        <v>0</v>
      </c>
      <c r="S22" s="43">
        <f t="shared" si="57"/>
        <v>4090000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2730000</v>
      </c>
      <c r="M24" s="137">
        <f t="shared" si="58"/>
        <v>31030000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31030000</v>
      </c>
      <c r="R24" s="137">
        <f t="shared" si="58"/>
        <v>0</v>
      </c>
      <c r="S24" s="137">
        <f t="shared" si="58"/>
        <v>31030000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08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6" sqref="A16:A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5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09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41883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41883</v>
      </c>
      <c r="G5" s="115">
        <f t="shared" ref="G5:AJ5" si="0">F5+1</f>
        <v>41884</v>
      </c>
      <c r="H5" s="115">
        <f t="shared" si="0"/>
        <v>41885</v>
      </c>
      <c r="I5" s="115">
        <f t="shared" si="0"/>
        <v>41886</v>
      </c>
      <c r="J5" s="115">
        <f t="shared" si="0"/>
        <v>41887</v>
      </c>
      <c r="K5" s="115">
        <f t="shared" si="0"/>
        <v>41888</v>
      </c>
      <c r="L5" s="115">
        <f t="shared" si="0"/>
        <v>41889</v>
      </c>
      <c r="M5" s="115">
        <f t="shared" si="0"/>
        <v>41890</v>
      </c>
      <c r="N5" s="115">
        <f t="shared" si="0"/>
        <v>41891</v>
      </c>
      <c r="O5" s="115">
        <f t="shared" si="0"/>
        <v>41892</v>
      </c>
      <c r="P5" s="115">
        <f t="shared" si="0"/>
        <v>41893</v>
      </c>
      <c r="Q5" s="115">
        <f t="shared" si="0"/>
        <v>41894</v>
      </c>
      <c r="R5" s="115">
        <f t="shared" si="0"/>
        <v>41895</v>
      </c>
      <c r="S5" s="115">
        <f t="shared" si="0"/>
        <v>41896</v>
      </c>
      <c r="T5" s="115">
        <f t="shared" si="0"/>
        <v>41897</v>
      </c>
      <c r="U5" s="115">
        <f t="shared" si="0"/>
        <v>41898</v>
      </c>
      <c r="V5" s="115">
        <f t="shared" si="0"/>
        <v>41899</v>
      </c>
      <c r="W5" s="115">
        <f t="shared" si="0"/>
        <v>41900</v>
      </c>
      <c r="X5" s="115">
        <f t="shared" si="0"/>
        <v>41901</v>
      </c>
      <c r="Y5" s="115">
        <f t="shared" si="0"/>
        <v>41902</v>
      </c>
      <c r="Z5" s="115">
        <f t="shared" si="0"/>
        <v>41903</v>
      </c>
      <c r="AA5" s="115">
        <f t="shared" si="0"/>
        <v>41904</v>
      </c>
      <c r="AB5" s="115">
        <f t="shared" si="0"/>
        <v>41905</v>
      </c>
      <c r="AC5" s="115">
        <f t="shared" si="0"/>
        <v>41906</v>
      </c>
      <c r="AD5" s="115">
        <f t="shared" si="0"/>
        <v>41907</v>
      </c>
      <c r="AE5" s="115">
        <f t="shared" si="0"/>
        <v>41908</v>
      </c>
      <c r="AF5" s="115">
        <f t="shared" si="0"/>
        <v>41909</v>
      </c>
      <c r="AG5" s="115">
        <f t="shared" si="0"/>
        <v>41910</v>
      </c>
      <c r="AH5" s="115">
        <f>AG5+1</f>
        <v>41911</v>
      </c>
      <c r="AI5" s="115">
        <f t="shared" si="0"/>
        <v>41912</v>
      </c>
      <c r="AJ5" s="115">
        <f t="shared" si="0"/>
        <v>41913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1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/>
      <c r="AK9" s="241">
        <f>((SUM(F9:AJ9))/8)-(SUMIF($F$6:$AJ$6,"C.Nhật",F9:AJ9)/8)</f>
        <v>25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25</v>
      </c>
      <c r="AO9" s="249">
        <v>0</v>
      </c>
      <c r="AP9" s="247"/>
      <c r="AQ9" s="247"/>
      <c r="AR9" s="247"/>
      <c r="AS9" s="243"/>
      <c r="AT9" s="1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1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/>
      <c r="AK11" s="241">
        <f t="shared" ref="AK11" si="2">((SUM(F11:AJ11))/8)-(SUMIF($F$6:$AJ$6,"C.Nhật",F11:AJ11)/8)</f>
        <v>25</v>
      </c>
      <c r="AL11" s="241">
        <f t="shared" ref="AL11" si="3">SUM(F12:AJ12)/8*1.5</f>
        <v>0</v>
      </c>
      <c r="AM11" s="245">
        <f t="shared" ref="AM11:AM13" si="4">SUMIF($F$6:$AJ$6,"C.Nhật",$F11:$AJ12)/8*2</f>
        <v>0</v>
      </c>
      <c r="AN11" s="247">
        <f t="shared" ref="AN11" si="5">SUM(AK11:AM12)</f>
        <v>25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/>
      <c r="AK13" s="241">
        <f t="shared" ref="AK13" si="6">((SUM(F13:AJ13))/8)-(SUMIF($F$6:$AJ$6,"C.Nhật",F13:AJ13)/8)</f>
        <v>25</v>
      </c>
      <c r="AL13" s="241">
        <f t="shared" ref="AL13" si="7">SUM(F14:AJ14)/8*1.5</f>
        <v>0</v>
      </c>
      <c r="AM13" s="245">
        <f t="shared" si="4"/>
        <v>0</v>
      </c>
      <c r="AN13" s="247">
        <f t="shared" ref="AN13" si="8">SUM(AK13:AM14)</f>
        <v>25</v>
      </c>
      <c r="AO13" s="249">
        <v>0</v>
      </c>
      <c r="AP13" s="247"/>
      <c r="AQ13" s="247"/>
      <c r="AR13" s="247"/>
      <c r="AS13" s="243"/>
      <c r="AT13" s="19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2"/>
      <c r="AL14" s="242"/>
      <c r="AM14" s="246"/>
      <c r="AN14" s="248"/>
      <c r="AO14" s="250"/>
      <c r="AP14" s="248"/>
      <c r="AQ14" s="248"/>
      <c r="AR14" s="248"/>
      <c r="AS14" s="244"/>
      <c r="AT14" s="19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/>
      <c r="AK16" s="241">
        <f t="shared" ref="AK16" si="9">((SUM(F16:AJ16))/8)-(SUMIF($F$6:$AJ$6,"C.Nhật",F16:AJ16)/8)</f>
        <v>25</v>
      </c>
      <c r="AL16" s="241">
        <f t="shared" ref="AL16" si="10">SUM(F17:AJ17)/8*1.5</f>
        <v>0</v>
      </c>
      <c r="AM16" s="245">
        <f>SUMIF($F$6:$AJ$6,"C.Nhật",$F16:$AJ17)/8*2</f>
        <v>0</v>
      </c>
      <c r="AN16" s="247">
        <f>SUM(AK16:AM17)</f>
        <v>25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/>
      <c r="AK18" s="241">
        <f t="shared" ref="AK18" si="11">((SUM(F18:AJ18))/8)-(SUMIF($F$6:$AJ$6,"C.Nhật",F18:AJ18)/8)</f>
        <v>25</v>
      </c>
      <c r="AL18" s="241">
        <f t="shared" ref="AL18" si="12">SUM(F19:AJ19)/8*1.5</f>
        <v>0</v>
      </c>
      <c r="AM18" s="245">
        <f>SUMIF($F$6:$AJ$6,"C.Nhật",$F18:$AJ19)/8*2</f>
        <v>0</v>
      </c>
      <c r="AN18" s="247">
        <f t="shared" ref="AN18" si="13">SUM(AK18:AM19)</f>
        <v>25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/>
      <c r="AK20" s="241">
        <f t="shared" ref="AK20" si="14">((SUM(F20:AJ20))/8)-(SUMIF($F$6:$AJ$6,"C.Nhật",F20:AJ20)/8)</f>
        <v>25</v>
      </c>
      <c r="AL20" s="241">
        <f t="shared" ref="AL20" si="15">SUM(F21:AJ21)/8*1.5</f>
        <v>0</v>
      </c>
      <c r="AM20" s="245">
        <f>SUMIF($F$6:$AJ$6,"C.Nhật",$F20:$AJ21)/8*2</f>
        <v>0</v>
      </c>
      <c r="AN20" s="247">
        <f t="shared" ref="AN20" si="16">SUM(AK20:AM21)</f>
        <v>25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/>
      <c r="AK22" s="241">
        <f t="shared" ref="AK22" si="17">((SUM(F22:AJ22))/8)-(SUMIF($F$6:$AJ$6,"C.Nhật",F22:AJ22)/8)</f>
        <v>25</v>
      </c>
      <c r="AL22" s="241">
        <f t="shared" ref="AL22" si="18">SUM(F23:AJ23)/8*1.5</f>
        <v>0</v>
      </c>
      <c r="AM22" s="245">
        <f>SUMIF($F$6:$AJ$6,"C.Nhật",$F22:$AJ23)/8*2</f>
        <v>0</v>
      </c>
      <c r="AN22" s="247">
        <f t="shared" ref="AN22" si="19">SUM(AK22:AM23)</f>
        <v>25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/>
      <c r="AK24" s="241">
        <f t="shared" ref="AK24" si="20">((SUM(F24:AJ24))/8)-(SUMIF($F$6:$AJ$6,"C.Nhật",F24:AJ24)/8)</f>
        <v>25</v>
      </c>
      <c r="AL24" s="241">
        <f t="shared" ref="AL24" si="21">SUM(F25:AJ25)/8*1.5</f>
        <v>0</v>
      </c>
      <c r="AM24" s="245">
        <f>SUMIF($F$6:$AJ$6,"C.Nhật",$F24:$AJ25)/8*2</f>
        <v>0</v>
      </c>
      <c r="AN24" s="247">
        <f t="shared" ref="AN24" si="22">SUM(AK24:AM25)</f>
        <v>25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/>
      <c r="AK26" s="241">
        <f t="shared" ref="AK26" si="23">((SUM(F26:AJ26))/8)-(SUMIF($F$6:$AJ$6,"C.Nhật",F26:AJ26)/8)</f>
        <v>25</v>
      </c>
      <c r="AL26" s="241">
        <f t="shared" ref="AL26" si="24">SUM(F27:AJ27)/8*1.5</f>
        <v>0</v>
      </c>
      <c r="AM26" s="245">
        <f>SUMIF($F$6:$AJ$6,"C.Nhật",$F26:$AJ27)/8*2</f>
        <v>0</v>
      </c>
      <c r="AN26" s="247">
        <f t="shared" ref="AN26" si="25">SUM(AK26:AM27)</f>
        <v>25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/>
      <c r="AK28" s="241">
        <f t="shared" ref="AK28" si="26">((SUM(F28:AJ28))/8)-(SUMIF($F$6:$AJ$6,"C.Nhật",F28:AJ28)/8)</f>
        <v>25</v>
      </c>
      <c r="AL28" s="241">
        <f t="shared" ref="AL28" si="27">SUM(F29:AJ29)/8*1.5</f>
        <v>0</v>
      </c>
      <c r="AM28" s="245">
        <f>SUMIF($F$6:$AJ$6,"C.Nhật",$F28:$AJ29)/8*2</f>
        <v>0</v>
      </c>
      <c r="AN28" s="247">
        <f t="shared" ref="AN28" si="28">SUM(AK28:AM29)</f>
        <v>25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46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46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46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46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46" s="70" customFormat="1" ht="12.75">
      <c r="A37" s="2"/>
      <c r="B37" s="2" t="s">
        <v>0</v>
      </c>
      <c r="C37" s="2"/>
      <c r="D37" s="195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46" s="70" customFormat="1" ht="12.75">
      <c r="A38" s="2"/>
      <c r="B38" s="2"/>
      <c r="C38" s="2" t="s">
        <v>46</v>
      </c>
      <c r="D38" s="195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46" ht="15" customHeight="1">
      <c r="C39" s="2" t="s">
        <v>47</v>
      </c>
    </row>
    <row r="40" spans="1:46" ht="15" customHeight="1">
      <c r="C40" s="2" t="s">
        <v>48</v>
      </c>
    </row>
    <row r="41" spans="1:46" ht="15" customHeight="1">
      <c r="C41" s="2" t="s">
        <v>49</v>
      </c>
    </row>
    <row r="42" spans="1:46" ht="15" customHeight="1">
      <c r="C42" s="2" t="s">
        <v>50</v>
      </c>
    </row>
    <row r="43" spans="1:46" ht="15" customHeight="1">
      <c r="C43" s="2" t="s">
        <v>51</v>
      </c>
    </row>
    <row r="44" spans="1:46" ht="15" customHeight="1">
      <c r="C44" s="2" t="s">
        <v>52</v>
      </c>
    </row>
    <row r="45" spans="1:46" ht="15" customHeight="1">
      <c r="C45" s="2" t="s">
        <v>53</v>
      </c>
    </row>
    <row r="46" spans="1:46" ht="15" customHeight="1">
      <c r="C46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6:A17"/>
    <mergeCell ref="B16:B17"/>
    <mergeCell ref="C16:C17"/>
    <mergeCell ref="D16:D17"/>
    <mergeCell ref="AK16:AK17"/>
    <mergeCell ref="AP13:AP14"/>
    <mergeCell ref="AQ13:AQ14"/>
    <mergeCell ref="AR13:AR14"/>
    <mergeCell ref="AS13:AS14"/>
    <mergeCell ref="AL13:AL14"/>
    <mergeCell ref="AM13:AM14"/>
    <mergeCell ref="AN13:AN14"/>
    <mergeCell ref="AO13:AO14"/>
    <mergeCell ref="A13:A14"/>
    <mergeCell ref="B13:B14"/>
    <mergeCell ref="C13:C14"/>
    <mergeCell ref="D13:D14"/>
    <mergeCell ref="AK13:AK14"/>
    <mergeCell ref="A28:A29"/>
    <mergeCell ref="B28:B29"/>
    <mergeCell ref="AP16:AP17"/>
    <mergeCell ref="AQ16:AQ17"/>
    <mergeCell ref="AL26:AL27"/>
    <mergeCell ref="AM26:AM27"/>
    <mergeCell ref="AN26:AN27"/>
    <mergeCell ref="AO26:AO27"/>
    <mergeCell ref="AP26:AP27"/>
    <mergeCell ref="A26:A27"/>
    <mergeCell ref="B26:B27"/>
    <mergeCell ref="C26:C27"/>
    <mergeCell ref="C28:C29"/>
    <mergeCell ref="D28:D29"/>
    <mergeCell ref="AK28:AK29"/>
    <mergeCell ref="AL16:AL17"/>
    <mergeCell ref="AM16:AM17"/>
    <mergeCell ref="AN16:AN17"/>
    <mergeCell ref="D26:D27"/>
    <mergeCell ref="AK26:AK27"/>
    <mergeCell ref="AL24:AL25"/>
    <mergeCell ref="AM24:AM25"/>
    <mergeCell ref="AN24:AN25"/>
    <mergeCell ref="AL18:AL19"/>
    <mergeCell ref="D11:D12"/>
    <mergeCell ref="AK11:AK12"/>
    <mergeCell ref="AL28:AL29"/>
    <mergeCell ref="AM28:AM29"/>
    <mergeCell ref="AN28:AN29"/>
    <mergeCell ref="AO28:AO29"/>
    <mergeCell ref="AP28:AP29"/>
    <mergeCell ref="AR16:AR17"/>
    <mergeCell ref="AS16:AS17"/>
    <mergeCell ref="AQ28:AQ29"/>
    <mergeCell ref="AQ26:AQ27"/>
    <mergeCell ref="AR26:AR27"/>
    <mergeCell ref="AS26:AS27"/>
    <mergeCell ref="AR28:AR29"/>
    <mergeCell ref="AS28:AS29"/>
    <mergeCell ref="AO16:AO17"/>
    <mergeCell ref="AM18:AM19"/>
    <mergeCell ref="AN18:AN19"/>
    <mergeCell ref="AL20:AL21"/>
    <mergeCell ref="AM20:AM21"/>
    <mergeCell ref="AN20:AN21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O18:AO19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O20:AO21"/>
    <mergeCell ref="AP20:AP21"/>
    <mergeCell ref="AQ20:AQ21"/>
    <mergeCell ref="AR20:AR21"/>
    <mergeCell ref="AS20:AS21"/>
    <mergeCell ref="A20:A21"/>
    <mergeCell ref="B20:B21"/>
    <mergeCell ref="C20:C21"/>
    <mergeCell ref="D20:D21"/>
    <mergeCell ref="AK20:AK21"/>
  </mergeCells>
  <conditionalFormatting sqref="F5:AJ6 F9:AJ10 F13:AI14">
    <cfRule type="expression" dxfId="70" priority="53" stopIfTrue="1">
      <formula>IF(WEEKDAY(F$5)=1,TRUE,FALSE)</formula>
    </cfRule>
  </conditionalFormatting>
  <conditionalFormatting sqref="F9:AJ10 F13:AI14">
    <cfRule type="expression" dxfId="69" priority="52" stopIfTrue="1">
      <formula>IF(WEEKDAY(F$5)=1,TRUE,FALSE)</formula>
    </cfRule>
  </conditionalFormatting>
  <conditionalFormatting sqref="AJ13:AJ14">
    <cfRule type="expression" dxfId="68" priority="43" stopIfTrue="1">
      <formula>IF(WEEKDAY(AJ$5)=1,TRUE,FALSE)</formula>
    </cfRule>
  </conditionalFormatting>
  <conditionalFormatting sqref="AJ13:AJ14">
    <cfRule type="expression" dxfId="67" priority="42" stopIfTrue="1">
      <formula>IF(WEEKDAY(AJ$5)=1,TRUE,FALSE)</formula>
    </cfRule>
  </conditionalFormatting>
  <conditionalFormatting sqref="AJ16:AJ17 AJ26:AJ29">
    <cfRule type="expression" dxfId="66" priority="39" stopIfTrue="1">
      <formula>IF(WEEKDAY(AJ$5)=1,TRUE,FALSE)</formula>
    </cfRule>
  </conditionalFormatting>
  <conditionalFormatting sqref="AJ16:AJ17 AJ26:AJ29">
    <cfRule type="expression" dxfId="65" priority="38" stopIfTrue="1">
      <formula>IF(WEEKDAY(AJ$5)=1,TRUE,FALSE)</formula>
    </cfRule>
  </conditionalFormatting>
  <conditionalFormatting sqref="AJ16:AJ17 AJ26:AJ29">
    <cfRule type="expression" dxfId="64" priority="37" stopIfTrue="1">
      <formula>IF(WEEKDAY(AJ$5)=1,TRUE,FALSE)</formula>
    </cfRule>
  </conditionalFormatting>
  <conditionalFormatting sqref="AJ16:AJ17 AJ26:AJ29">
    <cfRule type="expression" dxfId="63" priority="36" stopIfTrue="1">
      <formula>IF(WEEKDAY(AJ$5)=1,TRUE,FALSE)</formula>
    </cfRule>
  </conditionalFormatting>
  <conditionalFormatting sqref="AJ16:AJ17 AJ26:AJ29">
    <cfRule type="expression" dxfId="62" priority="35" stopIfTrue="1">
      <formula>IF(WEEKDAY(AJ$5)=1,TRUE,FALSE)</formula>
    </cfRule>
  </conditionalFormatting>
  <conditionalFormatting sqref="AJ16:AJ17 AJ26:AJ29">
    <cfRule type="expression" dxfId="61" priority="34" stopIfTrue="1">
      <formula>IF(WEEKDAY(AJ$5)=1,TRUE,FALSE)</formula>
    </cfRule>
  </conditionalFormatting>
  <conditionalFormatting sqref="AJ16:AJ17 AJ26:AJ29">
    <cfRule type="expression" dxfId="60" priority="33" stopIfTrue="1">
      <formula>IF(WEEKDAY(AJ$5)=1,TRUE,FALSE)</formula>
    </cfRule>
  </conditionalFormatting>
  <conditionalFormatting sqref="F16:AI17 F26:AI29">
    <cfRule type="expression" dxfId="59" priority="24" stopIfTrue="1">
      <formula>IF(WEEKDAY(F$5)=1,TRUE,FALSE)</formula>
    </cfRule>
  </conditionalFormatting>
  <conditionalFormatting sqref="F16:AI17 F26:AI29">
    <cfRule type="expression" dxfId="58" priority="23" stopIfTrue="1">
      <formula>IF(WEEKDAY(F$5)=1,TRUE,FALSE)</formula>
    </cfRule>
  </conditionalFormatting>
  <conditionalFormatting sqref="F11:AI12">
    <cfRule type="expression" dxfId="57" priority="22" stopIfTrue="1">
      <formula>IF(WEEKDAY(F$5)=1,TRUE,FALSE)</formula>
    </cfRule>
  </conditionalFormatting>
  <conditionalFormatting sqref="F11:AI12">
    <cfRule type="expression" dxfId="56" priority="21" stopIfTrue="1">
      <formula>IF(WEEKDAY(F$5)=1,TRUE,FALSE)</formula>
    </cfRule>
  </conditionalFormatting>
  <conditionalFormatting sqref="AJ11:AJ12">
    <cfRule type="expression" dxfId="55" priority="20" stopIfTrue="1">
      <formula>IF(WEEKDAY(AJ$5)=1,TRUE,FALSE)</formula>
    </cfRule>
  </conditionalFormatting>
  <conditionalFormatting sqref="AJ11:AJ12">
    <cfRule type="expression" dxfId="54" priority="19" stopIfTrue="1">
      <formula>IF(WEEKDAY(AJ$5)=1,TRUE,FALSE)</formula>
    </cfRule>
  </conditionalFormatting>
  <conditionalFormatting sqref="AJ22:AJ25">
    <cfRule type="expression" dxfId="53" priority="18" stopIfTrue="1">
      <formula>IF(WEEKDAY(AJ$5)=1,TRUE,FALSE)</formula>
    </cfRule>
  </conditionalFormatting>
  <conditionalFormatting sqref="AJ22:AJ25">
    <cfRule type="expression" dxfId="52" priority="17" stopIfTrue="1">
      <formula>IF(WEEKDAY(AJ$5)=1,TRUE,FALSE)</formula>
    </cfRule>
  </conditionalFormatting>
  <conditionalFormatting sqref="AJ22:AJ25">
    <cfRule type="expression" dxfId="51" priority="16" stopIfTrue="1">
      <formula>IF(WEEKDAY(AJ$5)=1,TRUE,FALSE)</formula>
    </cfRule>
  </conditionalFormatting>
  <conditionalFormatting sqref="AJ22:AJ25">
    <cfRule type="expression" dxfId="50" priority="15" stopIfTrue="1">
      <formula>IF(WEEKDAY(AJ$5)=1,TRUE,FALSE)</formula>
    </cfRule>
  </conditionalFormatting>
  <conditionalFormatting sqref="AJ22:AJ25">
    <cfRule type="expression" dxfId="49" priority="14" stopIfTrue="1">
      <formula>IF(WEEKDAY(AJ$5)=1,TRUE,FALSE)</formula>
    </cfRule>
  </conditionalFormatting>
  <conditionalFormatting sqref="AJ22:AJ25">
    <cfRule type="expression" dxfId="48" priority="13" stopIfTrue="1">
      <formula>IF(WEEKDAY(AJ$5)=1,TRUE,FALSE)</formula>
    </cfRule>
  </conditionalFormatting>
  <conditionalFormatting sqref="AJ22:AJ25">
    <cfRule type="expression" dxfId="47" priority="12" stopIfTrue="1">
      <formula>IF(WEEKDAY(AJ$5)=1,TRUE,FALSE)</formula>
    </cfRule>
  </conditionalFormatting>
  <conditionalFormatting sqref="F22:AI25">
    <cfRule type="expression" dxfId="46" priority="11" stopIfTrue="1">
      <formula>IF(WEEKDAY(F$5)=1,TRUE,FALSE)</formula>
    </cfRule>
  </conditionalFormatting>
  <conditionalFormatting sqref="F22:AI25">
    <cfRule type="expression" dxfId="45" priority="10" stopIfTrue="1">
      <formula>IF(WEEKDAY(F$5)=1,TRUE,FALSE)</formula>
    </cfRule>
  </conditionalFormatting>
  <conditionalFormatting sqref="AJ18:AJ21">
    <cfRule type="expression" dxfId="44" priority="9" stopIfTrue="1">
      <formula>IF(WEEKDAY(AJ$5)=1,TRUE,FALSE)</formula>
    </cfRule>
  </conditionalFormatting>
  <conditionalFormatting sqref="AJ18:AJ21">
    <cfRule type="expression" dxfId="43" priority="8" stopIfTrue="1">
      <formula>IF(WEEKDAY(AJ$5)=1,TRUE,FALSE)</formula>
    </cfRule>
  </conditionalFormatting>
  <conditionalFormatting sqref="AJ18:AJ21">
    <cfRule type="expression" dxfId="42" priority="7" stopIfTrue="1">
      <formula>IF(WEEKDAY(AJ$5)=1,TRUE,FALSE)</formula>
    </cfRule>
  </conditionalFormatting>
  <conditionalFormatting sqref="AJ18:AJ21">
    <cfRule type="expression" dxfId="41" priority="6" stopIfTrue="1">
      <formula>IF(WEEKDAY(AJ$5)=1,TRUE,FALSE)</formula>
    </cfRule>
  </conditionalFormatting>
  <conditionalFormatting sqref="AJ18:AJ21">
    <cfRule type="expression" dxfId="40" priority="5" stopIfTrue="1">
      <formula>IF(WEEKDAY(AJ$5)=1,TRUE,FALSE)</formula>
    </cfRule>
  </conditionalFormatting>
  <conditionalFormatting sqref="AJ18:AJ21">
    <cfRule type="expression" dxfId="39" priority="4" stopIfTrue="1">
      <formula>IF(WEEKDAY(AJ$5)=1,TRUE,FALSE)</formula>
    </cfRule>
  </conditionalFormatting>
  <conditionalFormatting sqref="AJ18:AJ21">
    <cfRule type="expression" dxfId="38" priority="3" stopIfTrue="1">
      <formula>IF(WEEKDAY(AJ$5)=1,TRUE,FALSE)</formula>
    </cfRule>
  </conditionalFormatting>
  <conditionalFormatting sqref="F18:AI21">
    <cfRule type="expression" dxfId="37" priority="2" stopIfTrue="1">
      <formula>IF(WEEKDAY(F$5)=1,TRUE,FALSE)</formula>
    </cfRule>
  </conditionalFormatting>
  <conditionalFormatting sqref="F18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199"/>
      <c r="C1" s="199"/>
      <c r="D1" s="276" t="str">
        <f>"BẢNG THANH TOÁN LƯƠNG THÁNG"&amp;" "&amp;TEXT($E$4,"mm")&amp;" / "&amp;TEXT($E$4,"yyyy")</f>
        <v>BẢNG THANH TOÁN LƯƠNG THÁNG 09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199"/>
      <c r="C2" s="199"/>
      <c r="D2" s="199"/>
      <c r="E2" s="78"/>
      <c r="F2" s="199"/>
      <c r="G2" s="199"/>
      <c r="H2" s="199"/>
      <c r="I2" s="199"/>
      <c r="J2" s="79"/>
      <c r="K2" s="199"/>
      <c r="L2" s="199"/>
      <c r="M2" s="199"/>
      <c r="N2" s="199"/>
      <c r="O2" s="199"/>
      <c r="P2" s="199"/>
      <c r="Q2" s="199"/>
      <c r="R2" s="199"/>
      <c r="S2" s="199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199"/>
      <c r="C3" s="199"/>
      <c r="D3" s="199"/>
      <c r="E3" s="78"/>
      <c r="F3" s="199"/>
      <c r="G3" s="199"/>
      <c r="H3" s="199"/>
      <c r="I3" s="199"/>
      <c r="J3" s="79"/>
      <c r="K3" s="199"/>
      <c r="L3" s="199"/>
      <c r="M3" s="199"/>
      <c r="N3" s="199"/>
      <c r="O3" s="199"/>
      <c r="P3" s="199"/>
      <c r="Q3" s="199"/>
      <c r="R3" s="199"/>
      <c r="S3" s="199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-9'!$E$4</f>
        <v>41883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198" t="s">
        <v>40</v>
      </c>
      <c r="G7" s="196" t="s">
        <v>18</v>
      </c>
      <c r="H7" s="198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-9'!$B$8:$AS$29,36,0)</f>
        <v>25</v>
      </c>
      <c r="G10" s="142">
        <f t="shared" ref="G10:G12" si="2">ROUND(E10/$U$2*F10,0)</f>
        <v>4500000</v>
      </c>
      <c r="H10" s="89">
        <f>(VLOOKUP(B10,'CC -9'!$B$8:$AS$29,37,0)+VLOOKUP(B10,'CC -9'!$B$8:$AS$29,38,0))</f>
        <v>0</v>
      </c>
      <c r="I10" s="142">
        <f t="shared" ref="I10:I12" si="3">ROUND(E10/$U$2*H10,0)</f>
        <v>0</v>
      </c>
      <c r="J10" s="90">
        <f t="shared" ref="J10:K12" si="4">F10+H10</f>
        <v>25</v>
      </c>
      <c r="K10" s="37">
        <f>G10+I10</f>
        <v>4500000</v>
      </c>
      <c r="L10" s="87">
        <f t="shared" ref="L10:L12" si="5">+F10*15000</f>
        <v>375000</v>
      </c>
      <c r="M10" s="38">
        <f t="shared" ref="M10:M12" si="6">K10+L10</f>
        <v>4875000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4875000</v>
      </c>
      <c r="R10" s="37">
        <f>VLOOKUP(B10,DS,23,0)</f>
        <v>0</v>
      </c>
      <c r="S10" s="43">
        <f t="shared" ref="S10:S12" si="8">Q10-R10</f>
        <v>4875000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-9'!$B$8:$AS$29,36,0)</f>
        <v>25</v>
      </c>
      <c r="G11" s="142">
        <f t="shared" ref="G11" si="11">ROUND(E11/$U$2*F11,0)</f>
        <v>4500000</v>
      </c>
      <c r="H11" s="89">
        <f>(VLOOKUP(B11,'CC -9'!$B$8:$AS$29,37,0)+VLOOKUP(B11,'CC -9'!$B$8:$AS$29,38,0))</f>
        <v>0</v>
      </c>
      <c r="I11" s="142">
        <f t="shared" ref="I11" si="12">ROUND(E11/$U$2*H11,0)</f>
        <v>0</v>
      </c>
      <c r="J11" s="90">
        <f t="shared" ref="J11" si="13">F11+H11</f>
        <v>25</v>
      </c>
      <c r="K11" s="37">
        <f t="shared" ref="K11" si="14">G11+I11</f>
        <v>4500000</v>
      </c>
      <c r="L11" s="87">
        <f t="shared" ref="L11" si="15">+F11*15000</f>
        <v>375000</v>
      </c>
      <c r="M11" s="38">
        <f t="shared" ref="M11" si="16">K11+L11</f>
        <v>4875000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4875000</v>
      </c>
      <c r="R11" s="37">
        <f>VLOOKUP(B11,DS,23,0)</f>
        <v>0</v>
      </c>
      <c r="S11" s="43">
        <f t="shared" ref="S11" si="18">Q11-R11</f>
        <v>4875000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-9'!$B$8:$AS$29,36,0)</f>
        <v>25</v>
      </c>
      <c r="G12" s="142">
        <f t="shared" si="2"/>
        <v>5000000</v>
      </c>
      <c r="H12" s="89">
        <f>(VLOOKUP(B12,'CC -9'!$B$8:$AS$29,37,0)+VLOOKUP(B12,'CC -9'!$B$8:$AS$29,38,0))</f>
        <v>0</v>
      </c>
      <c r="I12" s="142">
        <f t="shared" si="3"/>
        <v>0</v>
      </c>
      <c r="J12" s="90">
        <f t="shared" si="4"/>
        <v>25</v>
      </c>
      <c r="K12" s="37">
        <f t="shared" si="4"/>
        <v>5000000</v>
      </c>
      <c r="L12" s="87">
        <f t="shared" si="5"/>
        <v>375000</v>
      </c>
      <c r="M12" s="38">
        <f t="shared" si="6"/>
        <v>5375000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5375000</v>
      </c>
      <c r="R12" s="37">
        <f>VLOOKUP(B12,DS,23,0)</f>
        <v>0</v>
      </c>
      <c r="S12" s="43">
        <f t="shared" si="8"/>
        <v>5375000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1125000</v>
      </c>
      <c r="M14" s="137">
        <f t="shared" si="19"/>
        <v>15125000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15125000</v>
      </c>
      <c r="R14" s="137">
        <f t="shared" si="19"/>
        <v>0</v>
      </c>
      <c r="S14" s="137">
        <f t="shared" si="19"/>
        <v>15125000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>VLOOKUP(B16,DS,5,0)</f>
        <v>4500000</v>
      </c>
      <c r="F16" s="89">
        <f>VLOOKUP(B16,'CC -9'!$B$8:$AS$29,36,0)</f>
        <v>25</v>
      </c>
      <c r="G16" s="142">
        <f t="shared" ref="G16:G20" si="22">ROUND(E16/$U$2*F16,0)</f>
        <v>4500000</v>
      </c>
      <c r="H16" s="89">
        <f>(VLOOKUP(B16,'CC -9'!$B$8:$AS$29,37,0)+VLOOKUP(B16,'CC -9'!$B$8:$AS$29,38,0))</f>
        <v>0</v>
      </c>
      <c r="I16" s="142">
        <f t="shared" ref="I16:I20" si="23">ROUND(E16/$U$2*H16,0)</f>
        <v>0</v>
      </c>
      <c r="J16" s="143">
        <f t="shared" ref="J16:K20" si="24">F16+H16</f>
        <v>25</v>
      </c>
      <c r="K16" s="37">
        <f t="shared" si="24"/>
        <v>4500000</v>
      </c>
      <c r="L16" s="87">
        <f t="shared" ref="L16:L20" si="25">+F16*15000</f>
        <v>375000</v>
      </c>
      <c r="M16" s="38">
        <f t="shared" ref="M16:M20" si="26">K16+L16</f>
        <v>4875000</v>
      </c>
      <c r="N16" s="38">
        <f>IF(VLOOKUP(B16,DS,9,0)="x",'L - 9'!E16*$N$4,0)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4875000</v>
      </c>
      <c r="R16" s="37">
        <f t="shared" ref="R16:R20" si="29">VLOOKUP(B16,DS,23,0)</f>
        <v>0</v>
      </c>
      <c r="S16" s="43">
        <f>Q16-R16</f>
        <v>4875000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>VLOOKUP(B17,DS,5,0)</f>
        <v>4500000</v>
      </c>
      <c r="F17" s="89">
        <f>VLOOKUP(B17,'CC -9'!$B$8:$AS$29,36,0)</f>
        <v>25</v>
      </c>
      <c r="G17" s="142">
        <f t="shared" ref="G17:G18" si="32">ROUND(E17/$U$2*F17,0)</f>
        <v>4500000</v>
      </c>
      <c r="H17" s="89">
        <f>(VLOOKUP(B17,'CC -9'!$B$8:$AS$29,37,0)+VLOOKUP(B17,'CC -9'!$B$8:$AS$29,38,0))</f>
        <v>0</v>
      </c>
      <c r="I17" s="142">
        <f t="shared" ref="I17:I18" si="33">ROUND(E17/$U$2*H17,0)</f>
        <v>0</v>
      </c>
      <c r="J17" s="143">
        <f t="shared" ref="J17:J18" si="34">F17+H17</f>
        <v>25</v>
      </c>
      <c r="K17" s="37">
        <f t="shared" ref="K17:K18" si="35">G17+I17</f>
        <v>4500000</v>
      </c>
      <c r="L17" s="87">
        <f t="shared" ref="L17:L18" si="36">+F17*15000</f>
        <v>375000</v>
      </c>
      <c r="M17" s="38">
        <f t="shared" ref="M17:M18" si="37">K17+L17</f>
        <v>4875000</v>
      </c>
      <c r="N17" s="38">
        <f>IF(VLOOKUP(B17,DS,9,0)="x",'L - 9'!E17*$N$4,0)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4875000</v>
      </c>
      <c r="R17" s="37">
        <f t="shared" ref="R17:R18" si="41">VLOOKUP(B17,DS,23,0)</f>
        <v>0</v>
      </c>
      <c r="S17" s="43">
        <f t="shared" ref="S17:S18" si="42">Q17-R17</f>
        <v>4875000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>VLOOKUP(B18,DS,5,0)</f>
        <v>3700000</v>
      </c>
      <c r="F18" s="89">
        <f>VLOOKUP(B18,'CC -9'!$B$8:$AS$29,36,0)</f>
        <v>25</v>
      </c>
      <c r="G18" s="142">
        <f t="shared" si="32"/>
        <v>3700000</v>
      </c>
      <c r="H18" s="89">
        <f>(VLOOKUP(B18,'CC -9'!$B$8:$AS$29,37,0)+VLOOKUP(B18,'CC -9'!$B$8:$AS$29,38,0))</f>
        <v>0</v>
      </c>
      <c r="I18" s="142">
        <f t="shared" si="33"/>
        <v>0</v>
      </c>
      <c r="J18" s="143">
        <f t="shared" si="34"/>
        <v>25</v>
      </c>
      <c r="K18" s="37">
        <f t="shared" si="35"/>
        <v>3700000</v>
      </c>
      <c r="L18" s="87">
        <f t="shared" si="36"/>
        <v>375000</v>
      </c>
      <c r="M18" s="38">
        <f t="shared" si="37"/>
        <v>4075000</v>
      </c>
      <c r="N18" s="38">
        <f>IF(VLOOKUP(B18,DS,9,0)="x",'L - 9'!E18*$N$4,0)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4075000</v>
      </c>
      <c r="R18" s="37">
        <f t="shared" si="41"/>
        <v>0</v>
      </c>
      <c r="S18" s="43">
        <f t="shared" si="42"/>
        <v>4075000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>VLOOKUP(B19,DS,5,0)</f>
        <v>3700000</v>
      </c>
      <c r="F19" s="89">
        <f>VLOOKUP(B19,'CC -9'!$B$8:$AS$29,36,0)</f>
        <v>25</v>
      </c>
      <c r="G19" s="142">
        <f t="shared" si="22"/>
        <v>3700000</v>
      </c>
      <c r="H19" s="89">
        <f>(VLOOKUP(B19,'CC -9'!$B$8:$AS$29,37,0)+VLOOKUP(B19,'CC -9'!$B$8:$AS$29,38,0))</f>
        <v>0</v>
      </c>
      <c r="I19" s="142">
        <f t="shared" si="23"/>
        <v>0</v>
      </c>
      <c r="J19" s="143">
        <f t="shared" si="24"/>
        <v>25</v>
      </c>
      <c r="K19" s="37">
        <f t="shared" si="24"/>
        <v>3700000</v>
      </c>
      <c r="L19" s="87">
        <f t="shared" si="25"/>
        <v>375000</v>
      </c>
      <c r="M19" s="38">
        <f t="shared" si="26"/>
        <v>4075000</v>
      </c>
      <c r="N19" s="38">
        <f>IF(VLOOKUP(B19,DS,9,0)="x",'L - 9'!E19*$N$4,0)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4075000</v>
      </c>
      <c r="R19" s="37">
        <f t="shared" si="29"/>
        <v>0</v>
      </c>
      <c r="S19" s="43">
        <f t="shared" ref="S19:S20" si="44">Q19-R19</f>
        <v>4075000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>VLOOKUP(B20,DS,5,0)</f>
        <v>4500000</v>
      </c>
      <c r="F20" s="89">
        <f>VLOOKUP(B20,'CC -9'!$B$8:$AS$29,36,0)</f>
        <v>25</v>
      </c>
      <c r="G20" s="142">
        <f t="shared" si="22"/>
        <v>4500000</v>
      </c>
      <c r="H20" s="89">
        <f>(VLOOKUP(B20,'CC -9'!$B$8:$AS$29,37,0)+VLOOKUP(B20,'CC -9'!$B$8:$AS$29,38,0))</f>
        <v>0</v>
      </c>
      <c r="I20" s="142">
        <f t="shared" si="23"/>
        <v>0</v>
      </c>
      <c r="J20" s="143">
        <f t="shared" si="24"/>
        <v>25</v>
      </c>
      <c r="K20" s="37">
        <f t="shared" si="24"/>
        <v>4500000</v>
      </c>
      <c r="L20" s="87">
        <f t="shared" si="25"/>
        <v>375000</v>
      </c>
      <c r="M20" s="38">
        <f t="shared" si="26"/>
        <v>4875000</v>
      </c>
      <c r="N20" s="38">
        <f>IF(VLOOKUP(B20,DS,9,0)="x",'L - 9'!E20*$N$4,0)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4875000</v>
      </c>
      <c r="R20" s="37">
        <f t="shared" si="29"/>
        <v>0</v>
      </c>
      <c r="S20" s="43">
        <f t="shared" si="44"/>
        <v>4875000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>VLOOKUP(B21,DS,5,0)</f>
        <v>3700000</v>
      </c>
      <c r="F21" s="89">
        <f>VLOOKUP(B21,'CC -9'!$B$8:$AS$29,36,0)</f>
        <v>25</v>
      </c>
      <c r="G21" s="142">
        <f t="shared" ref="G21:G22" si="47">ROUND(E21/$U$2*F21,0)</f>
        <v>3700000</v>
      </c>
      <c r="H21" s="89">
        <f>(VLOOKUP(B21,'CC -9'!$B$8:$AS$29,37,0)+VLOOKUP(B21,'CC -9'!$B$8:$AS$29,38,0))</f>
        <v>0</v>
      </c>
      <c r="I21" s="142">
        <f t="shared" ref="I21:I22" si="48">ROUND(E21/$U$2*H21,0)</f>
        <v>0</v>
      </c>
      <c r="J21" s="143">
        <f t="shared" ref="J21:J22" si="49">F21+H21</f>
        <v>25</v>
      </c>
      <c r="K21" s="37">
        <f t="shared" ref="K21:K22" si="50">G21+I21</f>
        <v>3700000</v>
      </c>
      <c r="L21" s="87">
        <f t="shared" ref="L21:L22" si="51">+F21*15000</f>
        <v>375000</v>
      </c>
      <c r="M21" s="38">
        <f t="shared" ref="M21:M22" si="52">K21+L21</f>
        <v>4075000</v>
      </c>
      <c r="N21" s="38">
        <f>IF(VLOOKUP(B21,DS,9,0)="x",'L - 9'!E21*$N$4,0)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4075000</v>
      </c>
      <c r="R21" s="37">
        <f t="shared" ref="R21:R22" si="56">VLOOKUP(B21,DS,23,0)</f>
        <v>0</v>
      </c>
      <c r="S21" s="43">
        <f t="shared" ref="S21:S22" si="57">Q21-R21</f>
        <v>4075000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>VLOOKUP(B22,DS,5,0)</f>
        <v>3700000</v>
      </c>
      <c r="F22" s="89">
        <f>VLOOKUP(B22,'CC -9'!$B$8:$AS$29,36,0)</f>
        <v>25</v>
      </c>
      <c r="G22" s="142">
        <f t="shared" si="47"/>
        <v>3700000</v>
      </c>
      <c r="H22" s="89">
        <f>(VLOOKUP(B22,'CC -9'!$B$8:$AS$29,37,0)+VLOOKUP(B22,'CC -9'!$B$8:$AS$29,38,0))</f>
        <v>0</v>
      </c>
      <c r="I22" s="142">
        <f t="shared" si="48"/>
        <v>0</v>
      </c>
      <c r="J22" s="143">
        <f t="shared" si="49"/>
        <v>25</v>
      </c>
      <c r="K22" s="37">
        <f t="shared" si="50"/>
        <v>3700000</v>
      </c>
      <c r="L22" s="87">
        <f t="shared" si="51"/>
        <v>375000</v>
      </c>
      <c r="M22" s="38">
        <f t="shared" si="52"/>
        <v>4075000</v>
      </c>
      <c r="N22" s="38">
        <f>IF(VLOOKUP(B22,DS,9,0)="x",'L - 9'!E22*$N$4,0)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4075000</v>
      </c>
      <c r="R22" s="37">
        <f t="shared" si="56"/>
        <v>0</v>
      </c>
      <c r="S22" s="43">
        <f t="shared" si="57"/>
        <v>4075000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2625000</v>
      </c>
      <c r="M24" s="137">
        <f t="shared" si="58"/>
        <v>30925000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30925000</v>
      </c>
      <c r="R24" s="137">
        <f t="shared" si="58"/>
        <v>0</v>
      </c>
      <c r="S24" s="137">
        <f t="shared" si="58"/>
        <v>30925000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09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4:D24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6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10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41913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41913</v>
      </c>
      <c r="G5" s="115">
        <f t="shared" ref="G5:AJ5" si="0">F5+1</f>
        <v>41914</v>
      </c>
      <c r="H5" s="115">
        <f t="shared" si="0"/>
        <v>41915</v>
      </c>
      <c r="I5" s="115">
        <f t="shared" si="0"/>
        <v>41916</v>
      </c>
      <c r="J5" s="115">
        <f t="shared" si="0"/>
        <v>41917</v>
      </c>
      <c r="K5" s="115">
        <f t="shared" si="0"/>
        <v>41918</v>
      </c>
      <c r="L5" s="115">
        <f t="shared" si="0"/>
        <v>41919</v>
      </c>
      <c r="M5" s="115">
        <f t="shared" si="0"/>
        <v>41920</v>
      </c>
      <c r="N5" s="115">
        <f t="shared" si="0"/>
        <v>41921</v>
      </c>
      <c r="O5" s="115">
        <f t="shared" si="0"/>
        <v>41922</v>
      </c>
      <c r="P5" s="115">
        <f t="shared" si="0"/>
        <v>41923</v>
      </c>
      <c r="Q5" s="115">
        <f t="shared" si="0"/>
        <v>41924</v>
      </c>
      <c r="R5" s="115">
        <f t="shared" si="0"/>
        <v>41925</v>
      </c>
      <c r="S5" s="115">
        <f t="shared" si="0"/>
        <v>41926</v>
      </c>
      <c r="T5" s="115">
        <f t="shared" si="0"/>
        <v>41927</v>
      </c>
      <c r="U5" s="115">
        <f t="shared" si="0"/>
        <v>41928</v>
      </c>
      <c r="V5" s="115">
        <f t="shared" si="0"/>
        <v>41929</v>
      </c>
      <c r="W5" s="115">
        <f t="shared" si="0"/>
        <v>41930</v>
      </c>
      <c r="X5" s="115">
        <f t="shared" si="0"/>
        <v>41931</v>
      </c>
      <c r="Y5" s="115">
        <f t="shared" si="0"/>
        <v>41932</v>
      </c>
      <c r="Z5" s="115">
        <f t="shared" si="0"/>
        <v>41933</v>
      </c>
      <c r="AA5" s="115">
        <f t="shared" si="0"/>
        <v>41934</v>
      </c>
      <c r="AB5" s="115">
        <f t="shared" si="0"/>
        <v>41935</v>
      </c>
      <c r="AC5" s="115">
        <f t="shared" si="0"/>
        <v>41936</v>
      </c>
      <c r="AD5" s="115">
        <f t="shared" si="0"/>
        <v>41937</v>
      </c>
      <c r="AE5" s="115">
        <f t="shared" si="0"/>
        <v>41938</v>
      </c>
      <c r="AF5" s="115">
        <f t="shared" si="0"/>
        <v>41939</v>
      </c>
      <c r="AG5" s="115">
        <f t="shared" si="0"/>
        <v>41940</v>
      </c>
      <c r="AH5" s="115">
        <f>AG5+1</f>
        <v>41941</v>
      </c>
      <c r="AI5" s="115">
        <f t="shared" si="0"/>
        <v>41942</v>
      </c>
      <c r="AJ5" s="115">
        <f t="shared" si="0"/>
        <v>41943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T.Tư</v>
      </c>
      <c r="G6" s="171" t="str">
        <f t="shared" ref="G6:AJ6" si="1">CHOOSE(WEEKDAY(G5),"C.Nhật","T.Hai","T.Ba","T.Tư","T.Năm","T.Sáu","T.Bảy")</f>
        <v>T.Năm</v>
      </c>
      <c r="H6" s="171" t="str">
        <f t="shared" si="1"/>
        <v>T.Sáu</v>
      </c>
      <c r="I6" s="171" t="str">
        <f t="shared" si="1"/>
        <v>T.Bảy</v>
      </c>
      <c r="J6" s="171" t="str">
        <f t="shared" si="1"/>
        <v>C.Nhật</v>
      </c>
      <c r="K6" s="171" t="str">
        <f t="shared" si="1"/>
        <v>T.Hai</v>
      </c>
      <c r="L6" s="171" t="str">
        <f t="shared" si="1"/>
        <v>T.Ba</v>
      </c>
      <c r="M6" s="171" t="str">
        <f t="shared" si="1"/>
        <v>T.Tư</v>
      </c>
      <c r="N6" s="171" t="str">
        <f t="shared" si="1"/>
        <v>T.Năm</v>
      </c>
      <c r="O6" s="171" t="str">
        <f t="shared" si="1"/>
        <v>T.Sáu</v>
      </c>
      <c r="P6" s="171" t="str">
        <f t="shared" si="1"/>
        <v>T.Bảy</v>
      </c>
      <c r="Q6" s="171" t="str">
        <f t="shared" si="1"/>
        <v>C.Nhật</v>
      </c>
      <c r="R6" s="171" t="str">
        <f t="shared" si="1"/>
        <v>T.Hai</v>
      </c>
      <c r="S6" s="171" t="str">
        <f t="shared" si="1"/>
        <v>T.Ba</v>
      </c>
      <c r="T6" s="171" t="str">
        <f t="shared" si="1"/>
        <v>T.Tư</v>
      </c>
      <c r="U6" s="171" t="str">
        <f t="shared" si="1"/>
        <v>T.Năm</v>
      </c>
      <c r="V6" s="171" t="str">
        <f t="shared" si="1"/>
        <v>T.Sáu</v>
      </c>
      <c r="W6" s="171" t="str">
        <f t="shared" si="1"/>
        <v>T.Bảy</v>
      </c>
      <c r="X6" s="171" t="str">
        <f t="shared" si="1"/>
        <v>C.Nhật</v>
      </c>
      <c r="Y6" s="171" t="str">
        <f t="shared" si="1"/>
        <v>T.Hai</v>
      </c>
      <c r="Z6" s="171" t="str">
        <f t="shared" si="1"/>
        <v>T.Ba</v>
      </c>
      <c r="AA6" s="171" t="str">
        <f t="shared" si="1"/>
        <v>T.Tư</v>
      </c>
      <c r="AB6" s="171" t="str">
        <f t="shared" si="1"/>
        <v>T.Năm</v>
      </c>
      <c r="AC6" s="171" t="str">
        <f t="shared" si="1"/>
        <v>T.Sáu</v>
      </c>
      <c r="AD6" s="171" t="str">
        <f t="shared" si="1"/>
        <v>T.Bảy</v>
      </c>
      <c r="AE6" s="171" t="str">
        <f t="shared" si="1"/>
        <v>C.Nhật</v>
      </c>
      <c r="AF6" s="171" t="str">
        <f t="shared" si="1"/>
        <v>T.Hai</v>
      </c>
      <c r="AG6" s="171" t="str">
        <f t="shared" si="1"/>
        <v>T.Ba</v>
      </c>
      <c r="AH6" s="171" t="str">
        <f t="shared" si="1"/>
        <v>T.Tư</v>
      </c>
      <c r="AI6" s="171" t="str">
        <f t="shared" si="1"/>
        <v>T.Năm</v>
      </c>
      <c r="AJ6" s="171" t="str">
        <f t="shared" si="1"/>
        <v>T.Sáu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/>
      <c r="K9" s="140">
        <v>8</v>
      </c>
      <c r="L9" s="140">
        <v>8</v>
      </c>
      <c r="M9" s="140">
        <v>8</v>
      </c>
      <c r="N9" s="140">
        <v>8</v>
      </c>
      <c r="O9" s="140">
        <v>8</v>
      </c>
      <c r="P9" s="140">
        <v>8</v>
      </c>
      <c r="Q9" s="140"/>
      <c r="R9" s="140">
        <v>8</v>
      </c>
      <c r="S9" s="140">
        <v>8</v>
      </c>
      <c r="T9" s="140">
        <v>8</v>
      </c>
      <c r="U9" s="140">
        <v>8</v>
      </c>
      <c r="V9" s="140">
        <v>8</v>
      </c>
      <c r="W9" s="140">
        <v>8</v>
      </c>
      <c r="X9" s="140"/>
      <c r="Y9" s="140">
        <v>8</v>
      </c>
      <c r="Z9" s="140">
        <v>8</v>
      </c>
      <c r="AA9" s="140">
        <v>8</v>
      </c>
      <c r="AB9" s="140">
        <v>8</v>
      </c>
      <c r="AC9" s="140">
        <v>8</v>
      </c>
      <c r="AD9" s="140">
        <v>8</v>
      </c>
      <c r="AE9" s="140"/>
      <c r="AF9" s="140">
        <v>8</v>
      </c>
      <c r="AG9" s="140">
        <v>8</v>
      </c>
      <c r="AH9" s="140">
        <v>8</v>
      </c>
      <c r="AI9" s="140">
        <v>8</v>
      </c>
      <c r="AJ9" s="140">
        <v>8</v>
      </c>
      <c r="AK9" s="241">
        <f>((SUM(F9:AJ9))/8)-(SUMIF($F$6:$AJ$6,"C.Nhật",F9:AJ9)/8)</f>
        <v>27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27</v>
      </c>
      <c r="AO9" s="249">
        <v>0</v>
      </c>
      <c r="AP9" s="247"/>
      <c r="AQ9" s="247"/>
      <c r="AR9" s="247"/>
      <c r="AS9" s="243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/>
      <c r="K11" s="140">
        <v>8</v>
      </c>
      <c r="L11" s="140">
        <v>8</v>
      </c>
      <c r="M11" s="140">
        <v>8</v>
      </c>
      <c r="N11" s="140">
        <v>8</v>
      </c>
      <c r="O11" s="140">
        <v>8</v>
      </c>
      <c r="P11" s="140">
        <v>8</v>
      </c>
      <c r="Q11" s="140"/>
      <c r="R11" s="140">
        <v>8</v>
      </c>
      <c r="S11" s="140">
        <v>8</v>
      </c>
      <c r="T11" s="140">
        <v>8</v>
      </c>
      <c r="U11" s="140">
        <v>8</v>
      </c>
      <c r="V11" s="140">
        <v>8</v>
      </c>
      <c r="W11" s="140">
        <v>8</v>
      </c>
      <c r="X11" s="140"/>
      <c r="Y11" s="140">
        <v>8</v>
      </c>
      <c r="Z11" s="140">
        <v>8</v>
      </c>
      <c r="AA11" s="140">
        <v>8</v>
      </c>
      <c r="AB11" s="140">
        <v>8</v>
      </c>
      <c r="AC11" s="140">
        <v>8</v>
      </c>
      <c r="AD11" s="140">
        <v>8</v>
      </c>
      <c r="AE11" s="140"/>
      <c r="AF11" s="140">
        <v>8</v>
      </c>
      <c r="AG11" s="140">
        <v>8</v>
      </c>
      <c r="AH11" s="140">
        <v>8</v>
      </c>
      <c r="AI11" s="140">
        <v>8</v>
      </c>
      <c r="AJ11" s="140">
        <v>8</v>
      </c>
      <c r="AK11" s="241">
        <f t="shared" ref="AK11" si="2">((SUM(F11:AJ11))/8)-(SUMIF($F$6:$AJ$6,"C.Nhật",F11:AJ11)/8)</f>
        <v>27</v>
      </c>
      <c r="AL11" s="241">
        <f t="shared" ref="AL11" si="3">SUM(F12:AJ12)/8*1.5</f>
        <v>0</v>
      </c>
      <c r="AM11" s="245">
        <f t="shared" ref="AM11:AM13" si="4">SUMIF($F$6:$AJ$6,"C.Nhật",$F11:$AJ12)/8*2</f>
        <v>0</v>
      </c>
      <c r="AN11" s="247">
        <f t="shared" ref="AN11" si="5">SUM(AK11:AM12)</f>
        <v>27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/>
      <c r="K13" s="140">
        <v>8</v>
      </c>
      <c r="L13" s="140">
        <v>8</v>
      </c>
      <c r="M13" s="140">
        <v>8</v>
      </c>
      <c r="N13" s="140">
        <v>8</v>
      </c>
      <c r="O13" s="140">
        <v>8</v>
      </c>
      <c r="P13" s="140">
        <v>8</v>
      </c>
      <c r="Q13" s="140"/>
      <c r="R13" s="140">
        <v>8</v>
      </c>
      <c r="S13" s="140">
        <v>8</v>
      </c>
      <c r="T13" s="140">
        <v>8</v>
      </c>
      <c r="U13" s="140">
        <v>8</v>
      </c>
      <c r="V13" s="140">
        <v>8</v>
      </c>
      <c r="W13" s="140">
        <v>8</v>
      </c>
      <c r="X13" s="140"/>
      <c r="Y13" s="140">
        <v>8</v>
      </c>
      <c r="Z13" s="140">
        <v>8</v>
      </c>
      <c r="AA13" s="140">
        <v>8</v>
      </c>
      <c r="AB13" s="140">
        <v>8</v>
      </c>
      <c r="AC13" s="140">
        <v>8</v>
      </c>
      <c r="AD13" s="140">
        <v>8</v>
      </c>
      <c r="AE13" s="140"/>
      <c r="AF13" s="140">
        <v>8</v>
      </c>
      <c r="AG13" s="140">
        <v>8</v>
      </c>
      <c r="AH13" s="140">
        <v>8</v>
      </c>
      <c r="AI13" s="140">
        <v>8</v>
      </c>
      <c r="AJ13" s="140">
        <v>8</v>
      </c>
      <c r="AK13" s="241">
        <f t="shared" ref="AK13" si="6">((SUM(F13:AJ13))/8)-(SUMIF($F$6:$AJ$6,"C.Nhật",F13:AJ13)/8)</f>
        <v>27</v>
      </c>
      <c r="AL13" s="241">
        <f t="shared" ref="AL13" si="7">SUM(F14:AJ14)/8*1.5</f>
        <v>0</v>
      </c>
      <c r="AM13" s="245">
        <f t="shared" si="4"/>
        <v>0</v>
      </c>
      <c r="AN13" s="247">
        <f t="shared" ref="AN13" si="8">SUM(AK13:AM14)</f>
        <v>27</v>
      </c>
      <c r="AO13" s="249">
        <v>0</v>
      </c>
      <c r="AP13" s="247"/>
      <c r="AQ13" s="247"/>
      <c r="AR13" s="247"/>
      <c r="AS13" s="243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2"/>
      <c r="AL14" s="242"/>
      <c r="AM14" s="246"/>
      <c r="AN14" s="248"/>
      <c r="AO14" s="250"/>
      <c r="AP14" s="248"/>
      <c r="AQ14" s="248"/>
      <c r="AR14" s="248"/>
      <c r="AS14" s="244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/>
      <c r="K16" s="140">
        <v>8</v>
      </c>
      <c r="L16" s="140">
        <v>8</v>
      </c>
      <c r="M16" s="140">
        <v>8</v>
      </c>
      <c r="N16" s="140">
        <v>8</v>
      </c>
      <c r="O16" s="140">
        <v>8</v>
      </c>
      <c r="P16" s="140">
        <v>8</v>
      </c>
      <c r="Q16" s="140"/>
      <c r="R16" s="140">
        <v>8</v>
      </c>
      <c r="S16" s="140">
        <v>8</v>
      </c>
      <c r="T16" s="140">
        <v>8</v>
      </c>
      <c r="U16" s="140">
        <v>8</v>
      </c>
      <c r="V16" s="140">
        <v>8</v>
      </c>
      <c r="W16" s="140">
        <v>8</v>
      </c>
      <c r="X16" s="140"/>
      <c r="Y16" s="140">
        <v>8</v>
      </c>
      <c r="Z16" s="140">
        <v>8</v>
      </c>
      <c r="AA16" s="140">
        <v>8</v>
      </c>
      <c r="AB16" s="140">
        <v>8</v>
      </c>
      <c r="AC16" s="140">
        <v>8</v>
      </c>
      <c r="AD16" s="140">
        <v>8</v>
      </c>
      <c r="AE16" s="140"/>
      <c r="AF16" s="140">
        <v>8</v>
      </c>
      <c r="AG16" s="140">
        <v>8</v>
      </c>
      <c r="AH16" s="140">
        <v>8</v>
      </c>
      <c r="AI16" s="140">
        <v>8</v>
      </c>
      <c r="AJ16" s="140">
        <v>8</v>
      </c>
      <c r="AK16" s="241">
        <f t="shared" ref="AK16" si="9">((SUM(F16:AJ16))/8)-(SUMIF($F$6:$AJ$6,"C.Nhật",F16:AJ16)/8)</f>
        <v>27</v>
      </c>
      <c r="AL16" s="241">
        <f t="shared" ref="AL16" si="10">SUM(F17:AJ17)/8*1.5</f>
        <v>0</v>
      </c>
      <c r="AM16" s="245">
        <f>SUMIF($F$6:$AJ$6,"C.Nhật",$F16:$AJ17)/8*2</f>
        <v>0</v>
      </c>
      <c r="AN16" s="247">
        <f>SUM(AK16:AM17)</f>
        <v>27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/>
      <c r="K18" s="140">
        <v>8</v>
      </c>
      <c r="L18" s="140">
        <v>8</v>
      </c>
      <c r="M18" s="140">
        <v>8</v>
      </c>
      <c r="N18" s="140">
        <v>8</v>
      </c>
      <c r="O18" s="140">
        <v>8</v>
      </c>
      <c r="P18" s="140">
        <v>8</v>
      </c>
      <c r="Q18" s="140"/>
      <c r="R18" s="140">
        <v>8</v>
      </c>
      <c r="S18" s="140">
        <v>8</v>
      </c>
      <c r="T18" s="140">
        <v>8</v>
      </c>
      <c r="U18" s="140">
        <v>8</v>
      </c>
      <c r="V18" s="140">
        <v>8</v>
      </c>
      <c r="W18" s="140">
        <v>8</v>
      </c>
      <c r="X18" s="140"/>
      <c r="Y18" s="140">
        <v>8</v>
      </c>
      <c r="Z18" s="140">
        <v>8</v>
      </c>
      <c r="AA18" s="140">
        <v>8</v>
      </c>
      <c r="AB18" s="140">
        <v>8</v>
      </c>
      <c r="AC18" s="140">
        <v>8</v>
      </c>
      <c r="AD18" s="140">
        <v>8</v>
      </c>
      <c r="AE18" s="140"/>
      <c r="AF18" s="140">
        <v>8</v>
      </c>
      <c r="AG18" s="140">
        <v>8</v>
      </c>
      <c r="AH18" s="140">
        <v>8</v>
      </c>
      <c r="AI18" s="140">
        <v>8</v>
      </c>
      <c r="AJ18" s="140">
        <v>8</v>
      </c>
      <c r="AK18" s="241">
        <f t="shared" ref="AK18" si="11">((SUM(F18:AJ18))/8)-(SUMIF($F$6:$AJ$6,"C.Nhật",F18:AJ18)/8)</f>
        <v>27</v>
      </c>
      <c r="AL18" s="241">
        <f t="shared" ref="AL18" si="12">SUM(F19:AJ19)/8*1.5</f>
        <v>0</v>
      </c>
      <c r="AM18" s="245">
        <f>SUMIF($F$6:$AJ$6,"C.Nhật",$F18:$AJ19)/8*2</f>
        <v>0</v>
      </c>
      <c r="AN18" s="247">
        <f t="shared" ref="AN18" si="13">SUM(AK18:AM19)</f>
        <v>27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/>
      <c r="K20" s="140">
        <v>8</v>
      </c>
      <c r="L20" s="140">
        <v>8</v>
      </c>
      <c r="M20" s="140">
        <v>8</v>
      </c>
      <c r="N20" s="140">
        <v>8</v>
      </c>
      <c r="O20" s="140">
        <v>8</v>
      </c>
      <c r="P20" s="140">
        <v>8</v>
      </c>
      <c r="Q20" s="140"/>
      <c r="R20" s="140">
        <v>8</v>
      </c>
      <c r="S20" s="140">
        <v>8</v>
      </c>
      <c r="T20" s="140">
        <v>8</v>
      </c>
      <c r="U20" s="140">
        <v>8</v>
      </c>
      <c r="V20" s="140">
        <v>8</v>
      </c>
      <c r="W20" s="140">
        <v>8</v>
      </c>
      <c r="X20" s="140"/>
      <c r="Y20" s="140">
        <v>8</v>
      </c>
      <c r="Z20" s="140">
        <v>8</v>
      </c>
      <c r="AA20" s="140">
        <v>8</v>
      </c>
      <c r="AB20" s="140">
        <v>8</v>
      </c>
      <c r="AC20" s="140">
        <v>8</v>
      </c>
      <c r="AD20" s="140">
        <v>8</v>
      </c>
      <c r="AE20" s="140"/>
      <c r="AF20" s="140">
        <v>8</v>
      </c>
      <c r="AG20" s="140">
        <v>8</v>
      </c>
      <c r="AH20" s="140">
        <v>8</v>
      </c>
      <c r="AI20" s="140">
        <v>8</v>
      </c>
      <c r="AJ20" s="140">
        <v>8</v>
      </c>
      <c r="AK20" s="241">
        <f t="shared" ref="AK20" si="14">((SUM(F20:AJ20))/8)-(SUMIF($F$6:$AJ$6,"C.Nhật",F20:AJ20)/8)</f>
        <v>27</v>
      </c>
      <c r="AL20" s="241">
        <f t="shared" ref="AL20" si="15">SUM(F21:AJ21)/8*1.5</f>
        <v>0</v>
      </c>
      <c r="AM20" s="245">
        <f>SUMIF($F$6:$AJ$6,"C.Nhật",$F20:$AJ21)/8*2</f>
        <v>0</v>
      </c>
      <c r="AN20" s="247">
        <f t="shared" ref="AN20" si="16">SUM(AK20:AM21)</f>
        <v>27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/>
      <c r="K22" s="140">
        <v>8</v>
      </c>
      <c r="L22" s="140">
        <v>8</v>
      </c>
      <c r="M22" s="140">
        <v>8</v>
      </c>
      <c r="N22" s="140">
        <v>8</v>
      </c>
      <c r="O22" s="140">
        <v>8</v>
      </c>
      <c r="P22" s="140">
        <v>8</v>
      </c>
      <c r="Q22" s="140"/>
      <c r="R22" s="140">
        <v>8</v>
      </c>
      <c r="S22" s="140">
        <v>8</v>
      </c>
      <c r="T22" s="140">
        <v>8</v>
      </c>
      <c r="U22" s="140">
        <v>8</v>
      </c>
      <c r="V22" s="140">
        <v>8</v>
      </c>
      <c r="W22" s="140">
        <v>8</v>
      </c>
      <c r="X22" s="140"/>
      <c r="Y22" s="140">
        <v>8</v>
      </c>
      <c r="Z22" s="140">
        <v>8</v>
      </c>
      <c r="AA22" s="140">
        <v>8</v>
      </c>
      <c r="AB22" s="140">
        <v>8</v>
      </c>
      <c r="AC22" s="140">
        <v>8</v>
      </c>
      <c r="AD22" s="140">
        <v>8</v>
      </c>
      <c r="AE22" s="140"/>
      <c r="AF22" s="140">
        <v>8</v>
      </c>
      <c r="AG22" s="140">
        <v>8</v>
      </c>
      <c r="AH22" s="140">
        <v>8</v>
      </c>
      <c r="AI22" s="140">
        <v>8</v>
      </c>
      <c r="AJ22" s="140">
        <v>8</v>
      </c>
      <c r="AK22" s="241">
        <f t="shared" ref="AK22" si="17">((SUM(F22:AJ22))/8)-(SUMIF($F$6:$AJ$6,"C.Nhật",F22:AJ22)/8)</f>
        <v>27</v>
      </c>
      <c r="AL22" s="241">
        <f t="shared" ref="AL22" si="18">SUM(F23:AJ23)/8*1.5</f>
        <v>0</v>
      </c>
      <c r="AM22" s="245">
        <f>SUMIF($F$6:$AJ$6,"C.Nhật",$F22:$AJ23)/8*2</f>
        <v>0</v>
      </c>
      <c r="AN22" s="247">
        <f t="shared" ref="AN22" si="19">SUM(AK22:AM23)</f>
        <v>27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/>
      <c r="K24" s="140">
        <v>8</v>
      </c>
      <c r="L24" s="140">
        <v>8</v>
      </c>
      <c r="M24" s="140">
        <v>8</v>
      </c>
      <c r="N24" s="140">
        <v>8</v>
      </c>
      <c r="O24" s="140">
        <v>8</v>
      </c>
      <c r="P24" s="140">
        <v>8</v>
      </c>
      <c r="Q24" s="140"/>
      <c r="R24" s="140">
        <v>8</v>
      </c>
      <c r="S24" s="140">
        <v>8</v>
      </c>
      <c r="T24" s="140">
        <v>8</v>
      </c>
      <c r="U24" s="140">
        <v>8</v>
      </c>
      <c r="V24" s="140">
        <v>8</v>
      </c>
      <c r="W24" s="140">
        <v>8</v>
      </c>
      <c r="X24" s="140"/>
      <c r="Y24" s="140">
        <v>8</v>
      </c>
      <c r="Z24" s="140">
        <v>8</v>
      </c>
      <c r="AA24" s="140">
        <v>8</v>
      </c>
      <c r="AB24" s="140">
        <v>8</v>
      </c>
      <c r="AC24" s="140">
        <v>8</v>
      </c>
      <c r="AD24" s="140">
        <v>8</v>
      </c>
      <c r="AE24" s="140"/>
      <c r="AF24" s="140">
        <v>8</v>
      </c>
      <c r="AG24" s="140">
        <v>8</v>
      </c>
      <c r="AH24" s="140">
        <v>8</v>
      </c>
      <c r="AI24" s="140">
        <v>8</v>
      </c>
      <c r="AJ24" s="140">
        <v>8</v>
      </c>
      <c r="AK24" s="241">
        <f t="shared" ref="AK24" si="20">((SUM(F24:AJ24))/8)-(SUMIF($F$6:$AJ$6,"C.Nhật",F24:AJ24)/8)</f>
        <v>27</v>
      </c>
      <c r="AL24" s="241">
        <f t="shared" ref="AL24" si="21">SUM(F25:AJ25)/8*1.5</f>
        <v>0</v>
      </c>
      <c r="AM24" s="245">
        <f>SUMIF($F$6:$AJ$6,"C.Nhật",$F24:$AJ25)/8*2</f>
        <v>0</v>
      </c>
      <c r="AN24" s="247">
        <f t="shared" ref="AN24" si="22">SUM(AK24:AM25)</f>
        <v>27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/>
      <c r="K26" s="140">
        <v>8</v>
      </c>
      <c r="L26" s="140">
        <v>8</v>
      </c>
      <c r="M26" s="140">
        <v>8</v>
      </c>
      <c r="N26" s="140">
        <v>8</v>
      </c>
      <c r="O26" s="140">
        <v>8</v>
      </c>
      <c r="P26" s="140">
        <v>8</v>
      </c>
      <c r="Q26" s="140"/>
      <c r="R26" s="140">
        <v>8</v>
      </c>
      <c r="S26" s="140">
        <v>8</v>
      </c>
      <c r="T26" s="140">
        <v>8</v>
      </c>
      <c r="U26" s="140">
        <v>8</v>
      </c>
      <c r="V26" s="140">
        <v>8</v>
      </c>
      <c r="W26" s="140">
        <v>8</v>
      </c>
      <c r="X26" s="140"/>
      <c r="Y26" s="140">
        <v>8</v>
      </c>
      <c r="Z26" s="140">
        <v>8</v>
      </c>
      <c r="AA26" s="140">
        <v>8</v>
      </c>
      <c r="AB26" s="140">
        <v>8</v>
      </c>
      <c r="AC26" s="140">
        <v>8</v>
      </c>
      <c r="AD26" s="140">
        <v>8</v>
      </c>
      <c r="AE26" s="140"/>
      <c r="AF26" s="140">
        <v>8</v>
      </c>
      <c r="AG26" s="140">
        <v>8</v>
      </c>
      <c r="AH26" s="140">
        <v>8</v>
      </c>
      <c r="AI26" s="140">
        <v>8</v>
      </c>
      <c r="AJ26" s="140">
        <v>8</v>
      </c>
      <c r="AK26" s="241">
        <f t="shared" ref="AK26" si="23">((SUM(F26:AJ26))/8)-(SUMIF($F$6:$AJ$6,"C.Nhật",F26:AJ26)/8)</f>
        <v>27</v>
      </c>
      <c r="AL26" s="241">
        <f t="shared" ref="AL26" si="24">SUM(F27:AJ27)/8*1.5</f>
        <v>0</v>
      </c>
      <c r="AM26" s="245">
        <f>SUMIF($F$6:$AJ$6,"C.Nhật",$F26:$AJ27)/8*2</f>
        <v>0</v>
      </c>
      <c r="AN26" s="247">
        <f t="shared" ref="AN26" si="25">SUM(AK26:AM27)</f>
        <v>27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/>
      <c r="K28" s="140">
        <v>8</v>
      </c>
      <c r="L28" s="140">
        <v>8</v>
      </c>
      <c r="M28" s="140">
        <v>8</v>
      </c>
      <c r="N28" s="140">
        <v>8</v>
      </c>
      <c r="O28" s="140">
        <v>8</v>
      </c>
      <c r="P28" s="140">
        <v>8</v>
      </c>
      <c r="Q28" s="140"/>
      <c r="R28" s="140">
        <v>8</v>
      </c>
      <c r="S28" s="140">
        <v>8</v>
      </c>
      <c r="T28" s="140">
        <v>8</v>
      </c>
      <c r="U28" s="140">
        <v>8</v>
      </c>
      <c r="V28" s="140">
        <v>8</v>
      </c>
      <c r="W28" s="140">
        <v>8</v>
      </c>
      <c r="X28" s="140"/>
      <c r="Y28" s="140">
        <v>8</v>
      </c>
      <c r="Z28" s="140">
        <v>8</v>
      </c>
      <c r="AA28" s="140">
        <v>8</v>
      </c>
      <c r="AB28" s="140">
        <v>8</v>
      </c>
      <c r="AC28" s="140">
        <v>8</v>
      </c>
      <c r="AD28" s="140">
        <v>8</v>
      </c>
      <c r="AE28" s="140"/>
      <c r="AF28" s="140">
        <v>8</v>
      </c>
      <c r="AG28" s="140">
        <v>8</v>
      </c>
      <c r="AH28" s="140">
        <v>8</v>
      </c>
      <c r="AI28" s="140">
        <v>8</v>
      </c>
      <c r="AJ28" s="140">
        <v>8</v>
      </c>
      <c r="AK28" s="241">
        <f t="shared" ref="AK28" si="26">((SUM(F28:AJ28))/8)-(SUMIF($F$6:$AJ$6,"C.Nhật",F28:AJ28)/8)</f>
        <v>27</v>
      </c>
      <c r="AL28" s="241">
        <f t="shared" ref="AL28" si="27">SUM(F29:AJ29)/8*1.5</f>
        <v>0</v>
      </c>
      <c r="AM28" s="245">
        <f>SUMIF($F$6:$AJ$6,"C.Nhật",$F28:$AJ29)/8*2</f>
        <v>0</v>
      </c>
      <c r="AN28" s="247">
        <f t="shared" ref="AN28" si="28">SUM(AK28:AM29)</f>
        <v>27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R13:AR14"/>
    <mergeCell ref="D16:D17"/>
    <mergeCell ref="AK16:AK17"/>
    <mergeCell ref="AP16:AP17"/>
    <mergeCell ref="AL13:AL14"/>
    <mergeCell ref="AM13:AM14"/>
    <mergeCell ref="AN13:AN14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S28:AS29"/>
    <mergeCell ref="AL28:AL29"/>
    <mergeCell ref="AM28:AM29"/>
    <mergeCell ref="AN28:AN29"/>
    <mergeCell ref="AO28:AO29"/>
    <mergeCell ref="AP28:AP2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S13:AS14"/>
    <mergeCell ref="A13:A14"/>
    <mergeCell ref="B13:B14"/>
    <mergeCell ref="C13:C14"/>
    <mergeCell ref="D13:D14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16:AL17"/>
    <mergeCell ref="AM16:AM17"/>
    <mergeCell ref="AN16:AN17"/>
    <mergeCell ref="AQ16:AQ17"/>
    <mergeCell ref="AR16:AR17"/>
    <mergeCell ref="AL24:AL25"/>
    <mergeCell ref="AM24:AM25"/>
    <mergeCell ref="B11:B12"/>
    <mergeCell ref="C11:C12"/>
    <mergeCell ref="D11:D12"/>
    <mergeCell ref="AK11:AK12"/>
    <mergeCell ref="B16:B17"/>
    <mergeCell ref="C16:C17"/>
    <mergeCell ref="AQ28:AQ29"/>
    <mergeCell ref="AR28:AR29"/>
    <mergeCell ref="A26:A27"/>
    <mergeCell ref="B26:B27"/>
    <mergeCell ref="C26:C27"/>
    <mergeCell ref="D26:D27"/>
    <mergeCell ref="AK26:AK27"/>
    <mergeCell ref="AO16:AO17"/>
    <mergeCell ref="A28:A29"/>
    <mergeCell ref="B28:B29"/>
    <mergeCell ref="C28:C29"/>
    <mergeCell ref="D28:D29"/>
    <mergeCell ref="AK28:AK29"/>
    <mergeCell ref="A16:A17"/>
    <mergeCell ref="AK13:AK14"/>
    <mergeCell ref="AO13:AO14"/>
    <mergeCell ref="AP13:AP14"/>
    <mergeCell ref="AQ13:AQ14"/>
    <mergeCell ref="D24:D25"/>
    <mergeCell ref="AK24:AK25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AS24:AS25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S18:AS19"/>
    <mergeCell ref="A20:A21"/>
    <mergeCell ref="B20:B21"/>
    <mergeCell ref="AN24:AN25"/>
    <mergeCell ref="AO24:AO25"/>
    <mergeCell ref="AP24:AP25"/>
    <mergeCell ref="AQ24:AQ25"/>
    <mergeCell ref="AR24:AR25"/>
    <mergeCell ref="A24:A25"/>
    <mergeCell ref="B24:B25"/>
    <mergeCell ref="C24:C25"/>
    <mergeCell ref="AS20:AS21"/>
    <mergeCell ref="AN20:AN21"/>
    <mergeCell ref="AO20:AO21"/>
    <mergeCell ref="AP20:AP21"/>
    <mergeCell ref="AQ20:AQ21"/>
    <mergeCell ref="AR20:AR21"/>
    <mergeCell ref="C20:C21"/>
    <mergeCell ref="D20:D21"/>
    <mergeCell ref="AK20:AK21"/>
    <mergeCell ref="AL20:AL21"/>
    <mergeCell ref="AM20:AM21"/>
  </mergeCells>
  <conditionalFormatting sqref="F5:AJ6 F9:AJ10 F13:AJ14">
    <cfRule type="expression" dxfId="35" priority="34" stopIfTrue="1">
      <formula>IF(WEEKDAY(F$5)=1,TRUE,FALSE)</formula>
    </cfRule>
  </conditionalFormatting>
  <conditionalFormatting sqref="F9:AJ10 F13:AJ14">
    <cfRule type="expression" dxfId="34" priority="33" stopIfTrue="1">
      <formula>IF(WEEKDAY(F$5)=1,TRUE,FALSE)</formula>
    </cfRule>
  </conditionalFormatting>
  <conditionalFormatting sqref="F16:AJ17 F26:AJ29">
    <cfRule type="expression" dxfId="33" priority="8" stopIfTrue="1">
      <formula>IF(WEEKDAY(F$5)=1,TRUE,FALSE)</formula>
    </cfRule>
  </conditionalFormatting>
  <conditionalFormatting sqref="F16:AJ17 F26:AJ29">
    <cfRule type="expression" dxfId="32" priority="7" stopIfTrue="1">
      <formula>IF(WEEKDAY(F$5)=1,TRUE,FALSE)</formula>
    </cfRule>
  </conditionalFormatting>
  <conditionalFormatting sqref="F11:AJ12">
    <cfRule type="expression" dxfId="31" priority="6" stopIfTrue="1">
      <formula>IF(WEEKDAY(F$5)=1,TRUE,FALSE)</formula>
    </cfRule>
  </conditionalFormatting>
  <conditionalFormatting sqref="F11:AJ12">
    <cfRule type="expression" dxfId="30" priority="5" stopIfTrue="1">
      <formula>IF(WEEKDAY(F$5)=1,TRUE,FALSE)</formula>
    </cfRule>
  </conditionalFormatting>
  <conditionalFormatting sqref="F22:AJ25">
    <cfRule type="expression" dxfId="29" priority="4" stopIfTrue="1">
      <formula>IF(WEEKDAY(F$5)=1,TRUE,FALSE)</formula>
    </cfRule>
  </conditionalFormatting>
  <conditionalFormatting sqref="F22:AJ25">
    <cfRule type="expression" dxfId="28" priority="3" stopIfTrue="1">
      <formula>IF(WEEKDAY(F$5)=1,TRUE,FALSE)</formula>
    </cfRule>
  </conditionalFormatting>
  <conditionalFormatting sqref="F18:AJ21">
    <cfRule type="expression" dxfId="27" priority="2" stopIfTrue="1">
      <formula>IF(WEEKDAY(F$5)=1,TRUE,FALSE)</formula>
    </cfRule>
  </conditionalFormatting>
  <conditionalFormatting sqref="F18:AJ21">
    <cfRule type="expression" dxfId="2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21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6" t="str">
        <f>"BẢNG THANH TOÁN LƯƠNG THÁNG"&amp;" "&amp;TEXT($E$4,"mm")&amp;" / "&amp;TEXT($E$4,"yyyy")</f>
        <v>BẢNG THANH TOÁN LƯƠNG THÁNG 10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-10'!$E$4</f>
        <v>41913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5" t="s">
        <v>40</v>
      </c>
      <c r="G7" s="212" t="s">
        <v>18</v>
      </c>
      <c r="H7" s="215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-10'!$B$8:$AS$29,36,0)</f>
        <v>27</v>
      </c>
      <c r="G10" s="142">
        <f t="shared" ref="G10:G12" si="2">ROUND(E10/$U$2*F10,0)</f>
        <v>4500000</v>
      </c>
      <c r="H10" s="89">
        <f>(VLOOKUP(B10,'CC -10'!$B$8:$AS$29,37,0)+VLOOKUP(B10,'CC -10'!$B$8:$AS$29,38,0))</f>
        <v>0</v>
      </c>
      <c r="I10" s="142">
        <f t="shared" ref="I10:I12" si="3">ROUND(E10/$U$2*H10,0)</f>
        <v>0</v>
      </c>
      <c r="J10" s="90">
        <f t="shared" ref="J10:K12" si="4">F10+H10</f>
        <v>27</v>
      </c>
      <c r="K10" s="37">
        <f>G10+I10</f>
        <v>4500000</v>
      </c>
      <c r="L10" s="87">
        <f t="shared" ref="L10:L12" si="5">+F10*15000</f>
        <v>405000</v>
      </c>
      <c r="M10" s="38">
        <f t="shared" ref="M10:M12" si="6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4905000</v>
      </c>
      <c r="R10" s="37">
        <f>VLOOKUP(B10,DS,23,0)</f>
        <v>0</v>
      </c>
      <c r="S10" s="43">
        <f t="shared" ref="S10:S12" si="8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-10'!$B$8:$AS$29,36,0)</f>
        <v>27</v>
      </c>
      <c r="G11" s="142">
        <f t="shared" ref="G11" si="11">ROUND(E11/$U$2*F11,0)</f>
        <v>4500000</v>
      </c>
      <c r="H11" s="89">
        <f>(VLOOKUP(B11,'CC -10'!$B$8:$AS$29,37,0)+VLOOKUP(B11,'CC -10'!$B$8:$AS$29,38,0))</f>
        <v>0</v>
      </c>
      <c r="I11" s="142">
        <f t="shared" ref="I11" si="12">ROUND(E11/$U$2*H11,0)</f>
        <v>0</v>
      </c>
      <c r="J11" s="90">
        <f t="shared" ref="J11" si="13">F11+H11</f>
        <v>27</v>
      </c>
      <c r="K11" s="37">
        <f t="shared" ref="K11" si="14">G11+I11</f>
        <v>4500000</v>
      </c>
      <c r="L11" s="87">
        <f t="shared" ref="L11" si="15">+F11*15000</f>
        <v>405000</v>
      </c>
      <c r="M11" s="38">
        <f t="shared" ref="M11" si="16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4905000</v>
      </c>
      <c r="R11" s="37">
        <f>VLOOKUP(B11,DS,23,0)</f>
        <v>0</v>
      </c>
      <c r="S11" s="43">
        <f t="shared" ref="S11" si="18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-10'!$B$8:$AS$29,36,0)</f>
        <v>27</v>
      </c>
      <c r="G12" s="142">
        <f t="shared" si="2"/>
        <v>5000000</v>
      </c>
      <c r="H12" s="89">
        <f>(VLOOKUP(B12,'CC -10'!$B$8:$AS$29,37,0)+VLOOKUP(B12,'CC -10'!$B$8:$AS$29,38,0))</f>
        <v>0</v>
      </c>
      <c r="I12" s="142">
        <f t="shared" si="3"/>
        <v>0</v>
      </c>
      <c r="J12" s="90">
        <f t="shared" si="4"/>
        <v>27</v>
      </c>
      <c r="K12" s="37">
        <f t="shared" si="4"/>
        <v>5000000</v>
      </c>
      <c r="L12" s="87">
        <f t="shared" si="5"/>
        <v>405000</v>
      </c>
      <c r="M12" s="38">
        <f t="shared" si="6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5405000</v>
      </c>
      <c r="R12" s="37">
        <f>VLOOKUP(B12,DS,23,0)</f>
        <v>0</v>
      </c>
      <c r="S12" s="43">
        <f t="shared" si="8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SUM(E9:E12)</f>
        <v>14000000</v>
      </c>
      <c r="F14" s="137"/>
      <c r="G14" s="137">
        <f>SUM(G9:G12)</f>
        <v>14000000</v>
      </c>
      <c r="H14" s="137"/>
      <c r="I14" s="137">
        <f>SUM(I9:I12)</f>
        <v>0</v>
      </c>
      <c r="J14" s="137"/>
      <c r="K14" s="137">
        <f t="shared" ref="K14:S14" si="19">SUM(K9:K12)</f>
        <v>14000000</v>
      </c>
      <c r="L14" s="137">
        <f t="shared" si="19"/>
        <v>1215000</v>
      </c>
      <c r="M14" s="137">
        <f t="shared" si="19"/>
        <v>15215000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15215000</v>
      </c>
      <c r="R14" s="137">
        <f t="shared" si="19"/>
        <v>0</v>
      </c>
      <c r="S14" s="137">
        <f t="shared" si="19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>VLOOKUP(B16,DS,5,0)</f>
        <v>4500000</v>
      </c>
      <c r="F16" s="89">
        <f>VLOOKUP(B16,'CC -10'!$B$8:$AS$29,36,0)</f>
        <v>27</v>
      </c>
      <c r="G16" s="142">
        <f t="shared" ref="G16:G20" si="22">ROUND(E16/$U$2*F16,0)</f>
        <v>4500000</v>
      </c>
      <c r="H16" s="89">
        <f>(VLOOKUP(B16,'CC -10'!$B$8:$AS$29,37,0)+VLOOKUP(B16,'CC -10'!$B$8:$AS$29,38,0))</f>
        <v>0</v>
      </c>
      <c r="I16" s="142">
        <f t="shared" ref="I16:I20" si="23">ROUND(E16/$U$2*H16,0)</f>
        <v>0</v>
      </c>
      <c r="J16" s="143">
        <f t="shared" ref="J16:K20" si="24">F16+H16</f>
        <v>27</v>
      </c>
      <c r="K16" s="37">
        <f t="shared" si="24"/>
        <v>4500000</v>
      </c>
      <c r="L16" s="87">
        <f t="shared" ref="L16:L20" si="25">+F16*15000</f>
        <v>405000</v>
      </c>
      <c r="M16" s="38">
        <f t="shared" ref="M16:M20" si="26">K16+L16</f>
        <v>4905000</v>
      </c>
      <c r="N16" s="38">
        <f>IF(VLOOKUP(B16,DS,9,0)="x",'L - 10'!E16*$N$4,0)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4905000</v>
      </c>
      <c r="R16" s="37">
        <f t="shared" ref="R16:R20" si="29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>VLOOKUP(B17,DS,5,0)</f>
        <v>4500000</v>
      </c>
      <c r="F17" s="89">
        <f>VLOOKUP(B17,'CC -10'!$B$8:$AS$29,36,0)</f>
        <v>27</v>
      </c>
      <c r="G17" s="142">
        <f t="shared" ref="G17:G18" si="32">ROUND(E17/$U$2*F17,0)</f>
        <v>4500000</v>
      </c>
      <c r="H17" s="89">
        <f>(VLOOKUP(B17,'CC -10'!$B$8:$AS$29,37,0)+VLOOKUP(B17,'CC -10'!$B$8:$AS$29,38,0))</f>
        <v>0</v>
      </c>
      <c r="I17" s="142">
        <f t="shared" ref="I17:I18" si="33">ROUND(E17/$U$2*H17,0)</f>
        <v>0</v>
      </c>
      <c r="J17" s="143">
        <f t="shared" ref="J17:J18" si="34">F17+H17</f>
        <v>27</v>
      </c>
      <c r="K17" s="37">
        <f t="shared" ref="K17:K18" si="35">G17+I17</f>
        <v>4500000</v>
      </c>
      <c r="L17" s="87">
        <f t="shared" ref="L17:L18" si="36">+F17*15000</f>
        <v>405000</v>
      </c>
      <c r="M17" s="38">
        <f t="shared" ref="M17:M18" si="37">K17+L17</f>
        <v>4905000</v>
      </c>
      <c r="N17" s="38">
        <f>IF(VLOOKUP(B17,DS,9,0)="x",'L - 10'!E17*$N$4,0)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4905000</v>
      </c>
      <c r="R17" s="37">
        <f t="shared" ref="R17:R18" si="41">VLOOKUP(B17,DS,23,0)</f>
        <v>0</v>
      </c>
      <c r="S17" s="43">
        <f t="shared" ref="S17:S18" si="42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>VLOOKUP(B18,DS,5,0)</f>
        <v>3700000</v>
      </c>
      <c r="F18" s="89">
        <f>VLOOKUP(B18,'CC -10'!$B$8:$AS$29,36,0)</f>
        <v>27</v>
      </c>
      <c r="G18" s="142">
        <f t="shared" si="32"/>
        <v>3700000</v>
      </c>
      <c r="H18" s="89">
        <f>(VLOOKUP(B18,'CC -10'!$B$8:$AS$29,37,0)+VLOOKUP(B18,'CC -10'!$B$8:$AS$29,38,0))</f>
        <v>0</v>
      </c>
      <c r="I18" s="142">
        <f t="shared" si="33"/>
        <v>0</v>
      </c>
      <c r="J18" s="143">
        <f t="shared" si="34"/>
        <v>27</v>
      </c>
      <c r="K18" s="37">
        <f t="shared" si="35"/>
        <v>3700000</v>
      </c>
      <c r="L18" s="87">
        <f t="shared" si="36"/>
        <v>405000</v>
      </c>
      <c r="M18" s="38">
        <f t="shared" si="37"/>
        <v>4105000</v>
      </c>
      <c r="N18" s="38">
        <f>IF(VLOOKUP(B18,DS,9,0)="x",'L - 10'!E18*$N$4,0)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4105000</v>
      </c>
      <c r="R18" s="37">
        <f t="shared" si="41"/>
        <v>0</v>
      </c>
      <c r="S18" s="43">
        <f t="shared" si="42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>VLOOKUP(B19,DS,5,0)</f>
        <v>3700000</v>
      </c>
      <c r="F19" s="89">
        <f>VLOOKUP(B19,'CC -10'!$B$8:$AS$29,36,0)</f>
        <v>27</v>
      </c>
      <c r="G19" s="142">
        <f t="shared" si="22"/>
        <v>3700000</v>
      </c>
      <c r="H19" s="89">
        <f>(VLOOKUP(B19,'CC -10'!$B$8:$AS$29,37,0)+VLOOKUP(B19,'CC -10'!$B$8:$AS$29,38,0))</f>
        <v>0</v>
      </c>
      <c r="I19" s="142">
        <f t="shared" si="23"/>
        <v>0</v>
      </c>
      <c r="J19" s="143">
        <f t="shared" si="24"/>
        <v>27</v>
      </c>
      <c r="K19" s="37">
        <f t="shared" si="24"/>
        <v>3700000</v>
      </c>
      <c r="L19" s="87">
        <f t="shared" si="25"/>
        <v>405000</v>
      </c>
      <c r="M19" s="38">
        <f t="shared" si="26"/>
        <v>4105000</v>
      </c>
      <c r="N19" s="38">
        <f>IF(VLOOKUP(B19,DS,9,0)="x",'L - 10'!E19*$N$4,0)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4105000</v>
      </c>
      <c r="R19" s="37">
        <f t="shared" si="29"/>
        <v>0</v>
      </c>
      <c r="S19" s="43">
        <f t="shared" ref="S19:S20" si="44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>VLOOKUP(B20,DS,5,0)</f>
        <v>4500000</v>
      </c>
      <c r="F20" s="89">
        <f>VLOOKUP(B20,'CC -10'!$B$8:$AS$29,36,0)</f>
        <v>27</v>
      </c>
      <c r="G20" s="142">
        <f t="shared" si="22"/>
        <v>4500000</v>
      </c>
      <c r="H20" s="89">
        <f>(VLOOKUP(B20,'CC -10'!$B$8:$AS$29,37,0)+VLOOKUP(B20,'CC -10'!$B$8:$AS$29,38,0))</f>
        <v>0</v>
      </c>
      <c r="I20" s="142">
        <f t="shared" si="23"/>
        <v>0</v>
      </c>
      <c r="J20" s="143">
        <f t="shared" si="24"/>
        <v>27</v>
      </c>
      <c r="K20" s="37">
        <f t="shared" si="24"/>
        <v>4500000</v>
      </c>
      <c r="L20" s="87">
        <f t="shared" si="25"/>
        <v>405000</v>
      </c>
      <c r="M20" s="38">
        <f t="shared" si="26"/>
        <v>4905000</v>
      </c>
      <c r="N20" s="38">
        <f>IF(VLOOKUP(B20,DS,9,0)="x",'L - 10'!E20*$N$4,0)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4905000</v>
      </c>
      <c r="R20" s="37">
        <f t="shared" si="29"/>
        <v>0</v>
      </c>
      <c r="S20" s="43">
        <f t="shared" si="44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>VLOOKUP(B21,DS,5,0)</f>
        <v>3700000</v>
      </c>
      <c r="F21" s="89">
        <f>VLOOKUP(B21,'CC -10'!$B$8:$AS$29,36,0)</f>
        <v>27</v>
      </c>
      <c r="G21" s="142">
        <f t="shared" ref="G21:G22" si="47">ROUND(E21/$U$2*F21,0)</f>
        <v>3700000</v>
      </c>
      <c r="H21" s="89">
        <f>(VLOOKUP(B21,'CC -10'!$B$8:$AS$29,37,0)+VLOOKUP(B21,'CC -10'!$B$8:$AS$29,38,0))</f>
        <v>0</v>
      </c>
      <c r="I21" s="142">
        <f t="shared" ref="I21:I22" si="48">ROUND(E21/$U$2*H21,0)</f>
        <v>0</v>
      </c>
      <c r="J21" s="143">
        <f t="shared" ref="J21:J22" si="49">F21+H21</f>
        <v>27</v>
      </c>
      <c r="K21" s="37">
        <f t="shared" ref="K21:K22" si="50">G21+I21</f>
        <v>3700000</v>
      </c>
      <c r="L21" s="87">
        <f t="shared" ref="L21:L22" si="51">+F21*15000</f>
        <v>405000</v>
      </c>
      <c r="M21" s="38">
        <f t="shared" ref="M21:M22" si="52">K21+L21</f>
        <v>4105000</v>
      </c>
      <c r="N21" s="38">
        <f>IF(VLOOKUP(B21,DS,9,0)="x",'L - 10'!E21*$N$4,0)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4105000</v>
      </c>
      <c r="R21" s="37">
        <f t="shared" ref="R21:R22" si="56">VLOOKUP(B21,DS,23,0)</f>
        <v>0</v>
      </c>
      <c r="S21" s="43">
        <f t="shared" ref="S21:S22" si="57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>VLOOKUP(B22,DS,5,0)</f>
        <v>3700000</v>
      </c>
      <c r="F22" s="89">
        <f>VLOOKUP(B22,'CC -10'!$B$8:$AS$29,36,0)</f>
        <v>27</v>
      </c>
      <c r="G22" s="142">
        <f t="shared" si="47"/>
        <v>3700000</v>
      </c>
      <c r="H22" s="89">
        <f>(VLOOKUP(B22,'CC -10'!$B$8:$AS$29,37,0)+VLOOKUP(B22,'CC -10'!$B$8:$AS$29,38,0))</f>
        <v>0</v>
      </c>
      <c r="I22" s="142">
        <f t="shared" si="48"/>
        <v>0</v>
      </c>
      <c r="J22" s="143">
        <f t="shared" si="49"/>
        <v>27</v>
      </c>
      <c r="K22" s="37">
        <f t="shared" si="50"/>
        <v>3700000</v>
      </c>
      <c r="L22" s="87">
        <f t="shared" si="51"/>
        <v>405000</v>
      </c>
      <c r="M22" s="38">
        <f t="shared" si="52"/>
        <v>4105000</v>
      </c>
      <c r="N22" s="38">
        <f>IF(VLOOKUP(B22,DS,9,0)="x",'L - 10'!E22*$N$4,0)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4105000</v>
      </c>
      <c r="R22" s="37">
        <f t="shared" si="56"/>
        <v>0</v>
      </c>
      <c r="S22" s="43">
        <f t="shared" si="57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2835000</v>
      </c>
      <c r="M24" s="137">
        <f t="shared" si="58"/>
        <v>31135000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31135000</v>
      </c>
      <c r="R24" s="137">
        <f t="shared" si="58"/>
        <v>0</v>
      </c>
      <c r="S24" s="137">
        <f t="shared" si="58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10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W10:W13 AF5:IK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U4:U15 X5:AE13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5" width="3.42578125" style="121" customWidth="1"/>
    <col min="36" max="36" width="3.42578125" style="121" hidden="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11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41944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41944</v>
      </c>
      <c r="G5" s="115">
        <f t="shared" ref="G5:AI5" si="0">F5+1</f>
        <v>41945</v>
      </c>
      <c r="H5" s="115">
        <f t="shared" si="0"/>
        <v>41946</v>
      </c>
      <c r="I5" s="115">
        <f t="shared" si="0"/>
        <v>41947</v>
      </c>
      <c r="J5" s="115">
        <f t="shared" si="0"/>
        <v>41948</v>
      </c>
      <c r="K5" s="115">
        <f t="shared" si="0"/>
        <v>41949</v>
      </c>
      <c r="L5" s="115">
        <f t="shared" si="0"/>
        <v>41950</v>
      </c>
      <c r="M5" s="115">
        <f t="shared" si="0"/>
        <v>41951</v>
      </c>
      <c r="N5" s="115">
        <f t="shared" si="0"/>
        <v>41952</v>
      </c>
      <c r="O5" s="115">
        <f t="shared" si="0"/>
        <v>41953</v>
      </c>
      <c r="P5" s="115">
        <f t="shared" si="0"/>
        <v>41954</v>
      </c>
      <c r="Q5" s="115">
        <f t="shared" si="0"/>
        <v>41955</v>
      </c>
      <c r="R5" s="115">
        <f t="shared" si="0"/>
        <v>41956</v>
      </c>
      <c r="S5" s="115">
        <f t="shared" si="0"/>
        <v>41957</v>
      </c>
      <c r="T5" s="115">
        <f t="shared" si="0"/>
        <v>41958</v>
      </c>
      <c r="U5" s="115">
        <f t="shared" si="0"/>
        <v>41959</v>
      </c>
      <c r="V5" s="115">
        <f t="shared" si="0"/>
        <v>41960</v>
      </c>
      <c r="W5" s="115">
        <f t="shared" si="0"/>
        <v>41961</v>
      </c>
      <c r="X5" s="115">
        <f t="shared" si="0"/>
        <v>41962</v>
      </c>
      <c r="Y5" s="115">
        <f t="shared" si="0"/>
        <v>41963</v>
      </c>
      <c r="Z5" s="115">
        <f t="shared" si="0"/>
        <v>41964</v>
      </c>
      <c r="AA5" s="115">
        <f t="shared" si="0"/>
        <v>41965</v>
      </c>
      <c r="AB5" s="115">
        <f t="shared" si="0"/>
        <v>41966</v>
      </c>
      <c r="AC5" s="115">
        <f t="shared" si="0"/>
        <v>41967</v>
      </c>
      <c r="AD5" s="115">
        <f t="shared" si="0"/>
        <v>41968</v>
      </c>
      <c r="AE5" s="115">
        <f t="shared" si="0"/>
        <v>41969</v>
      </c>
      <c r="AF5" s="115">
        <f t="shared" si="0"/>
        <v>41970</v>
      </c>
      <c r="AG5" s="115">
        <f t="shared" si="0"/>
        <v>41971</v>
      </c>
      <c r="AH5" s="115">
        <f>AG5+1</f>
        <v>41972</v>
      </c>
      <c r="AI5" s="115">
        <f t="shared" si="0"/>
        <v>41973</v>
      </c>
      <c r="AJ5" s="223"/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T.Bảy</v>
      </c>
      <c r="G6" s="171" t="str">
        <f t="shared" ref="G6:AI6" si="1">CHOOSE(WEEKDAY(G5),"C.Nhật","T.Hai","T.Ba","T.Tư","T.Năm","T.Sáu","T.Bảy")</f>
        <v>C.Nhật</v>
      </c>
      <c r="H6" s="171" t="str">
        <f t="shared" si="1"/>
        <v>T.Hai</v>
      </c>
      <c r="I6" s="171" t="str">
        <f t="shared" si="1"/>
        <v>T.Ba</v>
      </c>
      <c r="J6" s="171" t="str">
        <f t="shared" si="1"/>
        <v>T.Tư</v>
      </c>
      <c r="K6" s="171" t="str">
        <f t="shared" si="1"/>
        <v>T.Năm</v>
      </c>
      <c r="L6" s="171" t="str">
        <f t="shared" si="1"/>
        <v>T.Sáu</v>
      </c>
      <c r="M6" s="171" t="str">
        <f t="shared" si="1"/>
        <v>T.Bảy</v>
      </c>
      <c r="N6" s="171" t="str">
        <f t="shared" si="1"/>
        <v>C.Nhật</v>
      </c>
      <c r="O6" s="171" t="str">
        <f t="shared" si="1"/>
        <v>T.Hai</v>
      </c>
      <c r="P6" s="171" t="str">
        <f t="shared" si="1"/>
        <v>T.Ba</v>
      </c>
      <c r="Q6" s="171" t="str">
        <f t="shared" si="1"/>
        <v>T.Tư</v>
      </c>
      <c r="R6" s="171" t="str">
        <f t="shared" si="1"/>
        <v>T.Năm</v>
      </c>
      <c r="S6" s="171" t="str">
        <f t="shared" si="1"/>
        <v>T.Sáu</v>
      </c>
      <c r="T6" s="171" t="str">
        <f t="shared" si="1"/>
        <v>T.Bảy</v>
      </c>
      <c r="U6" s="171" t="str">
        <f t="shared" si="1"/>
        <v>C.Nhật</v>
      </c>
      <c r="V6" s="171" t="str">
        <f t="shared" si="1"/>
        <v>T.Hai</v>
      </c>
      <c r="W6" s="171" t="str">
        <f t="shared" si="1"/>
        <v>T.Ba</v>
      </c>
      <c r="X6" s="171" t="str">
        <f t="shared" si="1"/>
        <v>T.Tư</v>
      </c>
      <c r="Y6" s="171" t="str">
        <f t="shared" si="1"/>
        <v>T.Năm</v>
      </c>
      <c r="Z6" s="171" t="str">
        <f t="shared" si="1"/>
        <v>T.Sáu</v>
      </c>
      <c r="AA6" s="171" t="str">
        <f t="shared" si="1"/>
        <v>T.Bảy</v>
      </c>
      <c r="AB6" s="171" t="str">
        <f t="shared" si="1"/>
        <v>C.Nhật</v>
      </c>
      <c r="AC6" s="171" t="str">
        <f t="shared" si="1"/>
        <v>T.Hai</v>
      </c>
      <c r="AD6" s="171" t="str">
        <f t="shared" si="1"/>
        <v>T.Ba</v>
      </c>
      <c r="AE6" s="171" t="str">
        <f t="shared" si="1"/>
        <v>T.Tư</v>
      </c>
      <c r="AF6" s="171" t="str">
        <f t="shared" si="1"/>
        <v>T.Năm</v>
      </c>
      <c r="AG6" s="171" t="str">
        <f t="shared" si="1"/>
        <v>T.Sáu</v>
      </c>
      <c r="AH6" s="171" t="str">
        <f t="shared" si="1"/>
        <v>T.Bảy</v>
      </c>
      <c r="AI6" s="171" t="str">
        <f t="shared" si="1"/>
        <v>C.Nhật</v>
      </c>
      <c r="AJ6" s="171"/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/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/>
      <c r="H9" s="140">
        <v>8</v>
      </c>
      <c r="I9" s="140">
        <v>8</v>
      </c>
      <c r="J9" s="140">
        <v>8</v>
      </c>
      <c r="K9" s="140">
        <v>8</v>
      </c>
      <c r="L9" s="140">
        <v>8</v>
      </c>
      <c r="M9" s="140">
        <v>8</v>
      </c>
      <c r="N9" s="140"/>
      <c r="O9" s="140">
        <v>8</v>
      </c>
      <c r="P9" s="140">
        <v>8</v>
      </c>
      <c r="Q9" s="140">
        <v>8</v>
      </c>
      <c r="R9" s="140">
        <v>8</v>
      </c>
      <c r="S9" s="140">
        <v>8</v>
      </c>
      <c r="T9" s="140">
        <v>8</v>
      </c>
      <c r="U9" s="140"/>
      <c r="V9" s="140">
        <v>8</v>
      </c>
      <c r="W9" s="140">
        <v>8</v>
      </c>
      <c r="X9" s="140">
        <v>8</v>
      </c>
      <c r="Y9" s="140">
        <v>8</v>
      </c>
      <c r="Z9" s="140">
        <v>8</v>
      </c>
      <c r="AA9" s="140">
        <v>8</v>
      </c>
      <c r="AB9" s="140"/>
      <c r="AC9" s="140">
        <v>8</v>
      </c>
      <c r="AD9" s="140">
        <v>8</v>
      </c>
      <c r="AE9" s="140">
        <v>8</v>
      </c>
      <c r="AF9" s="140">
        <v>8</v>
      </c>
      <c r="AG9" s="140">
        <v>8</v>
      </c>
      <c r="AH9" s="140">
        <v>8</v>
      </c>
      <c r="AI9" s="140"/>
      <c r="AJ9" s="224"/>
      <c r="AK9" s="241">
        <f>((SUM(F9:AI9))/8)-(SUMIF($F$6:$AI$6,"C.Nhật",F9:AI9)/8)</f>
        <v>25</v>
      </c>
      <c r="AL9" s="241">
        <f>SUM(F10:AI10)/8*1.5</f>
        <v>0</v>
      </c>
      <c r="AM9" s="245">
        <f>SUMIF($F$6:$AI$6,"C.Nhật",$F9:$AI10)/8*2</f>
        <v>0</v>
      </c>
      <c r="AN9" s="247">
        <f>SUM(AK9:AM10)</f>
        <v>25</v>
      </c>
      <c r="AO9" s="249">
        <v>0</v>
      </c>
      <c r="AP9" s="247"/>
      <c r="AQ9" s="247"/>
      <c r="AR9" s="247"/>
      <c r="AS9" s="243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225"/>
      <c r="AK10" s="242"/>
      <c r="AL10" s="242"/>
      <c r="AM10" s="246"/>
      <c r="AN10" s="248"/>
      <c r="AO10" s="250"/>
      <c r="AP10" s="248"/>
      <c r="AQ10" s="248"/>
      <c r="AR10" s="248"/>
      <c r="AS10" s="244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/>
      <c r="H11" s="140">
        <v>8</v>
      </c>
      <c r="I11" s="140">
        <v>8</v>
      </c>
      <c r="J11" s="140">
        <v>8</v>
      </c>
      <c r="K11" s="140">
        <v>8</v>
      </c>
      <c r="L11" s="140">
        <v>8</v>
      </c>
      <c r="M11" s="140">
        <v>8</v>
      </c>
      <c r="N11" s="140"/>
      <c r="O11" s="140">
        <v>8</v>
      </c>
      <c r="P11" s="140">
        <v>8</v>
      </c>
      <c r="Q11" s="140">
        <v>8</v>
      </c>
      <c r="R11" s="140">
        <v>8</v>
      </c>
      <c r="S11" s="140">
        <v>8</v>
      </c>
      <c r="T11" s="140">
        <v>8</v>
      </c>
      <c r="U11" s="140"/>
      <c r="V11" s="140">
        <v>8</v>
      </c>
      <c r="W11" s="140">
        <v>8</v>
      </c>
      <c r="X11" s="140">
        <v>8</v>
      </c>
      <c r="Y11" s="140">
        <v>8</v>
      </c>
      <c r="Z11" s="140">
        <v>8</v>
      </c>
      <c r="AA11" s="140">
        <v>8</v>
      </c>
      <c r="AB11" s="140"/>
      <c r="AC11" s="140">
        <v>8</v>
      </c>
      <c r="AD11" s="140">
        <v>8</v>
      </c>
      <c r="AE11" s="140">
        <v>8</v>
      </c>
      <c r="AF11" s="140">
        <v>8</v>
      </c>
      <c r="AG11" s="140">
        <v>8</v>
      </c>
      <c r="AH11" s="140">
        <v>8</v>
      </c>
      <c r="AI11" s="140"/>
      <c r="AJ11" s="224"/>
      <c r="AK11" s="241">
        <f>((SUM(F11:AI11))/8)-(SUMIF($F$6:$AI$6,"C.Nhật",F11:AI11)/8)</f>
        <v>25</v>
      </c>
      <c r="AL11" s="241">
        <f>SUM(F12:AI12)/8*1.5</f>
        <v>0</v>
      </c>
      <c r="AM11" s="245">
        <f>SUMIF($F$6:$AI$6,"C.Nhật",$F11:$AI12)/8*2</f>
        <v>0</v>
      </c>
      <c r="AN11" s="247">
        <f t="shared" ref="AN11" si="2">SUM(AK11:AM12)</f>
        <v>25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225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/>
      <c r="H13" s="140">
        <v>8</v>
      </c>
      <c r="I13" s="140">
        <v>8</v>
      </c>
      <c r="J13" s="140">
        <v>8</v>
      </c>
      <c r="K13" s="140">
        <v>8</v>
      </c>
      <c r="L13" s="140">
        <v>8</v>
      </c>
      <c r="M13" s="140">
        <v>8</v>
      </c>
      <c r="N13" s="140"/>
      <c r="O13" s="140">
        <v>8</v>
      </c>
      <c r="P13" s="140">
        <v>8</v>
      </c>
      <c r="Q13" s="140">
        <v>8</v>
      </c>
      <c r="R13" s="140">
        <v>8</v>
      </c>
      <c r="S13" s="140">
        <v>8</v>
      </c>
      <c r="T13" s="140">
        <v>8</v>
      </c>
      <c r="U13" s="140"/>
      <c r="V13" s="140">
        <v>8</v>
      </c>
      <c r="W13" s="140">
        <v>8</v>
      </c>
      <c r="X13" s="140">
        <v>8</v>
      </c>
      <c r="Y13" s="140">
        <v>8</v>
      </c>
      <c r="Z13" s="140">
        <v>8</v>
      </c>
      <c r="AA13" s="140">
        <v>8</v>
      </c>
      <c r="AB13" s="140"/>
      <c r="AC13" s="140">
        <v>8</v>
      </c>
      <c r="AD13" s="140">
        <v>8</v>
      </c>
      <c r="AE13" s="140">
        <v>8</v>
      </c>
      <c r="AF13" s="140">
        <v>8</v>
      </c>
      <c r="AG13" s="140">
        <v>8</v>
      </c>
      <c r="AH13" s="140">
        <v>8</v>
      </c>
      <c r="AI13" s="140"/>
      <c r="AJ13" s="224"/>
      <c r="AK13" s="241">
        <f>((SUM(F13:AI13))/8)-(SUMIF($F$6:$AI$6,"C.Nhật",F13:AI13)/8)</f>
        <v>25</v>
      </c>
      <c r="AL13" s="241">
        <f>SUM(F14:AI14)/8*1.5</f>
        <v>0</v>
      </c>
      <c r="AM13" s="245">
        <f>SUMIF($F$6:$AI$6,"C.Nhật",$F13:$AI14)/8*2</f>
        <v>0</v>
      </c>
      <c r="AN13" s="247">
        <f t="shared" ref="AN13" si="3">SUM(AK13:AM14)</f>
        <v>25</v>
      </c>
      <c r="AO13" s="249">
        <v>0</v>
      </c>
      <c r="AP13" s="247"/>
      <c r="AQ13" s="247"/>
      <c r="AR13" s="247"/>
      <c r="AS13" s="243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225"/>
      <c r="AK14" s="242"/>
      <c r="AL14" s="242"/>
      <c r="AM14" s="246"/>
      <c r="AN14" s="248"/>
      <c r="AO14" s="250"/>
      <c r="AP14" s="248"/>
      <c r="AQ14" s="248"/>
      <c r="AR14" s="248"/>
      <c r="AS14" s="244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/>
      <c r="H16" s="140">
        <v>8</v>
      </c>
      <c r="I16" s="140">
        <v>8</v>
      </c>
      <c r="J16" s="140">
        <v>8</v>
      </c>
      <c r="K16" s="140">
        <v>8</v>
      </c>
      <c r="L16" s="140">
        <v>8</v>
      </c>
      <c r="M16" s="140">
        <v>8</v>
      </c>
      <c r="N16" s="140"/>
      <c r="O16" s="140">
        <v>8</v>
      </c>
      <c r="P16" s="140">
        <v>8</v>
      </c>
      <c r="Q16" s="140">
        <v>8</v>
      </c>
      <c r="R16" s="140">
        <v>8</v>
      </c>
      <c r="S16" s="140">
        <v>8</v>
      </c>
      <c r="T16" s="140">
        <v>8</v>
      </c>
      <c r="U16" s="140"/>
      <c r="V16" s="140">
        <v>8</v>
      </c>
      <c r="W16" s="140">
        <v>8</v>
      </c>
      <c r="X16" s="140">
        <v>8</v>
      </c>
      <c r="Y16" s="140">
        <v>8</v>
      </c>
      <c r="Z16" s="140">
        <v>8</v>
      </c>
      <c r="AA16" s="140">
        <v>8</v>
      </c>
      <c r="AB16" s="140"/>
      <c r="AC16" s="140">
        <v>8</v>
      </c>
      <c r="AD16" s="140">
        <v>8</v>
      </c>
      <c r="AE16" s="140">
        <v>8</v>
      </c>
      <c r="AF16" s="140">
        <v>8</v>
      </c>
      <c r="AG16" s="140">
        <v>8</v>
      </c>
      <c r="AH16" s="140">
        <v>8</v>
      </c>
      <c r="AI16" s="140"/>
      <c r="AJ16" s="224"/>
      <c r="AK16" s="241">
        <f>((SUM(F16:AI16))/8)-(SUMIF($F$6:$AI$6,"C.Nhật",F16:AI16)/8)</f>
        <v>25</v>
      </c>
      <c r="AL16" s="241">
        <f>SUM(F17:AI17)/8*1.5</f>
        <v>0</v>
      </c>
      <c r="AM16" s="245">
        <f>SUMIF($F$6:$AI$6,"C.Nhật",$F16:$AI17)/8*2</f>
        <v>0</v>
      </c>
      <c r="AN16" s="247">
        <f>SUM(AK16:AM17)</f>
        <v>25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225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/>
      <c r="H18" s="140">
        <v>8</v>
      </c>
      <c r="I18" s="140">
        <v>8</v>
      </c>
      <c r="J18" s="140">
        <v>8</v>
      </c>
      <c r="K18" s="140">
        <v>8</v>
      </c>
      <c r="L18" s="140">
        <v>8</v>
      </c>
      <c r="M18" s="140">
        <v>8</v>
      </c>
      <c r="N18" s="140"/>
      <c r="O18" s="140">
        <v>8</v>
      </c>
      <c r="P18" s="140">
        <v>8</v>
      </c>
      <c r="Q18" s="140">
        <v>8</v>
      </c>
      <c r="R18" s="140">
        <v>8</v>
      </c>
      <c r="S18" s="140">
        <v>8</v>
      </c>
      <c r="T18" s="140">
        <v>8</v>
      </c>
      <c r="U18" s="140"/>
      <c r="V18" s="140">
        <v>8</v>
      </c>
      <c r="W18" s="140">
        <v>8</v>
      </c>
      <c r="X18" s="140">
        <v>8</v>
      </c>
      <c r="Y18" s="140">
        <v>8</v>
      </c>
      <c r="Z18" s="140">
        <v>8</v>
      </c>
      <c r="AA18" s="140">
        <v>8</v>
      </c>
      <c r="AB18" s="140"/>
      <c r="AC18" s="140">
        <v>8</v>
      </c>
      <c r="AD18" s="140">
        <v>8</v>
      </c>
      <c r="AE18" s="140">
        <v>8</v>
      </c>
      <c r="AF18" s="140">
        <v>8</v>
      </c>
      <c r="AG18" s="140">
        <v>8</v>
      </c>
      <c r="AH18" s="140">
        <v>8</v>
      </c>
      <c r="AI18" s="140"/>
      <c r="AJ18" s="224"/>
      <c r="AK18" s="241">
        <f>((SUM(F18:AI18))/8)-(SUMIF($F$6:$AI$6,"C.Nhật",F18:AI18)/8)</f>
        <v>25</v>
      </c>
      <c r="AL18" s="241">
        <f>SUM(F19:AI19)/8*1.5</f>
        <v>0</v>
      </c>
      <c r="AM18" s="245">
        <f>SUMIF($F$6:$AI$6,"C.Nhật",$F18:$AI19)/8*2</f>
        <v>0</v>
      </c>
      <c r="AN18" s="247">
        <f t="shared" ref="AN18" si="4">SUM(AK18:AM19)</f>
        <v>25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225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/>
      <c r="H20" s="140">
        <v>8</v>
      </c>
      <c r="I20" s="140">
        <v>8</v>
      </c>
      <c r="J20" s="140">
        <v>8</v>
      </c>
      <c r="K20" s="140">
        <v>8</v>
      </c>
      <c r="L20" s="140">
        <v>8</v>
      </c>
      <c r="M20" s="140">
        <v>8</v>
      </c>
      <c r="N20" s="140"/>
      <c r="O20" s="140">
        <v>8</v>
      </c>
      <c r="P20" s="140">
        <v>8</v>
      </c>
      <c r="Q20" s="140">
        <v>8</v>
      </c>
      <c r="R20" s="140">
        <v>8</v>
      </c>
      <c r="S20" s="140">
        <v>8</v>
      </c>
      <c r="T20" s="140">
        <v>8</v>
      </c>
      <c r="U20" s="140"/>
      <c r="V20" s="140">
        <v>8</v>
      </c>
      <c r="W20" s="140">
        <v>8</v>
      </c>
      <c r="X20" s="140">
        <v>8</v>
      </c>
      <c r="Y20" s="140">
        <v>8</v>
      </c>
      <c r="Z20" s="140">
        <v>8</v>
      </c>
      <c r="AA20" s="140">
        <v>8</v>
      </c>
      <c r="AB20" s="140"/>
      <c r="AC20" s="140">
        <v>8</v>
      </c>
      <c r="AD20" s="140">
        <v>8</v>
      </c>
      <c r="AE20" s="140">
        <v>8</v>
      </c>
      <c r="AF20" s="140">
        <v>8</v>
      </c>
      <c r="AG20" s="140">
        <v>8</v>
      </c>
      <c r="AH20" s="140">
        <v>8</v>
      </c>
      <c r="AI20" s="140"/>
      <c r="AJ20" s="224"/>
      <c r="AK20" s="241">
        <f>((SUM(F20:AI20))/8)-(SUMIF($F$6:$AI$6,"C.Nhật",F20:AI20)/8)</f>
        <v>25</v>
      </c>
      <c r="AL20" s="241">
        <f>SUM(F21:AI21)/8*1.5</f>
        <v>0</v>
      </c>
      <c r="AM20" s="245">
        <f>SUMIF($F$6:$AI$6,"C.Nhật",$F20:$AI21)/8*2</f>
        <v>0</v>
      </c>
      <c r="AN20" s="247">
        <f t="shared" ref="AN20" si="5">SUM(AK20:AM21)</f>
        <v>25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225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/>
      <c r="H22" s="140">
        <v>8</v>
      </c>
      <c r="I22" s="140">
        <v>8</v>
      </c>
      <c r="J22" s="140">
        <v>8</v>
      </c>
      <c r="K22" s="140">
        <v>8</v>
      </c>
      <c r="L22" s="140">
        <v>8</v>
      </c>
      <c r="M22" s="140">
        <v>8</v>
      </c>
      <c r="N22" s="140"/>
      <c r="O22" s="140">
        <v>8</v>
      </c>
      <c r="P22" s="140">
        <v>8</v>
      </c>
      <c r="Q22" s="140">
        <v>8</v>
      </c>
      <c r="R22" s="140">
        <v>8</v>
      </c>
      <c r="S22" s="140">
        <v>8</v>
      </c>
      <c r="T22" s="140">
        <v>8</v>
      </c>
      <c r="U22" s="140"/>
      <c r="V22" s="140">
        <v>8</v>
      </c>
      <c r="W22" s="140">
        <v>8</v>
      </c>
      <c r="X22" s="140">
        <v>8</v>
      </c>
      <c r="Y22" s="140">
        <v>8</v>
      </c>
      <c r="Z22" s="140">
        <v>8</v>
      </c>
      <c r="AA22" s="140">
        <v>8</v>
      </c>
      <c r="AB22" s="140"/>
      <c r="AC22" s="140">
        <v>8</v>
      </c>
      <c r="AD22" s="140">
        <v>8</v>
      </c>
      <c r="AE22" s="140">
        <v>8</v>
      </c>
      <c r="AF22" s="140">
        <v>8</v>
      </c>
      <c r="AG22" s="140">
        <v>8</v>
      </c>
      <c r="AH22" s="140">
        <v>8</v>
      </c>
      <c r="AI22" s="140"/>
      <c r="AJ22" s="224"/>
      <c r="AK22" s="241">
        <f>((SUM(F22:AI22))/8)-(SUMIF($F$6:$AI$6,"C.Nhật",F22:AI22)/8)</f>
        <v>25</v>
      </c>
      <c r="AL22" s="241">
        <f>SUM(F23:AI23)/8*1.5</f>
        <v>0</v>
      </c>
      <c r="AM22" s="245">
        <f>SUMIF($F$6:$AI$6,"C.Nhật",$F22:$AI23)/8*2</f>
        <v>0</v>
      </c>
      <c r="AN22" s="247">
        <f t="shared" ref="AN22" si="6">SUM(AK22:AM23)</f>
        <v>25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225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/>
      <c r="H24" s="140">
        <v>8</v>
      </c>
      <c r="I24" s="140">
        <v>8</v>
      </c>
      <c r="J24" s="140">
        <v>8</v>
      </c>
      <c r="K24" s="140">
        <v>8</v>
      </c>
      <c r="L24" s="140">
        <v>8</v>
      </c>
      <c r="M24" s="140">
        <v>8</v>
      </c>
      <c r="N24" s="140"/>
      <c r="O24" s="140">
        <v>8</v>
      </c>
      <c r="P24" s="140">
        <v>8</v>
      </c>
      <c r="Q24" s="140">
        <v>8</v>
      </c>
      <c r="R24" s="140">
        <v>8</v>
      </c>
      <c r="S24" s="140">
        <v>8</v>
      </c>
      <c r="T24" s="140">
        <v>8</v>
      </c>
      <c r="U24" s="140"/>
      <c r="V24" s="140">
        <v>8</v>
      </c>
      <c r="W24" s="140">
        <v>8</v>
      </c>
      <c r="X24" s="140">
        <v>8</v>
      </c>
      <c r="Y24" s="140">
        <v>8</v>
      </c>
      <c r="Z24" s="140">
        <v>8</v>
      </c>
      <c r="AA24" s="140">
        <v>8</v>
      </c>
      <c r="AB24" s="140"/>
      <c r="AC24" s="140">
        <v>8</v>
      </c>
      <c r="AD24" s="140">
        <v>8</v>
      </c>
      <c r="AE24" s="140">
        <v>8</v>
      </c>
      <c r="AF24" s="140">
        <v>8</v>
      </c>
      <c r="AG24" s="140">
        <v>8</v>
      </c>
      <c r="AH24" s="140">
        <v>8</v>
      </c>
      <c r="AI24" s="140"/>
      <c r="AJ24" s="224"/>
      <c r="AK24" s="241">
        <f>((SUM(F24:AI24))/8)-(SUMIF($F$6:$AI$6,"C.Nhật",F24:AI24)/8)</f>
        <v>25</v>
      </c>
      <c r="AL24" s="241">
        <f>SUM(F25:AI25)/8*1.5</f>
        <v>0</v>
      </c>
      <c r="AM24" s="245">
        <f>SUMIF($F$6:$AI$6,"C.Nhật",$F24:$AI25)/8*2</f>
        <v>0</v>
      </c>
      <c r="AN24" s="247">
        <f t="shared" ref="AN24" si="7">SUM(AK24:AM25)</f>
        <v>25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225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/>
      <c r="H26" s="140">
        <v>8</v>
      </c>
      <c r="I26" s="140">
        <v>8</v>
      </c>
      <c r="J26" s="140">
        <v>8</v>
      </c>
      <c r="K26" s="140">
        <v>8</v>
      </c>
      <c r="L26" s="140">
        <v>8</v>
      </c>
      <c r="M26" s="140">
        <v>8</v>
      </c>
      <c r="N26" s="140"/>
      <c r="O26" s="140">
        <v>8</v>
      </c>
      <c r="P26" s="140">
        <v>8</v>
      </c>
      <c r="Q26" s="140">
        <v>8</v>
      </c>
      <c r="R26" s="140">
        <v>8</v>
      </c>
      <c r="S26" s="140">
        <v>8</v>
      </c>
      <c r="T26" s="140">
        <v>8</v>
      </c>
      <c r="U26" s="140"/>
      <c r="V26" s="140">
        <v>8</v>
      </c>
      <c r="W26" s="140">
        <v>8</v>
      </c>
      <c r="X26" s="140">
        <v>8</v>
      </c>
      <c r="Y26" s="140">
        <v>8</v>
      </c>
      <c r="Z26" s="140">
        <v>8</v>
      </c>
      <c r="AA26" s="140">
        <v>8</v>
      </c>
      <c r="AB26" s="140"/>
      <c r="AC26" s="140">
        <v>8</v>
      </c>
      <c r="AD26" s="140">
        <v>8</v>
      </c>
      <c r="AE26" s="140">
        <v>8</v>
      </c>
      <c r="AF26" s="140">
        <v>8</v>
      </c>
      <c r="AG26" s="140">
        <v>8</v>
      </c>
      <c r="AH26" s="140">
        <v>8</v>
      </c>
      <c r="AI26" s="140"/>
      <c r="AJ26" s="224"/>
      <c r="AK26" s="241">
        <f>((SUM(F26:AI26))/8)-(SUMIF($F$6:$AI$6,"C.Nhật",F26:AI26)/8)</f>
        <v>25</v>
      </c>
      <c r="AL26" s="241">
        <f>SUM(F27:AI27)/8*1.5</f>
        <v>0</v>
      </c>
      <c r="AM26" s="245">
        <f>SUMIF($F$6:$AI$6,"C.Nhật",$F26:$AI27)/8*2</f>
        <v>0</v>
      </c>
      <c r="AN26" s="247">
        <f t="shared" ref="AN26" si="8">SUM(AK26:AM27)</f>
        <v>25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225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/>
      <c r="H28" s="140">
        <v>8</v>
      </c>
      <c r="I28" s="140">
        <v>8</v>
      </c>
      <c r="J28" s="140">
        <v>8</v>
      </c>
      <c r="K28" s="140">
        <v>8</v>
      </c>
      <c r="L28" s="140">
        <v>8</v>
      </c>
      <c r="M28" s="140">
        <v>8</v>
      </c>
      <c r="N28" s="140"/>
      <c r="O28" s="140">
        <v>8</v>
      </c>
      <c r="P28" s="140">
        <v>8</v>
      </c>
      <c r="Q28" s="140">
        <v>8</v>
      </c>
      <c r="R28" s="140">
        <v>8</v>
      </c>
      <c r="S28" s="140">
        <v>8</v>
      </c>
      <c r="T28" s="140">
        <v>8</v>
      </c>
      <c r="U28" s="140"/>
      <c r="V28" s="140">
        <v>8</v>
      </c>
      <c r="W28" s="140">
        <v>8</v>
      </c>
      <c r="X28" s="140">
        <v>8</v>
      </c>
      <c r="Y28" s="140">
        <v>8</v>
      </c>
      <c r="Z28" s="140">
        <v>8</v>
      </c>
      <c r="AA28" s="140">
        <v>8</v>
      </c>
      <c r="AB28" s="140"/>
      <c r="AC28" s="140">
        <v>8</v>
      </c>
      <c r="AD28" s="140">
        <v>8</v>
      </c>
      <c r="AE28" s="140">
        <v>8</v>
      </c>
      <c r="AF28" s="140">
        <v>8</v>
      </c>
      <c r="AG28" s="140">
        <v>8</v>
      </c>
      <c r="AH28" s="140">
        <v>8</v>
      </c>
      <c r="AI28" s="140"/>
      <c r="AJ28" s="224"/>
      <c r="AK28" s="241">
        <f>((SUM(F28:AI28))/8)-(SUMIF($F$6:$AI$6,"C.Nhật",F28:AI28)/8)</f>
        <v>25</v>
      </c>
      <c r="AL28" s="241">
        <f>SUM(F29:AI29)/8*1.5</f>
        <v>0</v>
      </c>
      <c r="AM28" s="245">
        <f>SUMIF($F$6:$AI$6,"C.Nhật",$F28:$AI29)/8*2</f>
        <v>0</v>
      </c>
      <c r="AN28" s="247">
        <f t="shared" ref="AN28" si="9">SUM(AK28:AM29)</f>
        <v>25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225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</mergeCells>
  <conditionalFormatting sqref="F5:AJ6 F9:AJ10 F13:AJ14">
    <cfRule type="expression" dxfId="25" priority="63" stopIfTrue="1">
      <formula>IF(WEEKDAY(F$5)=1,TRUE,FALSE)</formula>
    </cfRule>
  </conditionalFormatting>
  <conditionalFormatting sqref="F13:AJ14">
    <cfRule type="expression" dxfId="24" priority="62" stopIfTrue="1">
      <formula>IF(WEEKDAY(F$5)=1,TRUE,FALSE)</formula>
    </cfRule>
  </conditionalFormatting>
  <conditionalFormatting sqref="AJ16:AJ17 AJ26:AJ29">
    <cfRule type="expression" dxfId="23" priority="14" stopIfTrue="1">
      <formula>IF(WEEKDAY(AJ$5)=1,TRUE,FALSE)</formula>
    </cfRule>
  </conditionalFormatting>
  <conditionalFormatting sqref="AJ26:AJ27">
    <cfRule type="expression" dxfId="22" priority="13" stopIfTrue="1">
      <formula>IF(WEEKDAY(AJ$5)=1,TRUE,FALSE)</formula>
    </cfRule>
  </conditionalFormatting>
  <conditionalFormatting sqref="F16:AI17 F26:AI29">
    <cfRule type="expression" dxfId="21" priority="12" stopIfTrue="1">
      <formula>IF(WEEKDAY(F$5)=1,TRUE,FALSE)</formula>
    </cfRule>
  </conditionalFormatting>
  <conditionalFormatting sqref="F26:AI27">
    <cfRule type="expression" dxfId="20" priority="11" stopIfTrue="1">
      <formula>IF(WEEKDAY(F$5)=1,TRUE,FALSE)</formula>
    </cfRule>
  </conditionalFormatting>
  <conditionalFormatting sqref="F11:AJ12">
    <cfRule type="expression" dxfId="19" priority="10" stopIfTrue="1">
      <formula>IF(WEEKDAY(F$5)=1,TRUE,FALSE)</formula>
    </cfRule>
  </conditionalFormatting>
  <conditionalFormatting sqref="F11:AJ12">
    <cfRule type="expression" dxfId="18" priority="9" stopIfTrue="1">
      <formula>IF(WEEKDAY(F$5)=1,TRUE,FALSE)</formula>
    </cfRule>
  </conditionalFormatting>
  <conditionalFormatting sqref="AJ22:AJ25">
    <cfRule type="expression" dxfId="17" priority="8" stopIfTrue="1">
      <formula>IF(WEEKDAY(AJ$5)=1,TRUE,FALSE)</formula>
    </cfRule>
  </conditionalFormatting>
  <conditionalFormatting sqref="AJ22:AJ23">
    <cfRule type="expression" dxfId="16" priority="7" stopIfTrue="1">
      <formula>IF(WEEKDAY(AJ$5)=1,TRUE,FALSE)</formula>
    </cfRule>
  </conditionalFormatting>
  <conditionalFormatting sqref="F22:AI25">
    <cfRule type="expression" dxfId="15" priority="6" stopIfTrue="1">
      <formula>IF(WEEKDAY(F$5)=1,TRUE,FALSE)</formula>
    </cfRule>
  </conditionalFormatting>
  <conditionalFormatting sqref="F22:AI23">
    <cfRule type="expression" dxfId="14" priority="5" stopIfTrue="1">
      <formula>IF(WEEKDAY(F$5)=1,TRUE,FALSE)</formula>
    </cfRule>
  </conditionalFormatting>
  <conditionalFormatting sqref="AJ18:AJ21">
    <cfRule type="expression" dxfId="13" priority="4" stopIfTrue="1">
      <formula>IF(WEEKDAY(AJ$5)=1,TRUE,FALSE)</formula>
    </cfRule>
  </conditionalFormatting>
  <conditionalFormatting sqref="AJ18:AJ19">
    <cfRule type="expression" dxfId="12" priority="3" stopIfTrue="1">
      <formula>IF(WEEKDAY(AJ$5)=1,TRUE,FALSE)</formula>
    </cfRule>
  </conditionalFormatting>
  <conditionalFormatting sqref="F18:AI21">
    <cfRule type="expression" dxfId="11" priority="2" stopIfTrue="1">
      <formula>IF(WEEKDAY(F$5)=1,TRUE,FALSE)</formula>
    </cfRule>
  </conditionalFormatting>
  <conditionalFormatting sqref="F18:AI19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8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6" t="str">
        <f>"BẢNG THANH TOÁN LƯƠNG THÁNG"&amp;" "&amp;TEXT($E$4,"mm")&amp;" / "&amp;TEXT($E$4,"yyyy")</f>
        <v>BẢNG THANH TOÁN LƯƠNG THÁNG 11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25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-11'!$E$4</f>
        <v>41944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5" t="s">
        <v>40</v>
      </c>
      <c r="G7" s="212" t="s">
        <v>18</v>
      </c>
      <c r="H7" s="215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-11'!$B$8:$AS$29,36,0)</f>
        <v>25</v>
      </c>
      <c r="G10" s="142">
        <f>ROUND(E10/$U$2*F10,0)</f>
        <v>4500000</v>
      </c>
      <c r="H10" s="89">
        <f>(VLOOKUP(B10,'CC -11'!$B$8:$AS$29,37,0)+VLOOKUP(B10,'CC -11'!$B$8:$AS$29,38,0))</f>
        <v>0</v>
      </c>
      <c r="I10" s="142">
        <f t="shared" ref="I10:I12" si="2">ROUND(E10/$U$2*H10,0)</f>
        <v>0</v>
      </c>
      <c r="J10" s="90">
        <f t="shared" ref="J10:K12" si="3">F10+H10</f>
        <v>25</v>
      </c>
      <c r="K10" s="37">
        <f>G10+I10</f>
        <v>4500000</v>
      </c>
      <c r="L10" s="87">
        <f t="shared" ref="L10:L12" si="4">+F10*15000</f>
        <v>375000</v>
      </c>
      <c r="M10" s="38">
        <f t="shared" ref="M10:M12" si="5">K10+L10</f>
        <v>4875000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6">M10-SUM(N10:P10)</f>
        <v>4875000</v>
      </c>
      <c r="R10" s="37">
        <f>VLOOKUP(B10,DS,23,0)</f>
        <v>0</v>
      </c>
      <c r="S10" s="43">
        <f t="shared" ref="S10:S12" si="7">Q10-R10</f>
        <v>4875000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8">VLOOKUP(B11,DS,2,0)</f>
        <v>Trần Anh Nhựt</v>
      </c>
      <c r="D11" s="113" t="str">
        <f t="shared" ref="D11" si="9">VLOOKUP(B11,DS,3,0)</f>
        <v>Thiết Kế</v>
      </c>
      <c r="E11" s="87">
        <f>VLOOKUP(B11,DS,5,0)</f>
        <v>4500000</v>
      </c>
      <c r="F11" s="89">
        <f>VLOOKUP(B11,'CC -11'!$B$8:$AS$29,36,0)</f>
        <v>25</v>
      </c>
      <c r="G11" s="142">
        <f t="shared" ref="G11" si="10">ROUND(E11/$U$2*F11,0)</f>
        <v>4500000</v>
      </c>
      <c r="H11" s="89">
        <f>(VLOOKUP(B11,'CC -11'!$B$8:$AS$29,37,0)+VLOOKUP(B11,'CC -11'!$B$8:$AS$29,38,0))</f>
        <v>0</v>
      </c>
      <c r="I11" s="142">
        <f t="shared" ref="I11" si="11">ROUND(E11/$U$2*H11,0)</f>
        <v>0</v>
      </c>
      <c r="J11" s="90">
        <f t="shared" ref="J11" si="12">F11+H11</f>
        <v>25</v>
      </c>
      <c r="K11" s="37">
        <f t="shared" ref="K11" si="13">G11+I11</f>
        <v>4500000</v>
      </c>
      <c r="L11" s="87">
        <f t="shared" ref="L11" si="14">+F11*15000</f>
        <v>375000</v>
      </c>
      <c r="M11" s="38">
        <f t="shared" ref="M11" si="15">K11+L11</f>
        <v>4875000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6">M11-SUM(N11:P11)</f>
        <v>4875000</v>
      </c>
      <c r="R11" s="37">
        <f>VLOOKUP(B11,DS,23,0)</f>
        <v>0</v>
      </c>
      <c r="S11" s="43">
        <f t="shared" ref="S11" si="17">Q11-R11</f>
        <v>4875000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-11'!$B$8:$AS$29,36,0)</f>
        <v>25</v>
      </c>
      <c r="G12" s="142">
        <f t="shared" ref="G12" si="18">ROUND(E12/$U$2*F12,0)</f>
        <v>5000000</v>
      </c>
      <c r="H12" s="89">
        <f>(VLOOKUP(B12,'CC -11'!$B$8:$AS$29,37,0)+VLOOKUP(B12,'CC -11'!$B$8:$AS$29,38,0))</f>
        <v>0</v>
      </c>
      <c r="I12" s="142">
        <f t="shared" si="2"/>
        <v>0</v>
      </c>
      <c r="J12" s="90">
        <f t="shared" si="3"/>
        <v>25</v>
      </c>
      <c r="K12" s="37">
        <f t="shared" si="3"/>
        <v>5000000</v>
      </c>
      <c r="L12" s="87">
        <f t="shared" si="4"/>
        <v>375000</v>
      </c>
      <c r="M12" s="38">
        <f t="shared" si="5"/>
        <v>5375000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6"/>
        <v>5375000</v>
      </c>
      <c r="R12" s="37">
        <f>VLOOKUP(B12,DS,23,0)</f>
        <v>0</v>
      </c>
      <c r="S12" s="43">
        <f t="shared" si="7"/>
        <v>5375000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SUM(E9:E13)</f>
        <v>14000000</v>
      </c>
      <c r="F14" s="137"/>
      <c r="G14" s="137">
        <f>SUM(G9:G13)</f>
        <v>14000000</v>
      </c>
      <c r="H14" s="137"/>
      <c r="I14" s="137">
        <f>SUM(I9:I13)</f>
        <v>0</v>
      </c>
      <c r="J14" s="137"/>
      <c r="K14" s="137">
        <f t="shared" ref="K14:S14" si="19">SUM(K9:K13)</f>
        <v>14000000</v>
      </c>
      <c r="L14" s="137">
        <f t="shared" si="19"/>
        <v>1125000</v>
      </c>
      <c r="M14" s="137">
        <f t="shared" si="19"/>
        <v>15125000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15125000</v>
      </c>
      <c r="R14" s="137">
        <f t="shared" si="19"/>
        <v>0</v>
      </c>
      <c r="S14" s="137">
        <f t="shared" si="19"/>
        <v>15125000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>VLOOKUP(B16,DS,5,0)</f>
        <v>4500000</v>
      </c>
      <c r="F16" s="89">
        <f>VLOOKUP(B16,'CC -11'!$B$8:$AS$29,36,0)</f>
        <v>25</v>
      </c>
      <c r="G16" s="142">
        <f t="shared" ref="G16:G20" si="22">ROUND(E16/$U$2*F16,0)</f>
        <v>4500000</v>
      </c>
      <c r="H16" s="89">
        <f>(VLOOKUP(B16,'CC -11'!$B$8:$AS$29,37,0)+VLOOKUP(B16,'CC -11'!$B$8:$AS$29,38,0))</f>
        <v>0</v>
      </c>
      <c r="I16" s="142">
        <f t="shared" ref="I16:I20" si="23">ROUND(E16/$U$2*H16,0)</f>
        <v>0</v>
      </c>
      <c r="J16" s="143">
        <f t="shared" ref="J16:K20" si="24">F16+H16</f>
        <v>25</v>
      </c>
      <c r="K16" s="37">
        <f t="shared" si="24"/>
        <v>4500000</v>
      </c>
      <c r="L16" s="87">
        <f t="shared" ref="L16:L20" si="25">+F16*15000</f>
        <v>375000</v>
      </c>
      <c r="M16" s="38">
        <f t="shared" ref="M16:M20" si="26">K16+L16</f>
        <v>4875000</v>
      </c>
      <c r="N16" s="38">
        <f>IF(VLOOKUP(B16,DS,9,0)="x",'L - 11'!E16*$N$4,0)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4875000</v>
      </c>
      <c r="R16" s="37">
        <f t="shared" ref="R16:R20" si="29">VLOOKUP(B16,DS,23,0)</f>
        <v>0</v>
      </c>
      <c r="S16" s="43">
        <f>Q16-R16</f>
        <v>4875000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>VLOOKUP(B17,DS,5,0)</f>
        <v>4500000</v>
      </c>
      <c r="F17" s="89">
        <f>VLOOKUP(B17,'CC -11'!$B$8:$AS$29,36,0)</f>
        <v>25</v>
      </c>
      <c r="G17" s="142">
        <f t="shared" ref="G17:G18" si="32">ROUND(E17/$U$2*F17,0)</f>
        <v>4500000</v>
      </c>
      <c r="H17" s="89">
        <f>(VLOOKUP(B17,'CC -11'!$B$8:$AS$29,37,0)+VLOOKUP(B17,'CC -11'!$B$8:$AS$29,38,0))</f>
        <v>0</v>
      </c>
      <c r="I17" s="142">
        <f t="shared" ref="I17:I18" si="33">ROUND(E17/$U$2*H17,0)</f>
        <v>0</v>
      </c>
      <c r="J17" s="143">
        <f t="shared" ref="J17:J18" si="34">F17+H17</f>
        <v>25</v>
      </c>
      <c r="K17" s="37">
        <f t="shared" ref="K17:K18" si="35">G17+I17</f>
        <v>4500000</v>
      </c>
      <c r="L17" s="87">
        <f t="shared" ref="L17:L18" si="36">+F17*15000</f>
        <v>375000</v>
      </c>
      <c r="M17" s="38">
        <f t="shared" ref="M17:M18" si="37">K17+L17</f>
        <v>4875000</v>
      </c>
      <c r="N17" s="38">
        <f>IF(VLOOKUP(B17,DS,9,0)="x",'L - 11'!E17*$N$4,0)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4875000</v>
      </c>
      <c r="R17" s="37">
        <f t="shared" ref="R17:R18" si="41">VLOOKUP(B17,DS,23,0)</f>
        <v>0</v>
      </c>
      <c r="S17" s="43">
        <f t="shared" ref="S17:S18" si="42">Q17-R17</f>
        <v>4875000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>VLOOKUP(B18,DS,5,0)</f>
        <v>3700000</v>
      </c>
      <c r="F18" s="89">
        <f>VLOOKUP(B18,'CC -11'!$B$8:$AS$29,36,0)</f>
        <v>25</v>
      </c>
      <c r="G18" s="142">
        <f t="shared" si="32"/>
        <v>3700000</v>
      </c>
      <c r="H18" s="89">
        <f>(VLOOKUP(B18,'CC -11'!$B$8:$AS$29,37,0)+VLOOKUP(B18,'CC -11'!$B$8:$AS$29,38,0))</f>
        <v>0</v>
      </c>
      <c r="I18" s="142">
        <f t="shared" si="33"/>
        <v>0</v>
      </c>
      <c r="J18" s="143">
        <f t="shared" si="34"/>
        <v>25</v>
      </c>
      <c r="K18" s="37">
        <f t="shared" si="35"/>
        <v>3700000</v>
      </c>
      <c r="L18" s="87">
        <f t="shared" si="36"/>
        <v>375000</v>
      </c>
      <c r="M18" s="38">
        <f t="shared" si="37"/>
        <v>4075000</v>
      </c>
      <c r="N18" s="38">
        <f>IF(VLOOKUP(B18,DS,9,0)="x",'L - 11'!E18*$N$4,0)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4075000</v>
      </c>
      <c r="R18" s="37">
        <f t="shared" si="41"/>
        <v>0</v>
      </c>
      <c r="S18" s="43">
        <f t="shared" si="42"/>
        <v>4075000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>VLOOKUP(B19,DS,5,0)</f>
        <v>3700000</v>
      </c>
      <c r="F19" s="89">
        <f>VLOOKUP(B19,'CC -11'!$B$8:$AS$29,36,0)</f>
        <v>25</v>
      </c>
      <c r="G19" s="142">
        <f t="shared" si="22"/>
        <v>3700000</v>
      </c>
      <c r="H19" s="89">
        <f>(VLOOKUP(B19,'CC -11'!$B$8:$AS$29,37,0)+VLOOKUP(B19,'CC -11'!$B$8:$AS$29,38,0))</f>
        <v>0</v>
      </c>
      <c r="I19" s="142">
        <f t="shared" si="23"/>
        <v>0</v>
      </c>
      <c r="J19" s="143">
        <f t="shared" si="24"/>
        <v>25</v>
      </c>
      <c r="K19" s="37">
        <f t="shared" si="24"/>
        <v>3700000</v>
      </c>
      <c r="L19" s="87">
        <f t="shared" si="25"/>
        <v>375000</v>
      </c>
      <c r="M19" s="38">
        <f t="shared" si="26"/>
        <v>4075000</v>
      </c>
      <c r="N19" s="38">
        <f>IF(VLOOKUP(B19,DS,9,0)="x",'L - 11'!E19*$N$4,0)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4075000</v>
      </c>
      <c r="R19" s="37">
        <f t="shared" si="29"/>
        <v>0</v>
      </c>
      <c r="S19" s="43">
        <f t="shared" ref="S19:S20" si="44">Q19-R19</f>
        <v>4075000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>VLOOKUP(B20,DS,5,0)</f>
        <v>4500000</v>
      </c>
      <c r="F20" s="89">
        <f>VLOOKUP(B20,'CC -11'!$B$8:$AS$29,36,0)</f>
        <v>25</v>
      </c>
      <c r="G20" s="142">
        <f t="shared" si="22"/>
        <v>4500000</v>
      </c>
      <c r="H20" s="89">
        <f>(VLOOKUP(B20,'CC -11'!$B$8:$AS$29,37,0)+VLOOKUP(B20,'CC -11'!$B$8:$AS$29,38,0))</f>
        <v>0</v>
      </c>
      <c r="I20" s="142">
        <f t="shared" si="23"/>
        <v>0</v>
      </c>
      <c r="J20" s="143">
        <f t="shared" si="24"/>
        <v>25</v>
      </c>
      <c r="K20" s="37">
        <f t="shared" si="24"/>
        <v>4500000</v>
      </c>
      <c r="L20" s="87">
        <f t="shared" si="25"/>
        <v>375000</v>
      </c>
      <c r="M20" s="38">
        <f t="shared" si="26"/>
        <v>4875000</v>
      </c>
      <c r="N20" s="38">
        <f>IF(VLOOKUP(B20,DS,9,0)="x",'L - 11'!E20*$N$4,0)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4875000</v>
      </c>
      <c r="R20" s="37">
        <f t="shared" si="29"/>
        <v>0</v>
      </c>
      <c r="S20" s="43">
        <f t="shared" si="44"/>
        <v>4875000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>VLOOKUP(B21,DS,5,0)</f>
        <v>3700000</v>
      </c>
      <c r="F21" s="89">
        <f>VLOOKUP(B21,'CC -11'!$B$8:$AS$29,36,0)</f>
        <v>25</v>
      </c>
      <c r="G21" s="142">
        <f t="shared" ref="G21:G22" si="47">ROUND(E21/$U$2*F21,0)</f>
        <v>3700000</v>
      </c>
      <c r="H21" s="89">
        <f>(VLOOKUP(B21,'CC -11'!$B$8:$AS$29,37,0)+VLOOKUP(B21,'CC -11'!$B$8:$AS$29,38,0))</f>
        <v>0</v>
      </c>
      <c r="I21" s="142">
        <f t="shared" ref="I21:I22" si="48">ROUND(E21/$U$2*H21,0)</f>
        <v>0</v>
      </c>
      <c r="J21" s="143">
        <f t="shared" ref="J21:J22" si="49">F21+H21</f>
        <v>25</v>
      </c>
      <c r="K21" s="37">
        <f t="shared" ref="K21:K22" si="50">G21+I21</f>
        <v>3700000</v>
      </c>
      <c r="L21" s="87">
        <f t="shared" ref="L21:L22" si="51">+F21*15000</f>
        <v>375000</v>
      </c>
      <c r="M21" s="38">
        <f t="shared" ref="M21:M22" si="52">K21+L21</f>
        <v>4075000</v>
      </c>
      <c r="N21" s="38">
        <f>IF(VLOOKUP(B21,DS,9,0)="x",'L - 11'!E21*$N$4,0)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4075000</v>
      </c>
      <c r="R21" s="37">
        <f t="shared" ref="R21:R22" si="56">VLOOKUP(B21,DS,23,0)</f>
        <v>0</v>
      </c>
      <c r="S21" s="43">
        <f t="shared" ref="S21:S22" si="57">Q21-R21</f>
        <v>4075000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>VLOOKUP(B22,DS,5,0)</f>
        <v>3700000</v>
      </c>
      <c r="F22" s="89">
        <f>VLOOKUP(B22,'CC -11'!$B$8:$AS$29,36,0)</f>
        <v>25</v>
      </c>
      <c r="G22" s="142">
        <f t="shared" si="47"/>
        <v>3700000</v>
      </c>
      <c r="H22" s="89">
        <f>(VLOOKUP(B22,'CC -11'!$B$8:$AS$29,37,0)+VLOOKUP(B22,'CC -11'!$B$8:$AS$29,38,0))</f>
        <v>0</v>
      </c>
      <c r="I22" s="142">
        <f t="shared" si="48"/>
        <v>0</v>
      </c>
      <c r="J22" s="143">
        <f t="shared" si="49"/>
        <v>25</v>
      </c>
      <c r="K22" s="37">
        <f t="shared" si="50"/>
        <v>3700000</v>
      </c>
      <c r="L22" s="87">
        <f t="shared" si="51"/>
        <v>375000</v>
      </c>
      <c r="M22" s="38">
        <f t="shared" si="52"/>
        <v>4075000</v>
      </c>
      <c r="N22" s="38">
        <f>IF(VLOOKUP(B22,DS,9,0)="x",'L - 11'!E22*$N$4,0)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4075000</v>
      </c>
      <c r="R22" s="37">
        <f t="shared" si="56"/>
        <v>0</v>
      </c>
      <c r="S22" s="43">
        <f t="shared" si="57"/>
        <v>4075000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2625000</v>
      </c>
      <c r="M24" s="137">
        <f t="shared" si="58"/>
        <v>30925000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30925000</v>
      </c>
      <c r="R24" s="137">
        <f t="shared" si="58"/>
        <v>0</v>
      </c>
      <c r="S24" s="137">
        <f t="shared" si="58"/>
        <v>30925000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11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AF16:IK22 Q16:S22 W16:W22 A16:B22" name="Range1_5"/>
    <protectedRange password="CC78" sqref="X16:AE22 U16:U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46"/>
  <sheetViews>
    <sheetView zoomScaleNormal="115" workbookViewId="0">
      <pane xSplit="3" ySplit="6" topLeftCell="D13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18" sqref="A18:B2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1" customWidth="1"/>
    <col min="5" max="5" width="7.140625" style="2" customWidth="1"/>
    <col min="6" max="33" width="3.42578125" style="120" customWidth="1"/>
    <col min="34" max="36" width="3.42578125" style="121" customWidth="1"/>
    <col min="37" max="38" width="4.42578125" style="2" customWidth="1"/>
    <col min="39" max="39" width="5.5703125" style="97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6"/>
      <c r="B1" s="51"/>
      <c r="C1" s="51"/>
      <c r="D1" s="55"/>
      <c r="E1" s="51"/>
      <c r="F1" s="55"/>
      <c r="G1" s="55"/>
      <c r="H1" s="55"/>
      <c r="I1" s="55"/>
      <c r="J1" s="55"/>
      <c r="K1" s="116"/>
      <c r="L1" s="116"/>
      <c r="M1" s="116"/>
      <c r="N1" s="116"/>
      <c r="O1" s="116"/>
      <c r="P1" s="116"/>
      <c r="Q1" s="116"/>
      <c r="R1" s="116"/>
      <c r="S1" s="53" t="str">
        <f>CONCATENATE("BẢNG CHẤM CÔNG THÁNG ",TEXT($E$4,"mm")," NĂM ",TEXT($E$4,"yyyy"))</f>
        <v>BẢNG CHẤM CÔNG THÁNG 12 NĂM 2014</v>
      </c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52"/>
      <c r="AL1" s="52"/>
      <c r="AM1" s="258" t="s">
        <v>175</v>
      </c>
      <c r="AN1" s="259"/>
      <c r="AO1" s="259"/>
      <c r="AP1" s="259"/>
      <c r="AQ1" s="259"/>
      <c r="AR1" s="259"/>
      <c r="AS1" s="260"/>
      <c r="AT1" s="54"/>
    </row>
    <row r="2" spans="1:91" ht="20.25">
      <c r="A2" s="136"/>
      <c r="B2" s="55"/>
      <c r="C2" s="55"/>
      <c r="D2" s="55"/>
      <c r="E2" s="55"/>
      <c r="F2" s="55"/>
      <c r="G2" s="55"/>
      <c r="H2" s="55"/>
      <c r="I2" s="55"/>
      <c r="J2" s="55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52"/>
      <c r="AL2" s="52"/>
      <c r="AM2" s="93"/>
      <c r="AN2" s="56"/>
      <c r="AO2" s="56"/>
      <c r="AP2" s="56"/>
      <c r="AQ2" s="56"/>
      <c r="AR2" s="56"/>
      <c r="AS2" s="92"/>
      <c r="AT2" s="92"/>
    </row>
    <row r="3" spans="1:91" ht="21" customHeight="1">
      <c r="A3" s="136"/>
      <c r="B3" s="57"/>
      <c r="C3" s="57"/>
      <c r="D3" s="58"/>
      <c r="E3" s="58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52"/>
      <c r="AL3" s="52"/>
      <c r="AM3" s="93"/>
      <c r="AN3" s="54"/>
      <c r="AO3" s="54"/>
      <c r="AP3" s="54"/>
      <c r="AQ3" s="54"/>
      <c r="AR3" s="54"/>
      <c r="AS3" s="59"/>
      <c r="AT3" s="59"/>
    </row>
    <row r="4" spans="1:91" ht="14.25" customHeight="1">
      <c r="A4" s="60"/>
      <c r="B4" s="60"/>
      <c r="C4" s="153"/>
      <c r="D4" s="152"/>
      <c r="E4" s="61">
        <v>41974</v>
      </c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3"/>
      <c r="AI4" s="63"/>
      <c r="AJ4" s="63"/>
      <c r="AK4" s="60"/>
      <c r="AL4" s="60"/>
      <c r="AM4" s="94"/>
      <c r="AN4" s="60"/>
      <c r="AO4" s="60"/>
      <c r="AP4" s="60"/>
      <c r="AQ4" s="60"/>
      <c r="AR4" s="60"/>
      <c r="AS4" s="60"/>
      <c r="AT4" s="98"/>
    </row>
    <row r="5" spans="1:91" s="64" customFormat="1" ht="18.75" customHeight="1">
      <c r="A5" s="261" t="s">
        <v>28</v>
      </c>
      <c r="B5" s="261" t="s">
        <v>3</v>
      </c>
      <c r="C5" s="261" t="s">
        <v>1</v>
      </c>
      <c r="D5" s="263" t="s">
        <v>29</v>
      </c>
      <c r="E5" s="261" t="s">
        <v>30</v>
      </c>
      <c r="F5" s="115">
        <f>+E4</f>
        <v>41974</v>
      </c>
      <c r="G5" s="115">
        <f t="shared" ref="G5:AJ5" si="0">F5+1</f>
        <v>41975</v>
      </c>
      <c r="H5" s="115">
        <f t="shared" si="0"/>
        <v>41976</v>
      </c>
      <c r="I5" s="115">
        <f t="shared" si="0"/>
        <v>41977</v>
      </c>
      <c r="J5" s="115">
        <f t="shared" si="0"/>
        <v>41978</v>
      </c>
      <c r="K5" s="115">
        <f t="shared" si="0"/>
        <v>41979</v>
      </c>
      <c r="L5" s="115">
        <f t="shared" si="0"/>
        <v>41980</v>
      </c>
      <c r="M5" s="115">
        <f t="shared" si="0"/>
        <v>41981</v>
      </c>
      <c r="N5" s="115">
        <f t="shared" si="0"/>
        <v>41982</v>
      </c>
      <c r="O5" s="115">
        <f t="shared" si="0"/>
        <v>41983</v>
      </c>
      <c r="P5" s="115">
        <f t="shared" si="0"/>
        <v>41984</v>
      </c>
      <c r="Q5" s="115">
        <f t="shared" si="0"/>
        <v>41985</v>
      </c>
      <c r="R5" s="115">
        <f t="shared" si="0"/>
        <v>41986</v>
      </c>
      <c r="S5" s="115">
        <f t="shared" si="0"/>
        <v>41987</v>
      </c>
      <c r="T5" s="115">
        <f t="shared" si="0"/>
        <v>41988</v>
      </c>
      <c r="U5" s="115">
        <f t="shared" si="0"/>
        <v>41989</v>
      </c>
      <c r="V5" s="115">
        <f t="shared" si="0"/>
        <v>41990</v>
      </c>
      <c r="W5" s="115">
        <f t="shared" si="0"/>
        <v>41991</v>
      </c>
      <c r="X5" s="115">
        <f t="shared" si="0"/>
        <v>41992</v>
      </c>
      <c r="Y5" s="115">
        <f t="shared" si="0"/>
        <v>41993</v>
      </c>
      <c r="Z5" s="115">
        <f t="shared" si="0"/>
        <v>41994</v>
      </c>
      <c r="AA5" s="115">
        <f t="shared" si="0"/>
        <v>41995</v>
      </c>
      <c r="AB5" s="115">
        <f t="shared" si="0"/>
        <v>41996</v>
      </c>
      <c r="AC5" s="115">
        <f t="shared" si="0"/>
        <v>41997</v>
      </c>
      <c r="AD5" s="115">
        <f t="shared" si="0"/>
        <v>41998</v>
      </c>
      <c r="AE5" s="115">
        <f t="shared" si="0"/>
        <v>41999</v>
      </c>
      <c r="AF5" s="115">
        <f t="shared" si="0"/>
        <v>42000</v>
      </c>
      <c r="AG5" s="115">
        <f t="shared" si="0"/>
        <v>42001</v>
      </c>
      <c r="AH5" s="115">
        <f>AG5+1</f>
        <v>42002</v>
      </c>
      <c r="AI5" s="115">
        <f t="shared" si="0"/>
        <v>42003</v>
      </c>
      <c r="AJ5" s="115">
        <f t="shared" si="0"/>
        <v>42004</v>
      </c>
      <c r="AK5" s="264" t="s">
        <v>15</v>
      </c>
      <c r="AL5" s="265"/>
      <c r="AM5" s="266"/>
      <c r="AN5" s="267" t="s">
        <v>45</v>
      </c>
      <c r="AO5" s="267" t="s">
        <v>41</v>
      </c>
      <c r="AP5" s="267" t="s">
        <v>42</v>
      </c>
      <c r="AQ5" s="267" t="s">
        <v>43</v>
      </c>
      <c r="AR5" s="267" t="s">
        <v>44</v>
      </c>
      <c r="AS5" s="263" t="s">
        <v>0</v>
      </c>
      <c r="AT5" s="25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4" customFormat="1" ht="39.75" customHeight="1">
      <c r="A6" s="262"/>
      <c r="B6" s="262"/>
      <c r="C6" s="262"/>
      <c r="D6" s="262"/>
      <c r="E6" s="262"/>
      <c r="F6" s="171" t="str">
        <f>CHOOSE(WEEKDAY(F5),"C.Nhật","T.Hai","T.Ba","T.Tư","T.Năm","T.Sáu","T.Bảy")</f>
        <v>T.Hai</v>
      </c>
      <c r="G6" s="171" t="str">
        <f t="shared" ref="G6:AJ6" si="1">CHOOSE(WEEKDAY(G5),"C.Nhật","T.Hai","T.Ba","T.Tư","T.Năm","T.Sáu","T.Bảy")</f>
        <v>T.Ba</v>
      </c>
      <c r="H6" s="171" t="str">
        <f t="shared" si="1"/>
        <v>T.Tư</v>
      </c>
      <c r="I6" s="171" t="str">
        <f t="shared" si="1"/>
        <v>T.Năm</v>
      </c>
      <c r="J6" s="171" t="str">
        <f t="shared" si="1"/>
        <v>T.Sáu</v>
      </c>
      <c r="K6" s="171" t="str">
        <f t="shared" si="1"/>
        <v>T.Bảy</v>
      </c>
      <c r="L6" s="171" t="str">
        <f t="shared" si="1"/>
        <v>C.Nhật</v>
      </c>
      <c r="M6" s="171" t="str">
        <f t="shared" si="1"/>
        <v>T.Hai</v>
      </c>
      <c r="N6" s="171" t="str">
        <f t="shared" si="1"/>
        <v>T.Ba</v>
      </c>
      <c r="O6" s="171" t="str">
        <f t="shared" si="1"/>
        <v>T.Tư</v>
      </c>
      <c r="P6" s="171" t="str">
        <f t="shared" si="1"/>
        <v>T.Năm</v>
      </c>
      <c r="Q6" s="171" t="str">
        <f t="shared" si="1"/>
        <v>T.Sáu</v>
      </c>
      <c r="R6" s="171" t="str">
        <f t="shared" si="1"/>
        <v>T.Bảy</v>
      </c>
      <c r="S6" s="171" t="str">
        <f t="shared" si="1"/>
        <v>C.Nhật</v>
      </c>
      <c r="T6" s="171" t="str">
        <f t="shared" si="1"/>
        <v>T.Hai</v>
      </c>
      <c r="U6" s="171" t="str">
        <f t="shared" si="1"/>
        <v>T.Ba</v>
      </c>
      <c r="V6" s="171" t="str">
        <f t="shared" si="1"/>
        <v>T.Tư</v>
      </c>
      <c r="W6" s="171" t="str">
        <f t="shared" si="1"/>
        <v>T.Năm</v>
      </c>
      <c r="X6" s="171" t="str">
        <f t="shared" si="1"/>
        <v>T.Sáu</v>
      </c>
      <c r="Y6" s="171" t="str">
        <f t="shared" si="1"/>
        <v>T.Bảy</v>
      </c>
      <c r="Z6" s="171" t="str">
        <f t="shared" si="1"/>
        <v>C.Nhật</v>
      </c>
      <c r="AA6" s="171" t="str">
        <f t="shared" si="1"/>
        <v>T.Hai</v>
      </c>
      <c r="AB6" s="171" t="str">
        <f t="shared" si="1"/>
        <v>T.Ba</v>
      </c>
      <c r="AC6" s="171" t="str">
        <f t="shared" si="1"/>
        <v>T.Tư</v>
      </c>
      <c r="AD6" s="171" t="str">
        <f t="shared" si="1"/>
        <v>T.Năm</v>
      </c>
      <c r="AE6" s="171" t="str">
        <f t="shared" si="1"/>
        <v>T.Sáu</v>
      </c>
      <c r="AF6" s="171" t="str">
        <f t="shared" si="1"/>
        <v>T.Bảy</v>
      </c>
      <c r="AG6" s="171" t="str">
        <f t="shared" si="1"/>
        <v>C.Nhật</v>
      </c>
      <c r="AH6" s="171" t="str">
        <f t="shared" si="1"/>
        <v>T.Hai</v>
      </c>
      <c r="AI6" s="171" t="str">
        <f t="shared" si="1"/>
        <v>T.Ba</v>
      </c>
      <c r="AJ6" s="171" t="str">
        <f t="shared" si="1"/>
        <v>T.Tư</v>
      </c>
      <c r="AK6" s="172" t="s">
        <v>16</v>
      </c>
      <c r="AL6" s="172" t="s">
        <v>31</v>
      </c>
      <c r="AM6" s="173" t="s">
        <v>17</v>
      </c>
      <c r="AN6" s="268"/>
      <c r="AO6" s="268"/>
      <c r="AP6" s="268"/>
      <c r="AQ6" s="268"/>
      <c r="AR6" s="268"/>
      <c r="AS6" s="262"/>
      <c r="AT6" s="25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4" customFormat="1" ht="12.75" customHeight="1">
      <c r="A7" s="174">
        <v>1</v>
      </c>
      <c r="B7" s="174">
        <v>1</v>
      </c>
      <c r="C7" s="174">
        <v>2</v>
      </c>
      <c r="D7" s="174">
        <v>3</v>
      </c>
      <c r="E7" s="174">
        <v>4</v>
      </c>
      <c r="F7" s="174">
        <v>5</v>
      </c>
      <c r="G7" s="174">
        <v>6</v>
      </c>
      <c r="H7" s="174">
        <v>7</v>
      </c>
      <c r="I7" s="174">
        <v>8</v>
      </c>
      <c r="J7" s="174">
        <v>9</v>
      </c>
      <c r="K7" s="174">
        <v>10</v>
      </c>
      <c r="L7" s="174">
        <v>11</v>
      </c>
      <c r="M7" s="174">
        <v>12</v>
      </c>
      <c r="N7" s="174">
        <v>13</v>
      </c>
      <c r="O7" s="174">
        <v>14</v>
      </c>
      <c r="P7" s="174">
        <v>15</v>
      </c>
      <c r="Q7" s="174">
        <v>16</v>
      </c>
      <c r="R7" s="174">
        <v>17</v>
      </c>
      <c r="S7" s="174">
        <v>18</v>
      </c>
      <c r="T7" s="174">
        <v>19</v>
      </c>
      <c r="U7" s="174">
        <v>20</v>
      </c>
      <c r="V7" s="174">
        <v>21</v>
      </c>
      <c r="W7" s="174">
        <v>22</v>
      </c>
      <c r="X7" s="174">
        <v>23</v>
      </c>
      <c r="Y7" s="174">
        <v>24</v>
      </c>
      <c r="Z7" s="174">
        <v>25</v>
      </c>
      <c r="AA7" s="174">
        <v>26</v>
      </c>
      <c r="AB7" s="174">
        <v>27</v>
      </c>
      <c r="AC7" s="174">
        <v>28</v>
      </c>
      <c r="AD7" s="174">
        <v>29</v>
      </c>
      <c r="AE7" s="174">
        <v>30</v>
      </c>
      <c r="AF7" s="174">
        <v>31</v>
      </c>
      <c r="AG7" s="174">
        <v>32</v>
      </c>
      <c r="AH7" s="174">
        <v>33</v>
      </c>
      <c r="AI7" s="174">
        <v>34</v>
      </c>
      <c r="AJ7" s="174">
        <v>35</v>
      </c>
      <c r="AK7" s="174">
        <v>36</v>
      </c>
      <c r="AL7" s="174">
        <v>37</v>
      </c>
      <c r="AM7" s="174">
        <v>38</v>
      </c>
      <c r="AN7" s="174">
        <v>39</v>
      </c>
      <c r="AO7" s="174">
        <v>40</v>
      </c>
      <c r="AP7" s="174">
        <v>41</v>
      </c>
      <c r="AQ7" s="174">
        <v>42</v>
      </c>
      <c r="AR7" s="174">
        <v>43</v>
      </c>
      <c r="AS7" s="174">
        <v>44</v>
      </c>
      <c r="AT7" s="21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77" customFormat="1" ht="21" customHeight="1">
      <c r="A8" s="175" t="s">
        <v>155</v>
      </c>
      <c r="B8" s="178" t="s">
        <v>176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80"/>
      <c r="AT8" s="176"/>
    </row>
    <row r="9" spans="1:91" s="64" customFormat="1" ht="18" customHeight="1">
      <c r="A9" s="251">
        <v>1</v>
      </c>
      <c r="B9" s="251" t="s">
        <v>173</v>
      </c>
      <c r="C9" s="253" t="str">
        <f>VLOOKUP(B9,DS,2,0)</f>
        <v>Nguyễn Thị Thu Sương</v>
      </c>
      <c r="D9" s="255" t="str">
        <f>VLOOKUP(B9,DS,3,0)</f>
        <v>Kinh Doanh</v>
      </c>
      <c r="E9" s="65" t="s">
        <v>32</v>
      </c>
      <c r="F9" s="140">
        <v>8</v>
      </c>
      <c r="G9" s="140">
        <v>8</v>
      </c>
      <c r="H9" s="140">
        <v>8</v>
      </c>
      <c r="I9" s="140">
        <v>8</v>
      </c>
      <c r="J9" s="140">
        <v>8</v>
      </c>
      <c r="K9" s="140">
        <v>8</v>
      </c>
      <c r="L9" s="140"/>
      <c r="M9" s="140">
        <v>8</v>
      </c>
      <c r="N9" s="140">
        <v>8</v>
      </c>
      <c r="O9" s="140">
        <v>8</v>
      </c>
      <c r="P9" s="140">
        <v>8</v>
      </c>
      <c r="Q9" s="140">
        <v>8</v>
      </c>
      <c r="R9" s="140">
        <v>8</v>
      </c>
      <c r="S9" s="140"/>
      <c r="T9" s="140">
        <v>8</v>
      </c>
      <c r="U9" s="140">
        <v>8</v>
      </c>
      <c r="V9" s="140">
        <v>8</v>
      </c>
      <c r="W9" s="140">
        <v>8</v>
      </c>
      <c r="X9" s="140">
        <v>8</v>
      </c>
      <c r="Y9" s="140">
        <v>8</v>
      </c>
      <c r="Z9" s="140"/>
      <c r="AA9" s="140">
        <v>8</v>
      </c>
      <c r="AB9" s="140">
        <v>8</v>
      </c>
      <c r="AC9" s="140">
        <v>8</v>
      </c>
      <c r="AD9" s="140">
        <v>8</v>
      </c>
      <c r="AE9" s="140">
        <v>8</v>
      </c>
      <c r="AF9" s="140">
        <v>8</v>
      </c>
      <c r="AG9" s="140"/>
      <c r="AH9" s="140">
        <v>8</v>
      </c>
      <c r="AI9" s="140">
        <v>8</v>
      </c>
      <c r="AJ9" s="140">
        <v>8</v>
      </c>
      <c r="AK9" s="241">
        <f>((SUM(F9:AJ9))/8)-(SUMIF($F$6:$AJ$6,"C.Nhật",F9:AJ9)/8)</f>
        <v>27</v>
      </c>
      <c r="AL9" s="241">
        <f>SUM(F10:AJ10)/8*1.5</f>
        <v>0</v>
      </c>
      <c r="AM9" s="245">
        <f>SUMIF($F$6:$AJ$6,"C.Nhật",$F9:$AJ10)/8*2</f>
        <v>0</v>
      </c>
      <c r="AN9" s="247">
        <f>SUM(AK9:AM10)</f>
        <v>27</v>
      </c>
      <c r="AO9" s="249">
        <v>0</v>
      </c>
      <c r="AP9" s="247"/>
      <c r="AQ9" s="247"/>
      <c r="AR9" s="247"/>
      <c r="AS9" s="243"/>
      <c r="AT9" s="21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4" customFormat="1" ht="18" customHeight="1">
      <c r="A10" s="252"/>
      <c r="B10" s="252"/>
      <c r="C10" s="254"/>
      <c r="D10" s="256"/>
      <c r="E10" s="66" t="s">
        <v>31</v>
      </c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242"/>
      <c r="AL10" s="242"/>
      <c r="AM10" s="246"/>
      <c r="AN10" s="248"/>
      <c r="AO10" s="250"/>
      <c r="AP10" s="248"/>
      <c r="AQ10" s="248"/>
      <c r="AR10" s="248"/>
      <c r="AS10" s="244"/>
      <c r="AT10" s="21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4" customFormat="1" ht="18" customHeight="1">
      <c r="A11" s="251">
        <v>2</v>
      </c>
      <c r="B11" s="251" t="s">
        <v>177</v>
      </c>
      <c r="C11" s="253" t="str">
        <f>VLOOKUP(B11,DS,2,0)</f>
        <v>Trần Anh Nhựt</v>
      </c>
      <c r="D11" s="255" t="str">
        <f>VLOOKUP(B11,DS,3,0)</f>
        <v>Thiết Kế</v>
      </c>
      <c r="E11" s="65" t="s">
        <v>32</v>
      </c>
      <c r="F11" s="140">
        <v>8</v>
      </c>
      <c r="G11" s="140">
        <v>8</v>
      </c>
      <c r="H11" s="140">
        <v>8</v>
      </c>
      <c r="I11" s="140">
        <v>8</v>
      </c>
      <c r="J11" s="140">
        <v>8</v>
      </c>
      <c r="K11" s="140">
        <v>8</v>
      </c>
      <c r="L11" s="140"/>
      <c r="M11" s="140">
        <v>8</v>
      </c>
      <c r="N11" s="140">
        <v>8</v>
      </c>
      <c r="O11" s="140">
        <v>8</v>
      </c>
      <c r="P11" s="140">
        <v>8</v>
      </c>
      <c r="Q11" s="140">
        <v>8</v>
      </c>
      <c r="R11" s="140">
        <v>8</v>
      </c>
      <c r="S11" s="140"/>
      <c r="T11" s="140">
        <v>8</v>
      </c>
      <c r="U11" s="140">
        <v>8</v>
      </c>
      <c r="V11" s="140">
        <v>8</v>
      </c>
      <c r="W11" s="140">
        <v>8</v>
      </c>
      <c r="X11" s="140">
        <v>8</v>
      </c>
      <c r="Y11" s="140">
        <v>8</v>
      </c>
      <c r="Z11" s="140"/>
      <c r="AA11" s="140">
        <v>8</v>
      </c>
      <c r="AB11" s="140">
        <v>8</v>
      </c>
      <c r="AC11" s="140">
        <v>8</v>
      </c>
      <c r="AD11" s="140">
        <v>8</v>
      </c>
      <c r="AE11" s="140">
        <v>8</v>
      </c>
      <c r="AF11" s="140">
        <v>8</v>
      </c>
      <c r="AG11" s="140"/>
      <c r="AH11" s="140">
        <v>8</v>
      </c>
      <c r="AI11" s="140">
        <v>8</v>
      </c>
      <c r="AJ11" s="140">
        <v>8</v>
      </c>
      <c r="AK11" s="241">
        <f t="shared" ref="AK11" si="2">((SUM(F11:AJ11))/8)-(SUMIF($F$6:$AJ$6,"C.Nhật",F11:AJ11)/8)</f>
        <v>27</v>
      </c>
      <c r="AL11" s="241">
        <f t="shared" ref="AL11" si="3">SUM(F12:AJ12)/8*1.5</f>
        <v>0</v>
      </c>
      <c r="AM11" s="245">
        <f t="shared" ref="AM11:AM13" si="4">SUMIF($F$6:$AJ$6,"C.Nhật",$F11:$AJ12)/8*2</f>
        <v>0</v>
      </c>
      <c r="AN11" s="247">
        <f t="shared" ref="AN11" si="5">SUM(AK11:AM12)</f>
        <v>27</v>
      </c>
      <c r="AO11" s="249">
        <v>0</v>
      </c>
      <c r="AP11" s="247"/>
      <c r="AQ11" s="247"/>
      <c r="AR11" s="247"/>
      <c r="AS11" s="243"/>
      <c r="AT11" s="226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4" customFormat="1" ht="18" customHeight="1">
      <c r="A12" s="252"/>
      <c r="B12" s="252"/>
      <c r="C12" s="254"/>
      <c r="D12" s="256"/>
      <c r="E12" s="66" t="s">
        <v>31</v>
      </c>
      <c r="F12" s="141"/>
      <c r="G12" s="141"/>
      <c r="H12" s="141"/>
      <c r="I12" s="141"/>
      <c r="J12" s="141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242"/>
      <c r="AL12" s="242"/>
      <c r="AM12" s="246"/>
      <c r="AN12" s="248"/>
      <c r="AO12" s="250"/>
      <c r="AP12" s="248"/>
      <c r="AQ12" s="248"/>
      <c r="AR12" s="248"/>
      <c r="AS12" s="244"/>
      <c r="AT12" s="226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4" customFormat="1" ht="18" customHeight="1">
      <c r="A13" s="251">
        <v>3</v>
      </c>
      <c r="B13" s="251" t="s">
        <v>178</v>
      </c>
      <c r="C13" s="253" t="str">
        <f>VLOOKUP(B13,DS,2,0)</f>
        <v>Huỳnh Minh Toàn</v>
      </c>
      <c r="D13" s="255" t="str">
        <f>VLOOKUP(B13,DS,3,0)</f>
        <v>Thủ Kho</v>
      </c>
      <c r="E13" s="65" t="s">
        <v>32</v>
      </c>
      <c r="F13" s="140">
        <v>8</v>
      </c>
      <c r="G13" s="140">
        <v>8</v>
      </c>
      <c r="H13" s="140">
        <v>8</v>
      </c>
      <c r="I13" s="140">
        <v>8</v>
      </c>
      <c r="J13" s="140">
        <v>8</v>
      </c>
      <c r="K13" s="140">
        <v>8</v>
      </c>
      <c r="L13" s="140"/>
      <c r="M13" s="140">
        <v>8</v>
      </c>
      <c r="N13" s="140">
        <v>8</v>
      </c>
      <c r="O13" s="140">
        <v>8</v>
      </c>
      <c r="P13" s="140">
        <v>8</v>
      </c>
      <c r="Q13" s="140">
        <v>8</v>
      </c>
      <c r="R13" s="140">
        <v>8</v>
      </c>
      <c r="S13" s="140"/>
      <c r="T13" s="140">
        <v>8</v>
      </c>
      <c r="U13" s="140">
        <v>8</v>
      </c>
      <c r="V13" s="140">
        <v>8</v>
      </c>
      <c r="W13" s="140">
        <v>8</v>
      </c>
      <c r="X13" s="140">
        <v>8</v>
      </c>
      <c r="Y13" s="140">
        <v>8</v>
      </c>
      <c r="Z13" s="140"/>
      <c r="AA13" s="140">
        <v>8</v>
      </c>
      <c r="AB13" s="140">
        <v>8</v>
      </c>
      <c r="AC13" s="140">
        <v>8</v>
      </c>
      <c r="AD13" s="140">
        <v>8</v>
      </c>
      <c r="AE13" s="140">
        <v>8</v>
      </c>
      <c r="AF13" s="140">
        <v>8</v>
      </c>
      <c r="AG13" s="140"/>
      <c r="AH13" s="140">
        <v>8</v>
      </c>
      <c r="AI13" s="140">
        <v>8</v>
      </c>
      <c r="AJ13" s="140">
        <v>8</v>
      </c>
      <c r="AK13" s="241">
        <f t="shared" ref="AK13" si="6">((SUM(F13:AJ13))/8)-(SUMIF($F$6:$AJ$6,"C.Nhật",F13:AJ13)/8)</f>
        <v>27</v>
      </c>
      <c r="AL13" s="241">
        <f t="shared" ref="AL13" si="7">SUM(F14:AJ14)/8*1.5</f>
        <v>0</v>
      </c>
      <c r="AM13" s="245">
        <f t="shared" si="4"/>
        <v>0</v>
      </c>
      <c r="AN13" s="247">
        <f t="shared" ref="AN13" si="8">SUM(AK13:AM14)</f>
        <v>27</v>
      </c>
      <c r="AO13" s="249">
        <v>0</v>
      </c>
      <c r="AP13" s="247"/>
      <c r="AQ13" s="247"/>
      <c r="AR13" s="247"/>
      <c r="AS13" s="243"/>
      <c r="AT13" s="213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4" customFormat="1" ht="18" customHeight="1">
      <c r="A14" s="252"/>
      <c r="B14" s="252"/>
      <c r="C14" s="254"/>
      <c r="D14" s="256"/>
      <c r="E14" s="66" t="s">
        <v>31</v>
      </c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242"/>
      <c r="AL14" s="242"/>
      <c r="AM14" s="246"/>
      <c r="AN14" s="248"/>
      <c r="AO14" s="250"/>
      <c r="AP14" s="248"/>
      <c r="AQ14" s="248"/>
      <c r="AR14" s="248"/>
      <c r="AS14" s="244"/>
      <c r="AT14" s="213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77" customFormat="1" ht="21" customHeight="1">
      <c r="A15" s="175" t="s">
        <v>156</v>
      </c>
      <c r="B15" s="178" t="s">
        <v>159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80"/>
      <c r="AT15" s="176"/>
    </row>
    <row r="16" spans="1:91" s="64" customFormat="1" ht="18" customHeight="1">
      <c r="A16" s="251">
        <v>1</v>
      </c>
      <c r="B16" s="251" t="s">
        <v>161</v>
      </c>
      <c r="C16" s="253" t="str">
        <f>VLOOKUP(B16,DS,2,0)</f>
        <v>Nguyễn Trường Giang</v>
      </c>
      <c r="D16" s="255" t="str">
        <f>VLOOKUP(B16,DS,3,0)</f>
        <v>Thợ in</v>
      </c>
      <c r="E16" s="65" t="s">
        <v>32</v>
      </c>
      <c r="F16" s="140">
        <v>8</v>
      </c>
      <c r="G16" s="140">
        <v>8</v>
      </c>
      <c r="H16" s="140">
        <v>8</v>
      </c>
      <c r="I16" s="140">
        <v>8</v>
      </c>
      <c r="J16" s="140">
        <v>8</v>
      </c>
      <c r="K16" s="140">
        <v>8</v>
      </c>
      <c r="L16" s="140"/>
      <c r="M16" s="140">
        <v>8</v>
      </c>
      <c r="N16" s="140">
        <v>8</v>
      </c>
      <c r="O16" s="140">
        <v>8</v>
      </c>
      <c r="P16" s="140">
        <v>8</v>
      </c>
      <c r="Q16" s="140">
        <v>8</v>
      </c>
      <c r="R16" s="140">
        <v>8</v>
      </c>
      <c r="S16" s="140"/>
      <c r="T16" s="140">
        <v>8</v>
      </c>
      <c r="U16" s="140">
        <v>8</v>
      </c>
      <c r="V16" s="140">
        <v>8</v>
      </c>
      <c r="W16" s="140">
        <v>8</v>
      </c>
      <c r="X16" s="140">
        <v>8</v>
      </c>
      <c r="Y16" s="140">
        <v>8</v>
      </c>
      <c r="Z16" s="140"/>
      <c r="AA16" s="140">
        <v>8</v>
      </c>
      <c r="AB16" s="140">
        <v>8</v>
      </c>
      <c r="AC16" s="140">
        <v>8</v>
      </c>
      <c r="AD16" s="140">
        <v>8</v>
      </c>
      <c r="AE16" s="140">
        <v>8</v>
      </c>
      <c r="AF16" s="140">
        <v>8</v>
      </c>
      <c r="AG16" s="140"/>
      <c r="AH16" s="140">
        <v>8</v>
      </c>
      <c r="AI16" s="140">
        <v>8</v>
      </c>
      <c r="AJ16" s="140">
        <v>8</v>
      </c>
      <c r="AK16" s="241">
        <f t="shared" ref="AK16" si="9">((SUM(F16:AJ16))/8)-(SUMIF($F$6:$AJ$6,"C.Nhật",F16:AJ16)/8)</f>
        <v>27</v>
      </c>
      <c r="AL16" s="241">
        <f t="shared" ref="AL16" si="10">SUM(F17:AJ17)/8*1.5</f>
        <v>0</v>
      </c>
      <c r="AM16" s="245">
        <f>SUMIF($F$6:$AJ$6,"C.Nhật",$F16:$AJ17)/8*2</f>
        <v>0</v>
      </c>
      <c r="AN16" s="247">
        <f>SUM(AK16:AM17)</f>
        <v>27</v>
      </c>
      <c r="AO16" s="249">
        <v>0</v>
      </c>
      <c r="AP16" s="247"/>
      <c r="AQ16" s="247"/>
      <c r="AR16" s="247"/>
      <c r="AS16" s="243"/>
      <c r="AT16" s="21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4" customFormat="1" ht="18" customHeight="1">
      <c r="A17" s="252"/>
      <c r="B17" s="252"/>
      <c r="C17" s="254"/>
      <c r="D17" s="256"/>
      <c r="E17" s="66" t="s">
        <v>31</v>
      </c>
      <c r="F17" s="141"/>
      <c r="G17" s="141"/>
      <c r="H17" s="141"/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242"/>
      <c r="AL17" s="242"/>
      <c r="AM17" s="246"/>
      <c r="AN17" s="248"/>
      <c r="AO17" s="250"/>
      <c r="AP17" s="248"/>
      <c r="AQ17" s="248"/>
      <c r="AR17" s="248"/>
      <c r="AS17" s="244"/>
      <c r="AT17" s="21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4" customFormat="1" ht="18" customHeight="1">
      <c r="A18" s="251">
        <v>2</v>
      </c>
      <c r="B18" s="251" t="s">
        <v>183</v>
      </c>
      <c r="C18" s="253" t="str">
        <f>VLOOKUP(B18,DS,2,0)</f>
        <v>Võ Văn Kiệt</v>
      </c>
      <c r="D18" s="255" t="str">
        <f>VLOOKUP(B18,DS,3,0)</f>
        <v>Công Đoạn 1</v>
      </c>
      <c r="E18" s="65" t="s">
        <v>32</v>
      </c>
      <c r="F18" s="140">
        <v>8</v>
      </c>
      <c r="G18" s="140">
        <v>8</v>
      </c>
      <c r="H18" s="140">
        <v>8</v>
      </c>
      <c r="I18" s="140">
        <v>8</v>
      </c>
      <c r="J18" s="140">
        <v>8</v>
      </c>
      <c r="K18" s="140">
        <v>8</v>
      </c>
      <c r="L18" s="140"/>
      <c r="M18" s="140">
        <v>8</v>
      </c>
      <c r="N18" s="140">
        <v>8</v>
      </c>
      <c r="O18" s="140">
        <v>8</v>
      </c>
      <c r="P18" s="140">
        <v>8</v>
      </c>
      <c r="Q18" s="140">
        <v>8</v>
      </c>
      <c r="R18" s="140">
        <v>8</v>
      </c>
      <c r="S18" s="140"/>
      <c r="T18" s="140">
        <v>8</v>
      </c>
      <c r="U18" s="140">
        <v>8</v>
      </c>
      <c r="V18" s="140">
        <v>8</v>
      </c>
      <c r="W18" s="140">
        <v>8</v>
      </c>
      <c r="X18" s="140">
        <v>8</v>
      </c>
      <c r="Y18" s="140">
        <v>8</v>
      </c>
      <c r="Z18" s="140"/>
      <c r="AA18" s="140">
        <v>8</v>
      </c>
      <c r="AB18" s="140">
        <v>8</v>
      </c>
      <c r="AC18" s="140">
        <v>8</v>
      </c>
      <c r="AD18" s="140">
        <v>8</v>
      </c>
      <c r="AE18" s="140">
        <v>8</v>
      </c>
      <c r="AF18" s="140">
        <v>8</v>
      </c>
      <c r="AG18" s="140"/>
      <c r="AH18" s="140">
        <v>8</v>
      </c>
      <c r="AI18" s="140">
        <v>8</v>
      </c>
      <c r="AJ18" s="140">
        <v>8</v>
      </c>
      <c r="AK18" s="241">
        <f t="shared" ref="AK18" si="11">((SUM(F18:AJ18))/8)-(SUMIF($F$6:$AJ$6,"C.Nhật",F18:AJ18)/8)</f>
        <v>27</v>
      </c>
      <c r="AL18" s="241">
        <f t="shared" ref="AL18" si="12">SUM(F19:AJ19)/8*1.5</f>
        <v>0</v>
      </c>
      <c r="AM18" s="245">
        <f>SUMIF($F$6:$AJ$6,"C.Nhật",$F18:$AJ19)/8*2</f>
        <v>0</v>
      </c>
      <c r="AN18" s="247">
        <f t="shared" ref="AN18" si="13">SUM(AK18:AM19)</f>
        <v>27</v>
      </c>
      <c r="AO18" s="249">
        <v>0</v>
      </c>
      <c r="AP18" s="247"/>
      <c r="AQ18" s="247"/>
      <c r="AR18" s="247"/>
      <c r="AS18" s="243"/>
      <c r="AT18" s="226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4" customFormat="1" ht="18" customHeight="1">
      <c r="A19" s="252"/>
      <c r="B19" s="252"/>
      <c r="C19" s="254"/>
      <c r="D19" s="256"/>
      <c r="E19" s="66" t="s">
        <v>31</v>
      </c>
      <c r="F19" s="141"/>
      <c r="G19" s="141"/>
      <c r="H19" s="141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242"/>
      <c r="AL19" s="242"/>
      <c r="AM19" s="246"/>
      <c r="AN19" s="248"/>
      <c r="AO19" s="250"/>
      <c r="AP19" s="248"/>
      <c r="AQ19" s="248"/>
      <c r="AR19" s="248"/>
      <c r="AS19" s="244"/>
      <c r="AT19" s="226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4" customFormat="1" ht="18" customHeight="1">
      <c r="A20" s="251">
        <v>3</v>
      </c>
      <c r="B20" s="251" t="s">
        <v>184</v>
      </c>
      <c r="C20" s="253" t="str">
        <f>VLOOKUP(B20,DS,2,0)</f>
        <v>Diệp Văn Lân</v>
      </c>
      <c r="D20" s="255" t="str">
        <f>VLOOKUP(B20,DS,3,0)</f>
        <v>Công Đoạn 1</v>
      </c>
      <c r="E20" s="65" t="s">
        <v>32</v>
      </c>
      <c r="F20" s="140">
        <v>8</v>
      </c>
      <c r="G20" s="140">
        <v>8</v>
      </c>
      <c r="H20" s="140">
        <v>8</v>
      </c>
      <c r="I20" s="140">
        <v>8</v>
      </c>
      <c r="J20" s="140">
        <v>8</v>
      </c>
      <c r="K20" s="140">
        <v>8</v>
      </c>
      <c r="L20" s="140"/>
      <c r="M20" s="140">
        <v>8</v>
      </c>
      <c r="N20" s="140">
        <v>8</v>
      </c>
      <c r="O20" s="140">
        <v>8</v>
      </c>
      <c r="P20" s="140">
        <v>8</v>
      </c>
      <c r="Q20" s="140">
        <v>8</v>
      </c>
      <c r="R20" s="140">
        <v>8</v>
      </c>
      <c r="S20" s="140"/>
      <c r="T20" s="140">
        <v>8</v>
      </c>
      <c r="U20" s="140">
        <v>8</v>
      </c>
      <c r="V20" s="140">
        <v>8</v>
      </c>
      <c r="W20" s="140">
        <v>8</v>
      </c>
      <c r="X20" s="140">
        <v>8</v>
      </c>
      <c r="Y20" s="140">
        <v>8</v>
      </c>
      <c r="Z20" s="140"/>
      <c r="AA20" s="140">
        <v>8</v>
      </c>
      <c r="AB20" s="140">
        <v>8</v>
      </c>
      <c r="AC20" s="140">
        <v>8</v>
      </c>
      <c r="AD20" s="140">
        <v>8</v>
      </c>
      <c r="AE20" s="140">
        <v>8</v>
      </c>
      <c r="AF20" s="140">
        <v>8</v>
      </c>
      <c r="AG20" s="140"/>
      <c r="AH20" s="140">
        <v>8</v>
      </c>
      <c r="AI20" s="140">
        <v>8</v>
      </c>
      <c r="AJ20" s="140">
        <v>8</v>
      </c>
      <c r="AK20" s="241">
        <f t="shared" ref="AK20" si="14">((SUM(F20:AJ20))/8)-(SUMIF($F$6:$AJ$6,"C.Nhật",F20:AJ20)/8)</f>
        <v>27</v>
      </c>
      <c r="AL20" s="241">
        <f t="shared" ref="AL20" si="15">SUM(F21:AJ21)/8*1.5</f>
        <v>0</v>
      </c>
      <c r="AM20" s="245">
        <f>SUMIF($F$6:$AJ$6,"C.Nhật",$F20:$AJ21)/8*2</f>
        <v>0</v>
      </c>
      <c r="AN20" s="247">
        <f t="shared" ref="AN20" si="16">SUM(AK20:AM21)</f>
        <v>27</v>
      </c>
      <c r="AO20" s="249">
        <v>0</v>
      </c>
      <c r="AP20" s="247"/>
      <c r="AQ20" s="247"/>
      <c r="AR20" s="247"/>
      <c r="AS20" s="243"/>
      <c r="AT20" s="226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4" customFormat="1" ht="18" customHeight="1">
      <c r="A21" s="252"/>
      <c r="B21" s="252"/>
      <c r="C21" s="254"/>
      <c r="D21" s="256"/>
      <c r="E21" s="66" t="s">
        <v>31</v>
      </c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242"/>
      <c r="AL21" s="242"/>
      <c r="AM21" s="246"/>
      <c r="AN21" s="248"/>
      <c r="AO21" s="250"/>
      <c r="AP21" s="248"/>
      <c r="AQ21" s="248"/>
      <c r="AR21" s="248"/>
      <c r="AS21" s="244"/>
      <c r="AT21" s="226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4" customFormat="1" ht="18" customHeight="1">
      <c r="A22" s="251">
        <v>4</v>
      </c>
      <c r="B22" s="251" t="s">
        <v>185</v>
      </c>
      <c r="C22" s="253" t="str">
        <f>VLOOKUP(B22,DS,2,0)</f>
        <v>Dương Thế Kiệt</v>
      </c>
      <c r="D22" s="255" t="str">
        <f>VLOOKUP(B22,DS,3,0)</f>
        <v>Công Đoạn 1</v>
      </c>
      <c r="E22" s="65" t="s">
        <v>32</v>
      </c>
      <c r="F22" s="140">
        <v>8</v>
      </c>
      <c r="G22" s="140">
        <v>8</v>
      </c>
      <c r="H22" s="140">
        <v>8</v>
      </c>
      <c r="I22" s="140">
        <v>8</v>
      </c>
      <c r="J22" s="140">
        <v>8</v>
      </c>
      <c r="K22" s="140">
        <v>8</v>
      </c>
      <c r="L22" s="140"/>
      <c r="M22" s="140">
        <v>8</v>
      </c>
      <c r="N22" s="140">
        <v>8</v>
      </c>
      <c r="O22" s="140">
        <v>8</v>
      </c>
      <c r="P22" s="140">
        <v>8</v>
      </c>
      <c r="Q22" s="140">
        <v>8</v>
      </c>
      <c r="R22" s="140">
        <v>8</v>
      </c>
      <c r="S22" s="140"/>
      <c r="T22" s="140">
        <v>8</v>
      </c>
      <c r="U22" s="140">
        <v>8</v>
      </c>
      <c r="V22" s="140">
        <v>8</v>
      </c>
      <c r="W22" s="140">
        <v>8</v>
      </c>
      <c r="X22" s="140">
        <v>8</v>
      </c>
      <c r="Y22" s="140">
        <v>8</v>
      </c>
      <c r="Z22" s="140"/>
      <c r="AA22" s="140">
        <v>8</v>
      </c>
      <c r="AB22" s="140">
        <v>8</v>
      </c>
      <c r="AC22" s="140">
        <v>8</v>
      </c>
      <c r="AD22" s="140">
        <v>8</v>
      </c>
      <c r="AE22" s="140">
        <v>8</v>
      </c>
      <c r="AF22" s="140">
        <v>8</v>
      </c>
      <c r="AG22" s="140"/>
      <c r="AH22" s="140">
        <v>8</v>
      </c>
      <c r="AI22" s="140">
        <v>8</v>
      </c>
      <c r="AJ22" s="140">
        <v>8</v>
      </c>
      <c r="AK22" s="241">
        <f t="shared" ref="AK22" si="17">((SUM(F22:AJ22))/8)-(SUMIF($F$6:$AJ$6,"C.Nhật",F22:AJ22)/8)</f>
        <v>27</v>
      </c>
      <c r="AL22" s="241">
        <f t="shared" ref="AL22" si="18">SUM(F23:AJ23)/8*1.5</f>
        <v>0</v>
      </c>
      <c r="AM22" s="245">
        <f>SUMIF($F$6:$AJ$6,"C.Nhật",$F22:$AJ23)/8*2</f>
        <v>0</v>
      </c>
      <c r="AN22" s="247">
        <f t="shared" ref="AN22" si="19">SUM(AK22:AM23)</f>
        <v>27</v>
      </c>
      <c r="AO22" s="249">
        <v>0</v>
      </c>
      <c r="AP22" s="247"/>
      <c r="AQ22" s="247"/>
      <c r="AR22" s="247"/>
      <c r="AS22" s="243"/>
      <c r="AT22" s="226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4" customFormat="1" ht="18" customHeight="1">
      <c r="A23" s="252"/>
      <c r="B23" s="252"/>
      <c r="C23" s="254"/>
      <c r="D23" s="256"/>
      <c r="E23" s="66" t="s">
        <v>31</v>
      </c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242"/>
      <c r="AL23" s="242"/>
      <c r="AM23" s="246"/>
      <c r="AN23" s="248"/>
      <c r="AO23" s="250"/>
      <c r="AP23" s="248"/>
      <c r="AQ23" s="248"/>
      <c r="AR23" s="248"/>
      <c r="AS23" s="244"/>
      <c r="AT23" s="226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4" customFormat="1" ht="18" customHeight="1">
      <c r="A24" s="251">
        <v>5</v>
      </c>
      <c r="B24" s="251" t="s">
        <v>186</v>
      </c>
      <c r="C24" s="253" t="str">
        <f>VLOOKUP(B24,DS,2,0)</f>
        <v>Lê Văn Hữu</v>
      </c>
      <c r="D24" s="255" t="str">
        <f>VLOOKUP(B24,DS,3,0)</f>
        <v>Công Đoạn 2</v>
      </c>
      <c r="E24" s="65" t="s">
        <v>32</v>
      </c>
      <c r="F24" s="140">
        <v>8</v>
      </c>
      <c r="G24" s="140">
        <v>8</v>
      </c>
      <c r="H24" s="140">
        <v>8</v>
      </c>
      <c r="I24" s="140">
        <v>8</v>
      </c>
      <c r="J24" s="140">
        <v>8</v>
      </c>
      <c r="K24" s="140">
        <v>8</v>
      </c>
      <c r="L24" s="140"/>
      <c r="M24" s="140">
        <v>8</v>
      </c>
      <c r="N24" s="140">
        <v>8</v>
      </c>
      <c r="O24" s="140">
        <v>8</v>
      </c>
      <c r="P24" s="140">
        <v>8</v>
      </c>
      <c r="Q24" s="140">
        <v>8</v>
      </c>
      <c r="R24" s="140">
        <v>8</v>
      </c>
      <c r="S24" s="140"/>
      <c r="T24" s="140">
        <v>8</v>
      </c>
      <c r="U24" s="140">
        <v>8</v>
      </c>
      <c r="V24" s="140">
        <v>8</v>
      </c>
      <c r="W24" s="140">
        <v>8</v>
      </c>
      <c r="X24" s="140">
        <v>8</v>
      </c>
      <c r="Y24" s="140">
        <v>8</v>
      </c>
      <c r="Z24" s="140"/>
      <c r="AA24" s="140">
        <v>8</v>
      </c>
      <c r="AB24" s="140">
        <v>8</v>
      </c>
      <c r="AC24" s="140">
        <v>8</v>
      </c>
      <c r="AD24" s="140">
        <v>8</v>
      </c>
      <c r="AE24" s="140">
        <v>8</v>
      </c>
      <c r="AF24" s="140">
        <v>8</v>
      </c>
      <c r="AG24" s="140"/>
      <c r="AH24" s="140">
        <v>8</v>
      </c>
      <c r="AI24" s="140">
        <v>8</v>
      </c>
      <c r="AJ24" s="140">
        <v>8</v>
      </c>
      <c r="AK24" s="241">
        <f t="shared" ref="AK24" si="20">((SUM(F24:AJ24))/8)-(SUMIF($F$6:$AJ$6,"C.Nhật",F24:AJ24)/8)</f>
        <v>27</v>
      </c>
      <c r="AL24" s="241">
        <f t="shared" ref="AL24" si="21">SUM(F25:AJ25)/8*1.5</f>
        <v>0</v>
      </c>
      <c r="AM24" s="245">
        <f>SUMIF($F$6:$AJ$6,"C.Nhật",$F24:$AJ25)/8*2</f>
        <v>0</v>
      </c>
      <c r="AN24" s="247">
        <f t="shared" ref="AN24" si="22">SUM(AK24:AM25)</f>
        <v>27</v>
      </c>
      <c r="AO24" s="249">
        <v>0</v>
      </c>
      <c r="AP24" s="247"/>
      <c r="AQ24" s="247"/>
      <c r="AR24" s="247"/>
      <c r="AS24" s="243"/>
      <c r="AT24" s="226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4" customFormat="1" ht="18" customHeight="1">
      <c r="A25" s="252"/>
      <c r="B25" s="252"/>
      <c r="C25" s="254"/>
      <c r="D25" s="256"/>
      <c r="E25" s="66" t="s">
        <v>31</v>
      </c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242"/>
      <c r="AL25" s="242"/>
      <c r="AM25" s="246"/>
      <c r="AN25" s="248"/>
      <c r="AO25" s="250"/>
      <c r="AP25" s="248"/>
      <c r="AQ25" s="248"/>
      <c r="AR25" s="248"/>
      <c r="AS25" s="244"/>
      <c r="AT25" s="226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4" customFormat="1" ht="18" customHeight="1">
      <c r="A26" s="251">
        <v>6</v>
      </c>
      <c r="B26" s="251" t="s">
        <v>187</v>
      </c>
      <c r="C26" s="253" t="str">
        <f>VLOOKUP(B26,DS,2,0)</f>
        <v>Bùi Trường Giang</v>
      </c>
      <c r="D26" s="255" t="str">
        <f>VLOOKUP(B26,DS,3,0)</f>
        <v>Công Đoạn 2</v>
      </c>
      <c r="E26" s="65" t="s">
        <v>32</v>
      </c>
      <c r="F26" s="140">
        <v>8</v>
      </c>
      <c r="G26" s="140">
        <v>8</v>
      </c>
      <c r="H26" s="140">
        <v>8</v>
      </c>
      <c r="I26" s="140">
        <v>8</v>
      </c>
      <c r="J26" s="140">
        <v>8</v>
      </c>
      <c r="K26" s="140">
        <v>8</v>
      </c>
      <c r="L26" s="140"/>
      <c r="M26" s="140">
        <v>8</v>
      </c>
      <c r="N26" s="140">
        <v>8</v>
      </c>
      <c r="O26" s="140">
        <v>8</v>
      </c>
      <c r="P26" s="140">
        <v>8</v>
      </c>
      <c r="Q26" s="140">
        <v>8</v>
      </c>
      <c r="R26" s="140">
        <v>8</v>
      </c>
      <c r="S26" s="140"/>
      <c r="T26" s="140">
        <v>8</v>
      </c>
      <c r="U26" s="140">
        <v>8</v>
      </c>
      <c r="V26" s="140">
        <v>8</v>
      </c>
      <c r="W26" s="140">
        <v>8</v>
      </c>
      <c r="X26" s="140">
        <v>8</v>
      </c>
      <c r="Y26" s="140">
        <v>8</v>
      </c>
      <c r="Z26" s="140"/>
      <c r="AA26" s="140">
        <v>8</v>
      </c>
      <c r="AB26" s="140">
        <v>8</v>
      </c>
      <c r="AC26" s="140">
        <v>8</v>
      </c>
      <c r="AD26" s="140">
        <v>8</v>
      </c>
      <c r="AE26" s="140">
        <v>8</v>
      </c>
      <c r="AF26" s="140">
        <v>8</v>
      </c>
      <c r="AG26" s="140"/>
      <c r="AH26" s="140">
        <v>8</v>
      </c>
      <c r="AI26" s="140">
        <v>8</v>
      </c>
      <c r="AJ26" s="140">
        <v>8</v>
      </c>
      <c r="AK26" s="241">
        <f t="shared" ref="AK26" si="23">((SUM(F26:AJ26))/8)-(SUMIF($F$6:$AJ$6,"C.Nhật",F26:AJ26)/8)</f>
        <v>27</v>
      </c>
      <c r="AL26" s="241">
        <f t="shared" ref="AL26" si="24">SUM(F27:AJ27)/8*1.5</f>
        <v>0</v>
      </c>
      <c r="AM26" s="245">
        <f>SUMIF($F$6:$AJ$6,"C.Nhật",$F26:$AJ27)/8*2</f>
        <v>0</v>
      </c>
      <c r="AN26" s="247">
        <f t="shared" ref="AN26" si="25">SUM(AK26:AM27)</f>
        <v>27</v>
      </c>
      <c r="AO26" s="249">
        <v>0</v>
      </c>
      <c r="AP26" s="247"/>
      <c r="AQ26" s="247"/>
      <c r="AR26" s="247"/>
      <c r="AS26" s="243"/>
      <c r="AT26" s="21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4" customFormat="1" ht="18" customHeight="1">
      <c r="A27" s="252"/>
      <c r="B27" s="252"/>
      <c r="C27" s="254"/>
      <c r="D27" s="256"/>
      <c r="E27" s="66" t="s">
        <v>31</v>
      </c>
      <c r="F27" s="141"/>
      <c r="G27" s="141"/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242"/>
      <c r="AL27" s="242"/>
      <c r="AM27" s="246"/>
      <c r="AN27" s="248"/>
      <c r="AO27" s="250"/>
      <c r="AP27" s="248"/>
      <c r="AQ27" s="248"/>
      <c r="AR27" s="248"/>
      <c r="AS27" s="244"/>
      <c r="AT27" s="21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4" customFormat="1" ht="18" customHeight="1">
      <c r="A28" s="251">
        <v>7</v>
      </c>
      <c r="B28" s="251" t="s">
        <v>192</v>
      </c>
      <c r="C28" s="253" t="str">
        <f>VLOOKUP(B28,DS,2,0)</f>
        <v>Nguyễn T Bích Thủy</v>
      </c>
      <c r="D28" s="255" t="str">
        <f>VLOOKUP(B28,DS,3,0)</f>
        <v>Công Đoạn 2</v>
      </c>
      <c r="E28" s="65" t="s">
        <v>32</v>
      </c>
      <c r="F28" s="140">
        <v>8</v>
      </c>
      <c r="G28" s="140">
        <v>8</v>
      </c>
      <c r="H28" s="140">
        <v>8</v>
      </c>
      <c r="I28" s="140">
        <v>8</v>
      </c>
      <c r="J28" s="140">
        <v>8</v>
      </c>
      <c r="K28" s="140">
        <v>8</v>
      </c>
      <c r="L28" s="140"/>
      <c r="M28" s="140">
        <v>8</v>
      </c>
      <c r="N28" s="140">
        <v>8</v>
      </c>
      <c r="O28" s="140">
        <v>8</v>
      </c>
      <c r="P28" s="140">
        <v>8</v>
      </c>
      <c r="Q28" s="140">
        <v>8</v>
      </c>
      <c r="R28" s="140">
        <v>8</v>
      </c>
      <c r="S28" s="140"/>
      <c r="T28" s="140">
        <v>8</v>
      </c>
      <c r="U28" s="140">
        <v>8</v>
      </c>
      <c r="V28" s="140">
        <v>8</v>
      </c>
      <c r="W28" s="140">
        <v>8</v>
      </c>
      <c r="X28" s="140">
        <v>8</v>
      </c>
      <c r="Y28" s="140">
        <v>8</v>
      </c>
      <c r="Z28" s="140"/>
      <c r="AA28" s="140">
        <v>8</v>
      </c>
      <c r="AB28" s="140">
        <v>8</v>
      </c>
      <c r="AC28" s="140">
        <v>8</v>
      </c>
      <c r="AD28" s="140">
        <v>8</v>
      </c>
      <c r="AE28" s="140">
        <v>8</v>
      </c>
      <c r="AF28" s="140">
        <v>8</v>
      </c>
      <c r="AG28" s="140"/>
      <c r="AH28" s="140">
        <v>8</v>
      </c>
      <c r="AI28" s="140">
        <v>8</v>
      </c>
      <c r="AJ28" s="140">
        <v>8</v>
      </c>
      <c r="AK28" s="241">
        <f t="shared" ref="AK28" si="26">((SUM(F28:AJ28))/8)-(SUMIF($F$6:$AJ$6,"C.Nhật",F28:AJ28)/8)</f>
        <v>27</v>
      </c>
      <c r="AL28" s="241">
        <f t="shared" ref="AL28" si="27">SUM(F29:AJ29)/8*1.5</f>
        <v>0</v>
      </c>
      <c r="AM28" s="245">
        <f>SUMIF($F$6:$AJ$6,"C.Nhật",$F28:$AJ29)/8*2</f>
        <v>0</v>
      </c>
      <c r="AN28" s="247">
        <f t="shared" ref="AN28" si="28">SUM(AK28:AM29)</f>
        <v>27</v>
      </c>
      <c r="AO28" s="249">
        <v>0</v>
      </c>
      <c r="AP28" s="247"/>
      <c r="AQ28" s="247"/>
      <c r="AR28" s="247"/>
      <c r="AS28" s="243"/>
      <c r="AT28" s="21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4" customFormat="1" ht="18" customHeight="1">
      <c r="A29" s="252"/>
      <c r="B29" s="252"/>
      <c r="C29" s="254"/>
      <c r="D29" s="256"/>
      <c r="E29" s="66" t="s">
        <v>31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242"/>
      <c r="AL29" s="242"/>
      <c r="AM29" s="246"/>
      <c r="AN29" s="248"/>
      <c r="AO29" s="250"/>
      <c r="AP29" s="248"/>
      <c r="AQ29" s="248"/>
      <c r="AR29" s="248"/>
      <c r="AS29" s="244"/>
      <c r="AT29" s="21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2.75">
      <c r="A30" s="14"/>
      <c r="B30" s="68"/>
      <c r="C30" s="4"/>
      <c r="D30" s="110"/>
      <c r="E30" s="4"/>
      <c r="F30" s="72"/>
      <c r="G30" s="72"/>
      <c r="H30" s="69"/>
      <c r="I30" s="69"/>
      <c r="J30" s="117"/>
      <c r="K30" s="72"/>
      <c r="L30" s="69"/>
      <c r="M30" s="72"/>
      <c r="N30" s="72"/>
      <c r="O30" s="72"/>
      <c r="P30" s="72"/>
      <c r="Q30" s="69"/>
      <c r="R30" s="72"/>
      <c r="S30" s="72"/>
      <c r="T30" s="117"/>
      <c r="U30" s="72"/>
      <c r="V30" s="72"/>
      <c r="W30" s="72"/>
      <c r="X30" s="68"/>
      <c r="Y30" s="72"/>
      <c r="Z30" s="72"/>
      <c r="AA30" s="72"/>
      <c r="AB30" s="72"/>
      <c r="AC30" s="72"/>
      <c r="AD30" s="69"/>
      <c r="AE30" s="72"/>
      <c r="AF30" s="72"/>
      <c r="AG30" s="72"/>
      <c r="AH30" s="72"/>
      <c r="AI30" s="72"/>
      <c r="AJ30" s="72"/>
      <c r="AK30" s="4"/>
      <c r="AL30" s="4"/>
      <c r="AM30" s="95"/>
      <c r="AN30" s="71"/>
      <c r="AO30" s="71"/>
      <c r="AP30" s="71"/>
      <c r="AQ30" s="71"/>
      <c r="AR30" s="71"/>
      <c r="AS30" s="4"/>
      <c r="AT30" s="101"/>
    </row>
    <row r="31" spans="1:90" s="67" customFormat="1" ht="12.75">
      <c r="A31" s="14"/>
      <c r="B31" s="68"/>
      <c r="C31" s="14" t="s">
        <v>14</v>
      </c>
      <c r="D31" s="110"/>
      <c r="E31" s="4"/>
      <c r="F31" s="72"/>
      <c r="G31" s="72"/>
      <c r="H31" s="69"/>
      <c r="I31" s="69"/>
      <c r="J31" s="117"/>
      <c r="K31" s="72"/>
      <c r="L31" s="69"/>
      <c r="M31" s="72"/>
      <c r="N31" s="72"/>
      <c r="O31" s="72"/>
      <c r="P31" s="72"/>
      <c r="Q31" s="69"/>
      <c r="R31" s="72"/>
      <c r="S31" s="72"/>
      <c r="T31" s="117"/>
      <c r="U31" s="72"/>
      <c r="V31" s="72"/>
      <c r="W31" s="72"/>
      <c r="X31" s="68"/>
      <c r="Y31" s="72"/>
      <c r="Z31" s="72"/>
      <c r="AA31" s="72"/>
      <c r="AB31" s="72"/>
      <c r="AC31" s="72"/>
      <c r="AD31" s="69"/>
      <c r="AE31" s="72"/>
      <c r="AF31" s="72"/>
      <c r="AG31" s="72"/>
      <c r="AH31" s="72"/>
      <c r="AI31" s="72"/>
      <c r="AJ31" s="72"/>
      <c r="AK31" s="4"/>
      <c r="AL31" s="4"/>
      <c r="AM31" s="95"/>
      <c r="AN31" s="71"/>
      <c r="AO31" s="71"/>
      <c r="AP31" s="71"/>
      <c r="AQ31" s="71"/>
      <c r="AR31" s="71"/>
      <c r="AS31" s="4"/>
      <c r="AT31" s="101"/>
    </row>
    <row r="32" spans="1:90" s="67" customFormat="1" ht="12.75">
      <c r="A32" s="12"/>
      <c r="B32" s="12"/>
      <c r="C32" s="4"/>
      <c r="D32" s="110"/>
      <c r="E32" s="4"/>
      <c r="F32" s="72"/>
      <c r="G32" s="72"/>
      <c r="H32" s="118"/>
      <c r="I32" s="118"/>
      <c r="J32" s="118"/>
      <c r="K32" s="72"/>
      <c r="L32" s="118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118"/>
      <c r="AE32" s="72"/>
      <c r="AF32" s="72"/>
      <c r="AG32" s="72"/>
      <c r="AH32" s="72"/>
      <c r="AI32" s="72"/>
      <c r="AJ32" s="72"/>
      <c r="AK32" s="4"/>
      <c r="AL32" s="4"/>
      <c r="AM32" s="95"/>
      <c r="AN32" s="73"/>
      <c r="AO32" s="73"/>
      <c r="AP32" s="73"/>
      <c r="AQ32" s="73"/>
      <c r="AR32" s="73"/>
      <c r="AS32" s="4"/>
      <c r="AT32" s="101"/>
    </row>
    <row r="33" spans="1:91" s="70" customFormat="1" ht="15" customHeight="1">
      <c r="A33" s="12"/>
      <c r="B33" s="12"/>
      <c r="C33" s="4"/>
      <c r="D33" s="110"/>
      <c r="E33" s="4"/>
      <c r="F33" s="72"/>
      <c r="G33" s="72"/>
      <c r="H33" s="118"/>
      <c r="I33" s="118"/>
      <c r="J33" s="118"/>
      <c r="K33" s="72"/>
      <c r="L33" s="118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118"/>
      <c r="AE33" s="72"/>
      <c r="AF33" s="72"/>
      <c r="AG33" s="72"/>
      <c r="AH33" s="72"/>
      <c r="AI33" s="72"/>
      <c r="AJ33" s="72"/>
      <c r="AK33" s="4"/>
      <c r="AL33" s="4"/>
      <c r="AM33" s="95"/>
      <c r="AN33" s="73"/>
      <c r="AO33" s="73"/>
      <c r="AP33" s="73"/>
      <c r="AQ33" s="73"/>
      <c r="AR33" s="73"/>
      <c r="AS33" s="4"/>
      <c r="AT33" s="4"/>
    </row>
    <row r="34" spans="1:91" s="70" customFormat="1" ht="11.25">
      <c r="A34" s="12"/>
      <c r="B34" s="12"/>
      <c r="C34" s="4"/>
      <c r="D34" s="110"/>
      <c r="E34" s="4"/>
      <c r="F34" s="72"/>
      <c r="G34" s="72"/>
      <c r="H34" s="118"/>
      <c r="I34" s="118"/>
      <c r="J34" s="118"/>
      <c r="K34" s="72"/>
      <c r="L34" s="118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118"/>
      <c r="AE34" s="72"/>
      <c r="AF34" s="72"/>
      <c r="AG34" s="72"/>
      <c r="AH34" s="72"/>
      <c r="AI34" s="72"/>
      <c r="AJ34" s="72"/>
      <c r="AK34" s="4"/>
      <c r="AL34" s="4"/>
      <c r="AM34" s="95"/>
      <c r="AN34" s="73"/>
      <c r="AO34" s="73"/>
      <c r="AP34" s="73"/>
      <c r="AQ34" s="73"/>
      <c r="AR34" s="73"/>
      <c r="AS34" s="4"/>
      <c r="AT34" s="4"/>
    </row>
    <row r="35" spans="1:91" s="70" customFormat="1" ht="11.25">
      <c r="A35" s="12"/>
      <c r="B35" s="12"/>
      <c r="C35" s="4"/>
      <c r="D35" s="110"/>
      <c r="E35" s="4"/>
      <c r="F35" s="72"/>
      <c r="G35" s="72"/>
      <c r="H35" s="118"/>
      <c r="I35" s="118"/>
      <c r="J35" s="118"/>
      <c r="K35" s="72"/>
      <c r="L35" s="118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118"/>
      <c r="AE35" s="72"/>
      <c r="AF35" s="72"/>
      <c r="AG35" s="72"/>
      <c r="AH35" s="72"/>
      <c r="AI35" s="72"/>
      <c r="AJ35" s="72"/>
      <c r="AK35" s="4"/>
      <c r="AL35" s="4"/>
      <c r="AM35" s="95"/>
      <c r="AN35" s="73"/>
      <c r="AO35" s="73"/>
      <c r="AP35" s="73"/>
      <c r="AQ35" s="73"/>
      <c r="AR35" s="73"/>
      <c r="AS35" s="4"/>
      <c r="AT35" s="4"/>
    </row>
    <row r="36" spans="1:91" s="70" customFormat="1" ht="11.25">
      <c r="A36" s="10"/>
      <c r="B36" s="10"/>
      <c r="C36" s="14"/>
      <c r="D36" s="111"/>
      <c r="E36" s="74"/>
      <c r="F36" s="117"/>
      <c r="G36" s="119"/>
      <c r="H36" s="69"/>
      <c r="I36" s="69"/>
      <c r="J36" s="69"/>
      <c r="K36" s="119"/>
      <c r="L36" s="69"/>
      <c r="M36" s="119"/>
      <c r="N36" s="119"/>
      <c r="O36" s="119"/>
      <c r="P36" s="119"/>
      <c r="Q36" s="69"/>
      <c r="R36" s="117"/>
      <c r="S36" s="119"/>
      <c r="T36" s="119"/>
      <c r="U36" s="69"/>
      <c r="V36" s="119"/>
      <c r="W36" s="119"/>
      <c r="X36" s="69"/>
      <c r="Y36" s="119"/>
      <c r="Z36" s="119"/>
      <c r="AA36" s="119"/>
      <c r="AB36" s="119"/>
      <c r="AC36" s="119"/>
      <c r="AD36" s="69"/>
      <c r="AE36" s="119"/>
      <c r="AF36" s="119"/>
      <c r="AG36" s="119"/>
      <c r="AH36" s="119"/>
      <c r="AI36" s="119"/>
      <c r="AJ36" s="119"/>
      <c r="AK36" s="74"/>
      <c r="AM36" s="96"/>
      <c r="AN36" s="10"/>
      <c r="AO36" s="10"/>
      <c r="AP36" s="10"/>
      <c r="AQ36" s="10"/>
      <c r="AR36" s="10"/>
      <c r="AS36" s="14"/>
      <c r="AT36" s="4"/>
    </row>
    <row r="37" spans="1:91" s="70" customFormat="1" ht="12.75">
      <c r="A37" s="2"/>
      <c r="B37" s="2" t="s">
        <v>0</v>
      </c>
      <c r="C37" s="2"/>
      <c r="D37" s="211"/>
      <c r="E37" s="2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1"/>
      <c r="AI37" s="121"/>
      <c r="AJ37" s="121"/>
      <c r="AK37" s="2"/>
      <c r="AL37" s="2"/>
      <c r="AM37" s="97"/>
      <c r="AN37" s="2"/>
      <c r="AO37" s="2"/>
      <c r="AP37" s="2"/>
      <c r="AQ37" s="2"/>
      <c r="AR37" s="2"/>
      <c r="AS37" s="2"/>
      <c r="AT37" s="4"/>
    </row>
    <row r="38" spans="1:91" s="70" customFormat="1" ht="12.75">
      <c r="A38" s="2"/>
      <c r="B38" s="2"/>
      <c r="C38" s="2" t="s">
        <v>46</v>
      </c>
      <c r="D38" s="211"/>
      <c r="E38" s="2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1"/>
      <c r="AI38" s="121"/>
      <c r="AJ38" s="121"/>
      <c r="AK38" s="2"/>
      <c r="AL38" s="2"/>
      <c r="AM38" s="97"/>
      <c r="AN38" s="2"/>
      <c r="AO38" s="2"/>
      <c r="AP38" s="2"/>
      <c r="AQ38" s="2"/>
      <c r="AR38" s="2"/>
      <c r="AS38" s="2"/>
      <c r="AT38" s="14"/>
    </row>
    <row r="39" spans="1:91" ht="15" customHeight="1">
      <c r="C39" s="2" t="s">
        <v>47</v>
      </c>
    </row>
    <row r="40" spans="1:91" ht="15" customHeight="1">
      <c r="C40" s="2" t="s">
        <v>48</v>
      </c>
    </row>
    <row r="41" spans="1:91" s="211" customFormat="1" ht="15" customHeight="1">
      <c r="A41" s="2"/>
      <c r="B41" s="2"/>
      <c r="C41" s="2" t="s">
        <v>49</v>
      </c>
      <c r="E41" s="2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1"/>
      <c r="AI41" s="121"/>
      <c r="AJ41" s="121"/>
      <c r="AK41" s="2"/>
      <c r="AL41" s="2"/>
      <c r="AM41" s="97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s="211" customFormat="1" ht="15" customHeight="1">
      <c r="A42" s="2"/>
      <c r="B42" s="2"/>
      <c r="C42" s="2" t="s">
        <v>50</v>
      </c>
      <c r="E42" s="2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1"/>
      <c r="AI42" s="121"/>
      <c r="AJ42" s="121"/>
      <c r="AK42" s="2"/>
      <c r="AL42" s="2"/>
      <c r="AM42" s="97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s="211" customFormat="1" ht="15" customHeight="1">
      <c r="A43" s="2"/>
      <c r="B43" s="2"/>
      <c r="C43" s="2" t="s">
        <v>51</v>
      </c>
      <c r="E43" s="2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1"/>
      <c r="AI43" s="121"/>
      <c r="AJ43" s="121"/>
      <c r="AK43" s="2"/>
      <c r="AL43" s="2"/>
      <c r="AM43" s="97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s="211" customFormat="1" ht="15" customHeight="1">
      <c r="A44" s="2"/>
      <c r="B44" s="2"/>
      <c r="C44" s="2" t="s">
        <v>52</v>
      </c>
      <c r="E44" s="2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1"/>
      <c r="AI44" s="121"/>
      <c r="AJ44" s="121"/>
      <c r="AK44" s="2"/>
      <c r="AL44" s="2"/>
      <c r="AM44" s="97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s="211" customFormat="1" ht="15" customHeight="1">
      <c r="A45" s="2"/>
      <c r="B45" s="2"/>
      <c r="C45" s="2" t="s">
        <v>53</v>
      </c>
      <c r="E45" s="2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1"/>
      <c r="AI45" s="121"/>
      <c r="AJ45" s="121"/>
      <c r="AK45" s="2"/>
      <c r="AL45" s="2"/>
      <c r="AM45" s="97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s="211" customFormat="1" ht="15" customHeight="1">
      <c r="A46" s="2"/>
      <c r="B46" s="2"/>
      <c r="C46" s="2" t="s">
        <v>54</v>
      </c>
      <c r="E46" s="2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1"/>
      <c r="AI46" s="121"/>
      <c r="AJ46" s="121"/>
      <c r="AK46" s="2"/>
      <c r="AL46" s="2"/>
      <c r="AM46" s="97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32:J35 Q30:Q31" name="Range1_1_1_1"/>
    <protectedRange password="CC78" sqref="J36" name="Range1_3_1_1"/>
    <protectedRange password="CC78" sqref="A16:A29" name="Range1_1_2"/>
    <protectedRange password="CC78" sqref="C16:E29 A16:A29" name="Range1_6_2"/>
    <protectedRange password="CC78" sqref="B16:B29" name="Range1_4_2"/>
  </protectedRanges>
  <mergeCells count="144">
    <mergeCell ref="AM28:AM29"/>
    <mergeCell ref="AN28:AN29"/>
    <mergeCell ref="AO28:AO29"/>
    <mergeCell ref="AP28:AP29"/>
    <mergeCell ref="AQ28:AQ29"/>
    <mergeCell ref="AL16:AL17"/>
    <mergeCell ref="AM16:AM17"/>
    <mergeCell ref="AN16:AN17"/>
    <mergeCell ref="AO16:AO17"/>
    <mergeCell ref="AP16:AP17"/>
    <mergeCell ref="AQ16:AQ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M13:AM14"/>
    <mergeCell ref="AN13:AN14"/>
    <mergeCell ref="AO13:AO14"/>
    <mergeCell ref="AP13:AP14"/>
    <mergeCell ref="AQ13:AQ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28:A29"/>
    <mergeCell ref="B28:B29"/>
    <mergeCell ref="C28:C29"/>
    <mergeCell ref="D28:D29"/>
    <mergeCell ref="AK28:AK29"/>
    <mergeCell ref="AR13:AR14"/>
    <mergeCell ref="AS13:AS14"/>
    <mergeCell ref="AL13:AL14"/>
    <mergeCell ref="AR28:AR29"/>
    <mergeCell ref="AS28:AS29"/>
    <mergeCell ref="AR16:AR17"/>
    <mergeCell ref="AS16:AS1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L28:AL29"/>
    <mergeCell ref="A13:A14"/>
    <mergeCell ref="B13:B14"/>
    <mergeCell ref="C13:C14"/>
    <mergeCell ref="D11:D12"/>
    <mergeCell ref="AK11:AK12"/>
    <mergeCell ref="A16:A17"/>
    <mergeCell ref="B16:B17"/>
    <mergeCell ref="A26:A27"/>
    <mergeCell ref="B26:B27"/>
    <mergeCell ref="C26:C27"/>
    <mergeCell ref="C16:C17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D26:D27"/>
    <mergeCell ref="AK26:AK27"/>
    <mergeCell ref="D13:D14"/>
    <mergeCell ref="AK13:AK14"/>
    <mergeCell ref="D16:D17"/>
    <mergeCell ref="AK16:AK17"/>
    <mergeCell ref="AQ11:AQ12"/>
    <mergeCell ref="AR11:AR12"/>
    <mergeCell ref="AS11:AS12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L11:AL12"/>
    <mergeCell ref="AM11:AM12"/>
    <mergeCell ref="AN11:AN12"/>
    <mergeCell ref="AO11:AO12"/>
    <mergeCell ref="AP11:AP12"/>
    <mergeCell ref="A11:A12"/>
    <mergeCell ref="B11:B12"/>
    <mergeCell ref="C11:C12"/>
    <mergeCell ref="AO24:AO25"/>
    <mergeCell ref="AP24:AP25"/>
    <mergeCell ref="AQ24:AQ25"/>
    <mergeCell ref="AR24:AR25"/>
    <mergeCell ref="AS24:AS25"/>
    <mergeCell ref="D24:D25"/>
    <mergeCell ref="AK24:AK25"/>
    <mergeCell ref="AL24:AL25"/>
    <mergeCell ref="AM24:AM25"/>
    <mergeCell ref="AN24:AN25"/>
    <mergeCell ref="AO18:AO19"/>
    <mergeCell ref="AP18:AP19"/>
    <mergeCell ref="AQ18:AQ19"/>
    <mergeCell ref="AR18:AR19"/>
    <mergeCell ref="AS18:AS19"/>
    <mergeCell ref="D18:D19"/>
    <mergeCell ref="AK18:AK19"/>
    <mergeCell ref="AL18:AL19"/>
    <mergeCell ref="AM18:AM19"/>
    <mergeCell ref="AN18:AN19"/>
    <mergeCell ref="AO20:AO21"/>
    <mergeCell ref="AP20:AP21"/>
    <mergeCell ref="AQ20:AQ21"/>
    <mergeCell ref="AR20:AR21"/>
    <mergeCell ref="AS20:AS21"/>
    <mergeCell ref="D20:D21"/>
    <mergeCell ref="AK20:AK21"/>
    <mergeCell ref="AL20:AL21"/>
    <mergeCell ref="AM20:AM21"/>
    <mergeCell ref="AN20:AN21"/>
  </mergeCells>
  <conditionalFormatting sqref="F5:AJ6 F9:AJ10 F13:AJ14">
    <cfRule type="expression" dxfId="9" priority="38" stopIfTrue="1">
      <formula>IF(WEEKDAY(F$5)=1,TRUE,FALSE)</formula>
    </cfRule>
  </conditionalFormatting>
  <conditionalFormatting sqref="F9:AJ10 F13:AJ14">
    <cfRule type="expression" dxfId="8" priority="37" stopIfTrue="1">
      <formula>IF(WEEKDAY(F$5)=1,TRUE,FALSE)</formula>
    </cfRule>
  </conditionalFormatting>
  <conditionalFormatting sqref="F16:AJ17 F26:AJ29">
    <cfRule type="expression" dxfId="7" priority="8" stopIfTrue="1">
      <formula>IF(WEEKDAY(F$5)=1,TRUE,FALSE)</formula>
    </cfRule>
  </conditionalFormatting>
  <conditionalFormatting sqref="F16:AJ17 F26:AJ29">
    <cfRule type="expression" dxfId="6" priority="7" stopIfTrue="1">
      <formula>IF(WEEKDAY(F$5)=1,TRUE,FALSE)</formula>
    </cfRule>
  </conditionalFormatting>
  <conditionalFormatting sqref="F11:AJ12">
    <cfRule type="expression" dxfId="5" priority="6" stopIfTrue="1">
      <formula>IF(WEEKDAY(F$5)=1,TRUE,FALSE)</formula>
    </cfRule>
  </conditionalFormatting>
  <conditionalFormatting sqref="F11:AJ12">
    <cfRule type="expression" dxfId="4" priority="5" stopIfTrue="1">
      <formula>IF(WEEKDAY(F$5)=1,TRUE,FALSE)</formula>
    </cfRule>
  </conditionalFormatting>
  <conditionalFormatting sqref="F22:AJ25">
    <cfRule type="expression" dxfId="3" priority="4" stopIfTrue="1">
      <formula>IF(WEEKDAY(F$5)=1,TRUE,FALSE)</formula>
    </cfRule>
  </conditionalFormatting>
  <conditionalFormatting sqref="F22:AJ25">
    <cfRule type="expression" dxfId="2" priority="3" stopIfTrue="1">
      <formula>IF(WEEKDAY(F$5)=1,TRUE,FALSE)</formula>
    </cfRule>
  </conditionalFormatting>
  <conditionalFormatting sqref="F18:AJ21">
    <cfRule type="expression" dxfId="1" priority="2" stopIfTrue="1">
      <formula>IF(WEEKDAY(F$5)=1,TRUE,FALSE)</formula>
    </cfRule>
  </conditionalFormatting>
  <conditionalFormatting sqref="F18:AJ21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5"/>
  <sheetViews>
    <sheetView zoomScaleNormal="70" workbookViewId="0">
      <pane xSplit="3" ySplit="8" topLeftCell="D12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24" activeCellId="1" sqref="S14 S2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88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6"/>
      <c r="B1" s="214"/>
      <c r="C1" s="214"/>
      <c r="D1" s="276" t="str">
        <f>"BẢNG THANH TOÁN LƯƠNG THÁNG"&amp;" "&amp;TEXT($E$4,"mm")&amp;" / "&amp;TEXT($E$4,"yyyy")</f>
        <v>BẢNG THANH TOÁN LƯƠNG THÁNG 12 / 2014</v>
      </c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7"/>
      <c r="R1" s="278" t="s">
        <v>175</v>
      </c>
      <c r="S1" s="279"/>
      <c r="T1" s="280"/>
      <c r="U1" s="127" t="s">
        <v>58</v>
      </c>
      <c r="V1" s="107" t="s">
        <v>37</v>
      </c>
      <c r="W1" s="80"/>
      <c r="X1" s="80"/>
      <c r="Y1" s="5"/>
      <c r="Z1" s="5"/>
    </row>
    <row r="2" spans="1:31" s="4" customFormat="1" ht="15" customHeight="1">
      <c r="A2" s="136"/>
      <c r="B2" s="214"/>
      <c r="C2" s="214"/>
      <c r="D2" s="214"/>
      <c r="E2" s="78"/>
      <c r="F2" s="214"/>
      <c r="G2" s="214"/>
      <c r="H2" s="214"/>
      <c r="I2" s="214"/>
      <c r="J2" s="79"/>
      <c r="K2" s="214"/>
      <c r="L2" s="214"/>
      <c r="M2" s="214"/>
      <c r="N2" s="214"/>
      <c r="O2" s="214"/>
      <c r="P2" s="214"/>
      <c r="Q2" s="214"/>
      <c r="R2" s="214"/>
      <c r="S2" s="214"/>
      <c r="T2" s="56"/>
      <c r="U2" s="77">
        <f>MAX(F10:F24)</f>
        <v>27</v>
      </c>
      <c r="V2" s="108">
        <v>31</v>
      </c>
      <c r="W2" s="80"/>
      <c r="X2" s="80"/>
      <c r="Y2" s="5"/>
      <c r="Z2" s="5"/>
    </row>
    <row r="3" spans="1:31" s="4" customFormat="1" ht="15" customHeight="1">
      <c r="A3" s="136"/>
      <c r="B3" s="214"/>
      <c r="C3" s="214"/>
      <c r="D3" s="214"/>
      <c r="E3" s="78"/>
      <c r="F3" s="214"/>
      <c r="G3" s="214"/>
      <c r="H3" s="214"/>
      <c r="I3" s="214"/>
      <c r="J3" s="79"/>
      <c r="K3" s="214"/>
      <c r="L3" s="214"/>
      <c r="M3" s="214"/>
      <c r="N3" s="214"/>
      <c r="O3" s="214"/>
      <c r="P3" s="214"/>
      <c r="Q3" s="214"/>
      <c r="R3" s="214"/>
      <c r="S3" s="214"/>
      <c r="T3" s="56"/>
      <c r="U3" s="128"/>
      <c r="V3" s="129"/>
      <c r="W3" s="80"/>
      <c r="X3" s="80"/>
      <c r="Y3" s="5"/>
      <c r="Z3" s="5"/>
    </row>
    <row r="4" spans="1:31" s="102" customFormat="1" ht="14.25" customHeight="1">
      <c r="A4" s="100"/>
      <c r="B4" s="101"/>
      <c r="C4" s="101"/>
      <c r="D4" s="101"/>
      <c r="E4" s="186">
        <f>'CC -12'!$E$4</f>
        <v>41974</v>
      </c>
      <c r="F4" s="101"/>
      <c r="G4" s="101"/>
      <c r="H4" s="101"/>
      <c r="I4" s="101"/>
      <c r="J4" s="101"/>
      <c r="K4" s="101"/>
      <c r="L4" s="101"/>
      <c r="M4" s="101"/>
      <c r="N4" s="159">
        <v>0.08</v>
      </c>
      <c r="O4" s="159">
        <v>1.4999999999999999E-2</v>
      </c>
      <c r="P4" s="159">
        <v>0.01</v>
      </c>
      <c r="Q4" s="101"/>
      <c r="R4" s="101"/>
      <c r="S4" s="101"/>
      <c r="T4" s="101"/>
      <c r="U4" s="101"/>
      <c r="V4" s="103"/>
      <c r="W4" s="103"/>
      <c r="X4" s="103"/>
      <c r="Y4" s="103"/>
      <c r="Z4" s="103"/>
    </row>
    <row r="5" spans="1:31" s="25" customFormat="1" ht="24" customHeight="1">
      <c r="A5" s="281" t="s">
        <v>19</v>
      </c>
      <c r="B5" s="281" t="s">
        <v>20</v>
      </c>
      <c r="C5" s="234" t="s">
        <v>1</v>
      </c>
      <c r="D5" s="234" t="s">
        <v>2</v>
      </c>
      <c r="E5" s="229" t="s">
        <v>56</v>
      </c>
      <c r="F5" s="283" t="s">
        <v>26</v>
      </c>
      <c r="G5" s="284"/>
      <c r="H5" s="284"/>
      <c r="I5" s="284"/>
      <c r="J5" s="284"/>
      <c r="K5" s="285"/>
      <c r="L5" s="272" t="s">
        <v>57</v>
      </c>
      <c r="M5" s="272" t="s">
        <v>5</v>
      </c>
      <c r="N5" s="234" t="s">
        <v>6</v>
      </c>
      <c r="O5" s="234"/>
      <c r="P5" s="234"/>
      <c r="Q5" s="272" t="s">
        <v>7</v>
      </c>
      <c r="R5" s="272" t="s">
        <v>8</v>
      </c>
      <c r="S5" s="272" t="s">
        <v>9</v>
      </c>
      <c r="T5" s="230" t="s">
        <v>10</v>
      </c>
      <c r="U5" s="101"/>
      <c r="V5" s="26"/>
      <c r="W5" s="26"/>
      <c r="X5" s="5"/>
      <c r="Y5" s="5"/>
      <c r="Z5" s="5"/>
      <c r="AA5" s="4"/>
      <c r="AB5" s="4"/>
      <c r="AC5" s="4"/>
      <c r="AD5" s="4"/>
      <c r="AE5" s="4"/>
    </row>
    <row r="6" spans="1:31" s="25" customFormat="1" ht="33.75" customHeight="1">
      <c r="A6" s="282"/>
      <c r="B6" s="282"/>
      <c r="C6" s="234"/>
      <c r="D6" s="234"/>
      <c r="E6" s="229"/>
      <c r="F6" s="283" t="s">
        <v>59</v>
      </c>
      <c r="G6" s="285"/>
      <c r="H6" s="283" t="s">
        <v>158</v>
      </c>
      <c r="I6" s="284"/>
      <c r="J6" s="270" t="s">
        <v>27</v>
      </c>
      <c r="K6" s="272" t="s">
        <v>4</v>
      </c>
      <c r="L6" s="273"/>
      <c r="M6" s="273"/>
      <c r="N6" s="274" t="s">
        <v>12</v>
      </c>
      <c r="O6" s="272" t="s">
        <v>13</v>
      </c>
      <c r="P6" s="272" t="s">
        <v>34</v>
      </c>
      <c r="Q6" s="273"/>
      <c r="R6" s="273"/>
      <c r="S6" s="273"/>
      <c r="T6" s="231"/>
      <c r="U6" s="101"/>
      <c r="V6" s="26"/>
      <c r="W6" s="26"/>
      <c r="X6" s="5"/>
      <c r="Y6" s="5"/>
      <c r="Z6" s="5"/>
      <c r="AA6" s="4"/>
      <c r="AB6" s="4"/>
      <c r="AC6" s="4"/>
      <c r="AD6" s="4"/>
      <c r="AE6" s="4"/>
    </row>
    <row r="7" spans="1:31" s="25" customFormat="1" ht="35.25" customHeight="1">
      <c r="A7" s="282"/>
      <c r="B7" s="282"/>
      <c r="C7" s="272"/>
      <c r="D7" s="272"/>
      <c r="E7" s="229"/>
      <c r="F7" s="215" t="s">
        <v>40</v>
      </c>
      <c r="G7" s="212" t="s">
        <v>18</v>
      </c>
      <c r="H7" s="215" t="s">
        <v>40</v>
      </c>
      <c r="I7" s="125" t="s">
        <v>18</v>
      </c>
      <c r="J7" s="271"/>
      <c r="K7" s="273"/>
      <c r="L7" s="286"/>
      <c r="M7" s="286"/>
      <c r="N7" s="275"/>
      <c r="O7" s="273"/>
      <c r="P7" s="273"/>
      <c r="Q7" s="273"/>
      <c r="R7" s="273"/>
      <c r="S7" s="273"/>
      <c r="T7" s="231"/>
      <c r="U7" s="101"/>
      <c r="V7" s="26"/>
      <c r="W7" s="26"/>
      <c r="X7" s="5"/>
      <c r="Y7" s="5"/>
      <c r="Z7" s="5"/>
      <c r="AA7" s="4"/>
      <c r="AB7" s="4"/>
      <c r="AC7" s="4"/>
      <c r="AD7" s="4"/>
      <c r="AE7" s="4"/>
    </row>
    <row r="8" spans="1:31" s="82" customFormat="1" ht="12.75" customHeight="1">
      <c r="A8" s="81">
        <v>1</v>
      </c>
      <c r="B8" s="81">
        <v>2</v>
      </c>
      <c r="C8" s="81">
        <v>3</v>
      </c>
      <c r="D8" s="81">
        <v>4</v>
      </c>
      <c r="E8" s="81">
        <v>5</v>
      </c>
      <c r="F8" s="81">
        <v>7</v>
      </c>
      <c r="G8" s="81">
        <v>8</v>
      </c>
      <c r="H8" s="81">
        <v>9</v>
      </c>
      <c r="I8" s="81">
        <v>10</v>
      </c>
      <c r="J8" s="81">
        <v>13</v>
      </c>
      <c r="K8" s="81">
        <v>14</v>
      </c>
      <c r="L8" s="81">
        <v>16</v>
      </c>
      <c r="M8" s="81">
        <v>17</v>
      </c>
      <c r="N8" s="81">
        <v>18</v>
      </c>
      <c r="O8" s="81">
        <v>19</v>
      </c>
      <c r="P8" s="81">
        <v>20</v>
      </c>
      <c r="Q8" s="81">
        <v>21</v>
      </c>
      <c r="R8" s="81">
        <v>22</v>
      </c>
      <c r="S8" s="81">
        <v>23</v>
      </c>
      <c r="T8" s="81">
        <v>24</v>
      </c>
      <c r="U8" s="101"/>
      <c r="V8" s="83"/>
      <c r="W8" s="83"/>
      <c r="X8" s="84"/>
      <c r="Y8" s="84"/>
      <c r="Z8" s="84"/>
      <c r="AA8" s="85"/>
      <c r="AB8" s="85"/>
      <c r="AC8" s="85"/>
      <c r="AD8" s="85"/>
      <c r="AE8" s="85"/>
    </row>
    <row r="9" spans="1:31" s="82" customFormat="1" ht="24" customHeight="1">
      <c r="A9" s="185" t="s">
        <v>155</v>
      </c>
      <c r="B9" s="184" t="s">
        <v>176</v>
      </c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01"/>
      <c r="V9" s="83"/>
      <c r="W9" s="83"/>
      <c r="X9" s="84"/>
      <c r="Y9" s="84"/>
      <c r="Z9" s="84"/>
      <c r="AA9" s="85"/>
      <c r="AB9" s="85"/>
      <c r="AC9" s="85"/>
      <c r="AD9" s="85"/>
      <c r="AE9" s="85"/>
    </row>
    <row r="10" spans="1:31" s="34" customFormat="1" ht="24" customHeight="1">
      <c r="A10" s="36">
        <v>1</v>
      </c>
      <c r="B10" s="138" t="s">
        <v>173</v>
      </c>
      <c r="C10" s="86" t="str">
        <f t="shared" ref="C10:C12" si="0">VLOOKUP(B10,DS,2,0)</f>
        <v>Nguyễn Thị Thu Sương</v>
      </c>
      <c r="D10" s="113" t="str">
        <f t="shared" ref="D10:D12" si="1">VLOOKUP(B10,DS,3,0)</f>
        <v>Kinh Doanh</v>
      </c>
      <c r="E10" s="87">
        <f>VLOOKUP(B10,DS,5,0)</f>
        <v>4500000</v>
      </c>
      <c r="F10" s="89">
        <f>VLOOKUP(B10,'CC -12'!$B$8:$AS$29,36,0)</f>
        <v>27</v>
      </c>
      <c r="G10" s="142">
        <f t="shared" ref="G10:G12" si="2">ROUND(E10/$U$2*F10,0)</f>
        <v>4500000</v>
      </c>
      <c r="H10" s="89">
        <f>(VLOOKUP(B10,'CC -12'!$B$8:$AS$29,37,0)+VLOOKUP(B10,'CC -12'!$B$8:$AS$29,38,0))</f>
        <v>0</v>
      </c>
      <c r="I10" s="142">
        <f t="shared" ref="I10:I12" si="3">ROUND(E10/$U$2*H10,0)</f>
        <v>0</v>
      </c>
      <c r="J10" s="90">
        <f t="shared" ref="J10:K12" si="4">F10+H10</f>
        <v>27</v>
      </c>
      <c r="K10" s="37">
        <f>G10+I10</f>
        <v>4500000</v>
      </c>
      <c r="L10" s="87">
        <f t="shared" ref="L10:L12" si="5">+F10*15000</f>
        <v>405000</v>
      </c>
      <c r="M10" s="38">
        <f t="shared" ref="M10:M12" si="6">K10+L10</f>
        <v>4905000</v>
      </c>
      <c r="N10" s="38">
        <f>IF(VLOOKUP(B10,DS,9,0)="x",E10*$N$4,0)</f>
        <v>0</v>
      </c>
      <c r="O10" s="38">
        <f>IF(VLOOKUP(B10,DS,9,0)="x",E10*$O$4,0)</f>
        <v>0</v>
      </c>
      <c r="P10" s="38">
        <f>IF(VLOOKUP(B10,DS,9,0)="x",E10*$P$4,0)</f>
        <v>0</v>
      </c>
      <c r="Q10" s="37">
        <f t="shared" ref="Q10:Q12" si="7">M10-SUM(N10:P10)</f>
        <v>4905000</v>
      </c>
      <c r="R10" s="37">
        <f>VLOOKUP(B10,DS,23,0)</f>
        <v>0</v>
      </c>
      <c r="S10" s="43">
        <f t="shared" ref="S10:S12" si="8">Q10-R10</f>
        <v>4905000</v>
      </c>
      <c r="T10" s="37"/>
      <c r="U10" s="101"/>
      <c r="V10" s="35"/>
      <c r="W10" s="26"/>
      <c r="X10" s="5"/>
      <c r="Y10" s="5"/>
      <c r="Z10" s="5"/>
      <c r="AA10" s="4"/>
      <c r="AB10" s="4"/>
      <c r="AC10" s="4"/>
      <c r="AD10" s="4"/>
      <c r="AE10" s="4"/>
    </row>
    <row r="11" spans="1:31" s="34" customFormat="1" ht="24" customHeight="1">
      <c r="A11" s="36">
        <v>2</v>
      </c>
      <c r="B11" s="138" t="s">
        <v>177</v>
      </c>
      <c r="C11" s="86" t="str">
        <f t="shared" ref="C11" si="9">VLOOKUP(B11,DS,2,0)</f>
        <v>Trần Anh Nhựt</v>
      </c>
      <c r="D11" s="113" t="str">
        <f t="shared" ref="D11" si="10">VLOOKUP(B11,DS,3,0)</f>
        <v>Thiết Kế</v>
      </c>
      <c r="E11" s="87">
        <f>VLOOKUP(B11,DS,5,0)</f>
        <v>4500000</v>
      </c>
      <c r="F11" s="89">
        <f>VLOOKUP(B11,'CC -12'!$B$8:$AS$29,36,0)</f>
        <v>27</v>
      </c>
      <c r="G11" s="142">
        <f t="shared" ref="G11" si="11">ROUND(E11/$U$2*F11,0)</f>
        <v>4500000</v>
      </c>
      <c r="H11" s="89">
        <f>(VLOOKUP(B11,'CC -12'!$B$8:$AS$29,37,0)+VLOOKUP(B11,'CC -12'!$B$8:$AS$29,38,0))</f>
        <v>0</v>
      </c>
      <c r="I11" s="142">
        <f t="shared" ref="I11" si="12">ROUND(E11/$U$2*H11,0)</f>
        <v>0</v>
      </c>
      <c r="J11" s="90">
        <f t="shared" ref="J11" si="13">F11+H11</f>
        <v>27</v>
      </c>
      <c r="K11" s="37">
        <f t="shared" ref="K11" si="14">G11+I11</f>
        <v>4500000</v>
      </c>
      <c r="L11" s="87">
        <f t="shared" ref="L11" si="15">+F11*15000</f>
        <v>405000</v>
      </c>
      <c r="M11" s="38">
        <f t="shared" ref="M11" si="16">K11+L11</f>
        <v>4905000</v>
      </c>
      <c r="N11" s="38">
        <f>IF(VLOOKUP(B11,DS,9,0)="x",E11*$N$4,0)</f>
        <v>0</v>
      </c>
      <c r="O11" s="38">
        <f>IF(VLOOKUP(B11,DS,9,0)="x",E11*$O$4,0)</f>
        <v>0</v>
      </c>
      <c r="P11" s="38">
        <f>IF(VLOOKUP(B11,DS,9,0)="x",E11*$P$4,0)</f>
        <v>0</v>
      </c>
      <c r="Q11" s="37">
        <f t="shared" ref="Q11" si="17">M11-SUM(N11:P11)</f>
        <v>4905000</v>
      </c>
      <c r="R11" s="37">
        <f>VLOOKUP(B11,DS,23,0)</f>
        <v>0</v>
      </c>
      <c r="S11" s="43">
        <f t="shared" ref="S11" si="18">Q11-R11</f>
        <v>4905000</v>
      </c>
      <c r="T11" s="37"/>
      <c r="U11" s="101"/>
      <c r="V11" s="35"/>
      <c r="W11" s="26"/>
      <c r="X11" s="5"/>
      <c r="Y11" s="5"/>
      <c r="Z11" s="5"/>
      <c r="AA11" s="4"/>
      <c r="AB11" s="4"/>
      <c r="AC11" s="4"/>
      <c r="AD11" s="4"/>
      <c r="AE11" s="4"/>
    </row>
    <row r="12" spans="1:31" s="34" customFormat="1" ht="24" customHeight="1">
      <c r="A12" s="36">
        <v>3</v>
      </c>
      <c r="B12" s="138" t="s">
        <v>178</v>
      </c>
      <c r="C12" s="86" t="str">
        <f t="shared" si="0"/>
        <v>Huỳnh Minh Toàn</v>
      </c>
      <c r="D12" s="113" t="str">
        <f t="shared" si="1"/>
        <v>Thủ Kho</v>
      </c>
      <c r="E12" s="87">
        <f>VLOOKUP(B12,DS,5,0)</f>
        <v>5000000</v>
      </c>
      <c r="F12" s="89">
        <f>VLOOKUP(B12,'CC -12'!$B$8:$AS$29,36,0)</f>
        <v>27</v>
      </c>
      <c r="G12" s="142">
        <f t="shared" si="2"/>
        <v>5000000</v>
      </c>
      <c r="H12" s="89">
        <f>(VLOOKUP(B12,'CC -12'!$B$8:$AS$29,37,0)+VLOOKUP(B12,'CC -12'!$B$8:$AS$29,38,0))</f>
        <v>0</v>
      </c>
      <c r="I12" s="142">
        <f t="shared" si="3"/>
        <v>0</v>
      </c>
      <c r="J12" s="90">
        <f t="shared" si="4"/>
        <v>27</v>
      </c>
      <c r="K12" s="37">
        <f t="shared" si="4"/>
        <v>5000000</v>
      </c>
      <c r="L12" s="87">
        <f t="shared" si="5"/>
        <v>405000</v>
      </c>
      <c r="M12" s="38">
        <f t="shared" si="6"/>
        <v>5405000</v>
      </c>
      <c r="N12" s="38">
        <f>IF(VLOOKUP(B12,DS,9,0)="x",E12*$N$4,0)</f>
        <v>0</v>
      </c>
      <c r="O12" s="38">
        <f>IF(VLOOKUP(B12,DS,9,0)="x",E12*$O$4,0)</f>
        <v>0</v>
      </c>
      <c r="P12" s="38">
        <f>IF(VLOOKUP(B12,DS,9,0)="x",E12*$P$4,0)</f>
        <v>0</v>
      </c>
      <c r="Q12" s="37">
        <f t="shared" si="7"/>
        <v>5405000</v>
      </c>
      <c r="R12" s="37">
        <f>VLOOKUP(B12,DS,23,0)</f>
        <v>0</v>
      </c>
      <c r="S12" s="43">
        <f t="shared" si="8"/>
        <v>5405000</v>
      </c>
      <c r="T12" s="37"/>
      <c r="U12" s="101"/>
      <c r="V12" s="35"/>
      <c r="W12" s="26"/>
      <c r="X12" s="5"/>
      <c r="Y12" s="5"/>
      <c r="Z12" s="5"/>
      <c r="AA12" s="4"/>
      <c r="AB12" s="4"/>
      <c r="AC12" s="4"/>
      <c r="AD12" s="4"/>
      <c r="AE12" s="4"/>
    </row>
    <row r="13" spans="1:31" s="34" customFormat="1" ht="24" customHeight="1">
      <c r="A13" s="200"/>
      <c r="B13" s="201"/>
      <c r="C13" s="202"/>
      <c r="D13" s="203"/>
      <c r="E13" s="204"/>
      <c r="F13" s="205"/>
      <c r="G13" s="206"/>
      <c r="H13" s="205"/>
      <c r="I13" s="206"/>
      <c r="J13" s="207"/>
      <c r="K13" s="208"/>
      <c r="L13" s="204"/>
      <c r="M13" s="209"/>
      <c r="N13" s="209"/>
      <c r="O13" s="209"/>
      <c r="P13" s="209"/>
      <c r="Q13" s="208"/>
      <c r="R13" s="208"/>
      <c r="S13" s="210"/>
      <c r="T13" s="208"/>
      <c r="U13" s="101"/>
      <c r="V13" s="35"/>
      <c r="W13" s="26"/>
      <c r="X13" s="5"/>
      <c r="Y13" s="5"/>
      <c r="Z13" s="5"/>
      <c r="AA13" s="4"/>
      <c r="AB13" s="4"/>
      <c r="AC13" s="4"/>
      <c r="AD13" s="4"/>
      <c r="AE13" s="4"/>
    </row>
    <row r="14" spans="1:31" s="30" customFormat="1" ht="21" customHeight="1">
      <c r="A14" s="269" t="s">
        <v>25</v>
      </c>
      <c r="B14" s="269"/>
      <c r="C14" s="269"/>
      <c r="D14" s="269"/>
      <c r="E14" s="137">
        <f>SUM(E9:E13)</f>
        <v>14000000</v>
      </c>
      <c r="F14" s="137"/>
      <c r="G14" s="137">
        <f>SUM(G9:G13)</f>
        <v>14000000</v>
      </c>
      <c r="H14" s="137"/>
      <c r="I14" s="137">
        <f>SUM(I9:I13)</f>
        <v>0</v>
      </c>
      <c r="J14" s="137"/>
      <c r="K14" s="137">
        <f t="shared" ref="K14:S14" si="19">SUM(K9:K13)</f>
        <v>14000000</v>
      </c>
      <c r="L14" s="137">
        <f t="shared" si="19"/>
        <v>1215000</v>
      </c>
      <c r="M14" s="137">
        <f t="shared" si="19"/>
        <v>15215000</v>
      </c>
      <c r="N14" s="137">
        <f t="shared" si="19"/>
        <v>0</v>
      </c>
      <c r="O14" s="137">
        <f t="shared" si="19"/>
        <v>0</v>
      </c>
      <c r="P14" s="137">
        <f t="shared" si="19"/>
        <v>0</v>
      </c>
      <c r="Q14" s="137">
        <f t="shared" si="19"/>
        <v>15215000</v>
      </c>
      <c r="R14" s="137">
        <f t="shared" si="19"/>
        <v>0</v>
      </c>
      <c r="S14" s="137">
        <f t="shared" si="19"/>
        <v>15215000</v>
      </c>
      <c r="T14" s="24"/>
      <c r="U14" s="101"/>
      <c r="V14" s="31"/>
      <c r="W14" s="31"/>
      <c r="X14" s="31"/>
      <c r="Y14" s="31"/>
      <c r="Z14" s="31"/>
    </row>
    <row r="15" spans="1:31" s="82" customFormat="1" ht="24" customHeight="1">
      <c r="A15" s="185" t="s">
        <v>156</v>
      </c>
      <c r="B15" s="184" t="s">
        <v>157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01"/>
      <c r="V15" s="83"/>
      <c r="W15" s="83"/>
      <c r="X15" s="84"/>
      <c r="Y15" s="84"/>
      <c r="Z15" s="84"/>
      <c r="AA15" s="85"/>
      <c r="AB15" s="85"/>
      <c r="AC15" s="85"/>
      <c r="AD15" s="85"/>
      <c r="AE15" s="85"/>
    </row>
    <row r="16" spans="1:31" s="34" customFormat="1" ht="24" customHeight="1">
      <c r="A16" s="36">
        <v>1</v>
      </c>
      <c r="B16" s="138" t="s">
        <v>161</v>
      </c>
      <c r="C16" s="86" t="str">
        <f t="shared" ref="C16:C20" si="20">VLOOKUP(B16,DS,2,0)</f>
        <v>Nguyễn Trường Giang</v>
      </c>
      <c r="D16" s="113" t="str">
        <f t="shared" ref="D16:D20" si="21">VLOOKUP(B16,DS,3,0)</f>
        <v>Thợ in</v>
      </c>
      <c r="E16" s="87">
        <f>VLOOKUP(B16,DS,5,0)</f>
        <v>4500000</v>
      </c>
      <c r="F16" s="89">
        <f>VLOOKUP(B16,'CC -12'!$B$8:$AS$29,36,0)</f>
        <v>27</v>
      </c>
      <c r="G16" s="142">
        <f t="shared" ref="G16:G20" si="22">ROUND(E16/$U$2*F16,0)</f>
        <v>4500000</v>
      </c>
      <c r="H16" s="89">
        <f>(VLOOKUP(B16,'CC -12'!$B$8:$AS$29,37,0)+VLOOKUP(B16,'CC -12'!$B$8:$AS$29,38,0))</f>
        <v>0</v>
      </c>
      <c r="I16" s="142">
        <f t="shared" ref="I16:I20" si="23">ROUND(E16/$U$2*H16,0)</f>
        <v>0</v>
      </c>
      <c r="J16" s="143">
        <f t="shared" ref="J16:K20" si="24">F16+H16</f>
        <v>27</v>
      </c>
      <c r="K16" s="37">
        <f t="shared" si="24"/>
        <v>4500000</v>
      </c>
      <c r="L16" s="87">
        <f t="shared" ref="L16:L20" si="25">+F16*15000</f>
        <v>405000</v>
      </c>
      <c r="M16" s="38">
        <f t="shared" ref="M16:M20" si="26">K16+L16</f>
        <v>4905000</v>
      </c>
      <c r="N16" s="38">
        <f>IF(VLOOKUP(B16,DS,9,0)="x",'L - 12'!E16*$N$4,0)</f>
        <v>0</v>
      </c>
      <c r="O16" s="38">
        <f t="shared" ref="O16:O20" si="27">IF(VLOOKUP(B16,DS,9,0)="x",E16*0.015,0)</f>
        <v>0</v>
      </c>
      <c r="P16" s="38">
        <f t="shared" ref="P16:P20" si="28">IF(VLOOKUP(B16,DS,9,0)="x",E16*0.01,0)</f>
        <v>0</v>
      </c>
      <c r="Q16" s="37">
        <f>M16-SUM(N16:P16)</f>
        <v>4905000</v>
      </c>
      <c r="R16" s="37">
        <f t="shared" ref="R16:R20" si="29">VLOOKUP(B16,DS,23,0)</f>
        <v>0</v>
      </c>
      <c r="S16" s="43">
        <f>Q16-R16</f>
        <v>4905000</v>
      </c>
      <c r="T16" s="37"/>
      <c r="U16" s="101"/>
      <c r="V16" s="35"/>
      <c r="W16" s="26"/>
      <c r="X16" s="5"/>
      <c r="Y16" s="5"/>
      <c r="Z16" s="5"/>
      <c r="AA16" s="4"/>
      <c r="AB16" s="4"/>
      <c r="AC16" s="4"/>
      <c r="AD16" s="4"/>
      <c r="AE16" s="4"/>
    </row>
    <row r="17" spans="1:31" s="34" customFormat="1" ht="24" customHeight="1">
      <c r="A17" s="36">
        <v>2</v>
      </c>
      <c r="B17" s="138" t="s">
        <v>183</v>
      </c>
      <c r="C17" s="86" t="str">
        <f t="shared" ref="C17:C18" si="30">VLOOKUP(B17,DS,2,0)</f>
        <v>Võ Văn Kiệt</v>
      </c>
      <c r="D17" s="113" t="str">
        <f t="shared" ref="D17:D18" si="31">VLOOKUP(B17,DS,3,0)</f>
        <v>Công Đoạn 1</v>
      </c>
      <c r="E17" s="87">
        <f>VLOOKUP(B17,DS,5,0)</f>
        <v>4500000</v>
      </c>
      <c r="F17" s="89">
        <f>VLOOKUP(B17,'CC -12'!$B$8:$AS$29,36,0)</f>
        <v>27</v>
      </c>
      <c r="G17" s="142">
        <f t="shared" ref="G17:G18" si="32">ROUND(E17/$U$2*F17,0)</f>
        <v>4500000</v>
      </c>
      <c r="H17" s="89">
        <f>(VLOOKUP(B17,'CC -12'!$B$8:$AS$29,37,0)+VLOOKUP(B17,'CC -12'!$B$8:$AS$29,38,0))</f>
        <v>0</v>
      </c>
      <c r="I17" s="142">
        <f t="shared" ref="I17:I18" si="33">ROUND(E17/$U$2*H17,0)</f>
        <v>0</v>
      </c>
      <c r="J17" s="143">
        <f t="shared" ref="J17:J18" si="34">F17+H17</f>
        <v>27</v>
      </c>
      <c r="K17" s="37">
        <f t="shared" ref="K17:K18" si="35">G17+I17</f>
        <v>4500000</v>
      </c>
      <c r="L17" s="87">
        <f t="shared" ref="L17:L18" si="36">+F17*15000</f>
        <v>405000</v>
      </c>
      <c r="M17" s="38">
        <f t="shared" ref="M17:M18" si="37">K17+L17</f>
        <v>4905000</v>
      </c>
      <c r="N17" s="38">
        <f>IF(VLOOKUP(B17,DS,9,0)="x",'L - 12'!E17*$N$4,0)</f>
        <v>0</v>
      </c>
      <c r="O17" s="38">
        <f t="shared" ref="O17:O18" si="38">IF(VLOOKUP(B17,DS,9,0)="x",E17*0.015,0)</f>
        <v>0</v>
      </c>
      <c r="P17" s="38">
        <f t="shared" ref="P17:P18" si="39">IF(VLOOKUP(B17,DS,9,0)="x",E17*0.01,0)</f>
        <v>0</v>
      </c>
      <c r="Q17" s="37">
        <f t="shared" ref="Q17:Q18" si="40">M17-SUM(N17:P17)</f>
        <v>4905000</v>
      </c>
      <c r="R17" s="37">
        <f t="shared" ref="R17:R18" si="41">VLOOKUP(B17,DS,23,0)</f>
        <v>0</v>
      </c>
      <c r="S17" s="43">
        <f t="shared" ref="S17:S18" si="42">Q17-R17</f>
        <v>4905000</v>
      </c>
      <c r="T17" s="37"/>
      <c r="U17" s="101"/>
      <c r="V17" s="35"/>
      <c r="W17" s="26"/>
      <c r="X17" s="5"/>
      <c r="Y17" s="5"/>
      <c r="Z17" s="5"/>
      <c r="AA17" s="4"/>
      <c r="AB17" s="4"/>
      <c r="AC17" s="4"/>
      <c r="AD17" s="4"/>
      <c r="AE17" s="4"/>
    </row>
    <row r="18" spans="1:31" s="34" customFormat="1" ht="24" customHeight="1">
      <c r="A18" s="36">
        <v>3</v>
      </c>
      <c r="B18" s="138" t="s">
        <v>184</v>
      </c>
      <c r="C18" s="86" t="str">
        <f t="shared" si="30"/>
        <v>Diệp Văn Lân</v>
      </c>
      <c r="D18" s="113" t="str">
        <f t="shared" si="31"/>
        <v>Công Đoạn 1</v>
      </c>
      <c r="E18" s="87">
        <f>VLOOKUP(B18,DS,5,0)</f>
        <v>3700000</v>
      </c>
      <c r="F18" s="89">
        <f>VLOOKUP(B18,'CC -12'!$B$8:$AS$29,36,0)</f>
        <v>27</v>
      </c>
      <c r="G18" s="142">
        <f t="shared" si="32"/>
        <v>3700000</v>
      </c>
      <c r="H18" s="89">
        <f>(VLOOKUP(B18,'CC -12'!$B$8:$AS$29,37,0)+VLOOKUP(B18,'CC -12'!$B$8:$AS$29,38,0))</f>
        <v>0</v>
      </c>
      <c r="I18" s="142">
        <f t="shared" si="33"/>
        <v>0</v>
      </c>
      <c r="J18" s="143">
        <f t="shared" si="34"/>
        <v>27</v>
      </c>
      <c r="K18" s="37">
        <f t="shared" si="35"/>
        <v>3700000</v>
      </c>
      <c r="L18" s="87">
        <f t="shared" si="36"/>
        <v>405000</v>
      </c>
      <c r="M18" s="38">
        <f t="shared" si="37"/>
        <v>4105000</v>
      </c>
      <c r="N18" s="38">
        <f>IF(VLOOKUP(B18,DS,9,0)="x",'L - 12'!E18*$N$4,0)</f>
        <v>0</v>
      </c>
      <c r="O18" s="38">
        <f t="shared" si="38"/>
        <v>0</v>
      </c>
      <c r="P18" s="38">
        <f t="shared" si="39"/>
        <v>0</v>
      </c>
      <c r="Q18" s="37">
        <f t="shared" si="40"/>
        <v>4105000</v>
      </c>
      <c r="R18" s="37">
        <f t="shared" si="41"/>
        <v>0</v>
      </c>
      <c r="S18" s="43">
        <f t="shared" si="42"/>
        <v>4105000</v>
      </c>
      <c r="T18" s="37"/>
      <c r="U18" s="101"/>
      <c r="V18" s="35"/>
      <c r="W18" s="26"/>
      <c r="X18" s="5"/>
      <c r="Y18" s="5"/>
      <c r="Z18" s="5"/>
      <c r="AA18" s="4"/>
      <c r="AB18" s="4"/>
      <c r="AC18" s="4"/>
      <c r="AD18" s="4"/>
      <c r="AE18" s="4"/>
    </row>
    <row r="19" spans="1:31" s="34" customFormat="1" ht="24" customHeight="1">
      <c r="A19" s="36">
        <v>4</v>
      </c>
      <c r="B19" s="138" t="s">
        <v>185</v>
      </c>
      <c r="C19" s="86" t="str">
        <f t="shared" si="20"/>
        <v>Dương Thế Kiệt</v>
      </c>
      <c r="D19" s="113" t="str">
        <f t="shared" si="21"/>
        <v>Công Đoạn 1</v>
      </c>
      <c r="E19" s="87">
        <f>VLOOKUP(B19,DS,5,0)</f>
        <v>3700000</v>
      </c>
      <c r="F19" s="89">
        <f>VLOOKUP(B19,'CC -12'!$B$8:$AS$29,36,0)</f>
        <v>27</v>
      </c>
      <c r="G19" s="142">
        <f t="shared" si="22"/>
        <v>3700000</v>
      </c>
      <c r="H19" s="89">
        <f>(VLOOKUP(B19,'CC -12'!$B$8:$AS$29,37,0)+VLOOKUP(B19,'CC -12'!$B$8:$AS$29,38,0))</f>
        <v>0</v>
      </c>
      <c r="I19" s="142">
        <f t="shared" si="23"/>
        <v>0</v>
      </c>
      <c r="J19" s="143">
        <f t="shared" si="24"/>
        <v>27</v>
      </c>
      <c r="K19" s="37">
        <f t="shared" si="24"/>
        <v>3700000</v>
      </c>
      <c r="L19" s="87">
        <f t="shared" si="25"/>
        <v>405000</v>
      </c>
      <c r="M19" s="38">
        <f t="shared" si="26"/>
        <v>4105000</v>
      </c>
      <c r="N19" s="38">
        <f>IF(VLOOKUP(B19,DS,9,0)="x",'L - 12'!E19*$N$4,0)</f>
        <v>0</v>
      </c>
      <c r="O19" s="38">
        <f t="shared" si="27"/>
        <v>0</v>
      </c>
      <c r="P19" s="38">
        <f t="shared" si="28"/>
        <v>0</v>
      </c>
      <c r="Q19" s="37">
        <f t="shared" ref="Q19:Q20" si="43">M19-SUM(N19:P19)</f>
        <v>4105000</v>
      </c>
      <c r="R19" s="37">
        <f t="shared" si="29"/>
        <v>0</v>
      </c>
      <c r="S19" s="43">
        <f t="shared" ref="S19:S20" si="44">Q19-R19</f>
        <v>4105000</v>
      </c>
      <c r="T19" s="37"/>
      <c r="U19" s="101"/>
      <c r="V19" s="35"/>
      <c r="W19" s="26"/>
      <c r="X19" s="5"/>
      <c r="Y19" s="5"/>
      <c r="Z19" s="5"/>
      <c r="AA19" s="4"/>
      <c r="AB19" s="4"/>
      <c r="AC19" s="4"/>
      <c r="AD19" s="4"/>
      <c r="AE19" s="4"/>
    </row>
    <row r="20" spans="1:31" s="34" customFormat="1" ht="24" customHeight="1">
      <c r="A20" s="36">
        <v>5</v>
      </c>
      <c r="B20" s="138" t="s">
        <v>186</v>
      </c>
      <c r="C20" s="86" t="str">
        <f t="shared" si="20"/>
        <v>Lê Văn Hữu</v>
      </c>
      <c r="D20" s="113" t="str">
        <f t="shared" si="21"/>
        <v>Công Đoạn 2</v>
      </c>
      <c r="E20" s="87">
        <f>VLOOKUP(B20,DS,5,0)</f>
        <v>4500000</v>
      </c>
      <c r="F20" s="89">
        <f>VLOOKUP(B20,'CC -12'!$B$8:$AS$29,36,0)</f>
        <v>27</v>
      </c>
      <c r="G20" s="142">
        <f t="shared" si="22"/>
        <v>4500000</v>
      </c>
      <c r="H20" s="89">
        <f>(VLOOKUP(B20,'CC -12'!$B$8:$AS$29,37,0)+VLOOKUP(B20,'CC -12'!$B$8:$AS$29,38,0))</f>
        <v>0</v>
      </c>
      <c r="I20" s="142">
        <f t="shared" si="23"/>
        <v>0</v>
      </c>
      <c r="J20" s="143">
        <f t="shared" si="24"/>
        <v>27</v>
      </c>
      <c r="K20" s="37">
        <f t="shared" si="24"/>
        <v>4500000</v>
      </c>
      <c r="L20" s="87">
        <f t="shared" si="25"/>
        <v>405000</v>
      </c>
      <c r="M20" s="38">
        <f t="shared" si="26"/>
        <v>4905000</v>
      </c>
      <c r="N20" s="38">
        <f>IF(VLOOKUP(B20,DS,9,0)="x",'L - 12'!E20*$N$4,0)</f>
        <v>0</v>
      </c>
      <c r="O20" s="38">
        <f t="shared" si="27"/>
        <v>0</v>
      </c>
      <c r="P20" s="38">
        <f t="shared" si="28"/>
        <v>0</v>
      </c>
      <c r="Q20" s="37">
        <f t="shared" si="43"/>
        <v>4905000</v>
      </c>
      <c r="R20" s="37">
        <f t="shared" si="29"/>
        <v>0</v>
      </c>
      <c r="S20" s="43">
        <f t="shared" si="44"/>
        <v>4905000</v>
      </c>
      <c r="T20" s="37"/>
      <c r="U20" s="101"/>
      <c r="V20" s="35"/>
      <c r="W20" s="26"/>
      <c r="X20" s="5"/>
      <c r="Y20" s="5"/>
      <c r="Z20" s="5"/>
      <c r="AA20" s="4"/>
      <c r="AB20" s="4"/>
      <c r="AC20" s="4"/>
      <c r="AD20" s="4"/>
      <c r="AE20" s="4"/>
    </row>
    <row r="21" spans="1:31" s="34" customFormat="1" ht="24" customHeight="1">
      <c r="A21" s="36">
        <v>6</v>
      </c>
      <c r="B21" s="138" t="s">
        <v>187</v>
      </c>
      <c r="C21" s="86" t="str">
        <f t="shared" ref="C21:C22" si="45">VLOOKUP(B21,DS,2,0)</f>
        <v>Bùi Trường Giang</v>
      </c>
      <c r="D21" s="113" t="str">
        <f t="shared" ref="D21:D22" si="46">VLOOKUP(B21,DS,3,0)</f>
        <v>Công Đoạn 2</v>
      </c>
      <c r="E21" s="87">
        <f>VLOOKUP(B21,DS,5,0)</f>
        <v>3700000</v>
      </c>
      <c r="F21" s="89">
        <f>VLOOKUP(B21,'CC -12'!$B$8:$AS$29,36,0)</f>
        <v>27</v>
      </c>
      <c r="G21" s="142">
        <f t="shared" ref="G21:G22" si="47">ROUND(E21/$U$2*F21,0)</f>
        <v>3700000</v>
      </c>
      <c r="H21" s="89">
        <f>(VLOOKUP(B21,'CC -12'!$B$8:$AS$29,37,0)+VLOOKUP(B21,'CC -12'!$B$8:$AS$29,38,0))</f>
        <v>0</v>
      </c>
      <c r="I21" s="142">
        <f t="shared" ref="I21:I22" si="48">ROUND(E21/$U$2*H21,0)</f>
        <v>0</v>
      </c>
      <c r="J21" s="143">
        <f t="shared" ref="J21:J22" si="49">F21+H21</f>
        <v>27</v>
      </c>
      <c r="K21" s="37">
        <f t="shared" ref="K21:K22" si="50">G21+I21</f>
        <v>3700000</v>
      </c>
      <c r="L21" s="87">
        <f t="shared" ref="L21:L22" si="51">+F21*15000</f>
        <v>405000</v>
      </c>
      <c r="M21" s="38">
        <f t="shared" ref="M21:M22" si="52">K21+L21</f>
        <v>4105000</v>
      </c>
      <c r="N21" s="38">
        <f>IF(VLOOKUP(B21,DS,9,0)="x",'L - 12'!E21*$N$4,0)</f>
        <v>0</v>
      </c>
      <c r="O21" s="38">
        <f t="shared" ref="O21:O22" si="53">IF(VLOOKUP(B21,DS,9,0)="x",E21*0.015,0)</f>
        <v>0</v>
      </c>
      <c r="P21" s="38">
        <f t="shared" ref="P21:P22" si="54">IF(VLOOKUP(B21,DS,9,0)="x",E21*0.01,0)</f>
        <v>0</v>
      </c>
      <c r="Q21" s="37">
        <f t="shared" ref="Q21:Q22" si="55">M21-SUM(N21:P21)</f>
        <v>4105000</v>
      </c>
      <c r="R21" s="37">
        <f t="shared" ref="R21:R22" si="56">VLOOKUP(B21,DS,23,0)</f>
        <v>0</v>
      </c>
      <c r="S21" s="43">
        <f t="shared" ref="S21:S22" si="57">Q21-R21</f>
        <v>4105000</v>
      </c>
      <c r="T21" s="37"/>
      <c r="U21" s="101"/>
      <c r="V21" s="35"/>
      <c r="W21" s="26"/>
      <c r="X21" s="5"/>
      <c r="Y21" s="5"/>
      <c r="Z21" s="5"/>
      <c r="AA21" s="4"/>
      <c r="AB21" s="4"/>
      <c r="AC21" s="4"/>
      <c r="AD21" s="4"/>
      <c r="AE21" s="4"/>
    </row>
    <row r="22" spans="1:31" s="34" customFormat="1" ht="24" customHeight="1">
      <c r="A22" s="36">
        <v>7</v>
      </c>
      <c r="B22" s="138" t="s">
        <v>192</v>
      </c>
      <c r="C22" s="86" t="str">
        <f t="shared" si="45"/>
        <v>Nguyễn T Bích Thủy</v>
      </c>
      <c r="D22" s="113" t="str">
        <f t="shared" si="46"/>
        <v>Công Đoạn 2</v>
      </c>
      <c r="E22" s="87">
        <f>VLOOKUP(B22,DS,5,0)</f>
        <v>3700000</v>
      </c>
      <c r="F22" s="89">
        <f>VLOOKUP(B22,'CC -12'!$B$8:$AS$29,36,0)</f>
        <v>27</v>
      </c>
      <c r="G22" s="142">
        <f t="shared" si="47"/>
        <v>3700000</v>
      </c>
      <c r="H22" s="89">
        <f>(VLOOKUP(B22,'CC -12'!$B$8:$AS$29,37,0)+VLOOKUP(B22,'CC -12'!$B$8:$AS$29,38,0))</f>
        <v>0</v>
      </c>
      <c r="I22" s="142">
        <f t="shared" si="48"/>
        <v>0</v>
      </c>
      <c r="J22" s="143">
        <f t="shared" si="49"/>
        <v>27</v>
      </c>
      <c r="K22" s="37">
        <f t="shared" si="50"/>
        <v>3700000</v>
      </c>
      <c r="L22" s="87">
        <f t="shared" si="51"/>
        <v>405000</v>
      </c>
      <c r="M22" s="38">
        <f t="shared" si="52"/>
        <v>4105000</v>
      </c>
      <c r="N22" s="38">
        <f>IF(VLOOKUP(B22,DS,9,0)="x",'L - 12'!E22*$N$4,0)</f>
        <v>0</v>
      </c>
      <c r="O22" s="38">
        <f t="shared" si="53"/>
        <v>0</v>
      </c>
      <c r="P22" s="38">
        <f t="shared" si="54"/>
        <v>0</v>
      </c>
      <c r="Q22" s="37">
        <f t="shared" si="55"/>
        <v>4105000</v>
      </c>
      <c r="R22" s="37">
        <f t="shared" si="56"/>
        <v>0</v>
      </c>
      <c r="S22" s="43">
        <f t="shared" si="57"/>
        <v>4105000</v>
      </c>
      <c r="T22" s="37"/>
      <c r="U22" s="101"/>
      <c r="V22" s="35"/>
      <c r="W22" s="26"/>
      <c r="X22" s="5"/>
      <c r="Y22" s="5"/>
      <c r="Z22" s="5"/>
      <c r="AA22" s="4"/>
      <c r="AB22" s="4"/>
      <c r="AC22" s="4"/>
      <c r="AD22" s="4"/>
      <c r="AE22" s="4"/>
    </row>
    <row r="23" spans="1:31" s="34" customFormat="1" ht="22.5" customHeight="1">
      <c r="A23" s="39"/>
      <c r="B23" s="182"/>
      <c r="C23" s="40"/>
      <c r="D23" s="3"/>
      <c r="E23" s="41"/>
      <c r="F23" s="41"/>
      <c r="G23" s="41"/>
      <c r="H23" s="41"/>
      <c r="I23" s="41"/>
      <c r="J23" s="42"/>
      <c r="K23" s="41"/>
      <c r="L23" s="41"/>
      <c r="M23" s="181"/>
      <c r="N23" s="41"/>
      <c r="O23" s="41"/>
      <c r="P23" s="41"/>
      <c r="Q23" s="41"/>
      <c r="R23" s="41"/>
      <c r="S23" s="41"/>
      <c r="T23" s="37"/>
      <c r="U23" s="101"/>
      <c r="V23" s="35"/>
      <c r="W23" s="35"/>
      <c r="X23" s="35"/>
      <c r="Y23" s="35"/>
      <c r="Z23" s="35"/>
    </row>
    <row r="24" spans="1:31" s="30" customFormat="1" ht="21" customHeight="1">
      <c r="A24" s="269" t="s">
        <v>25</v>
      </c>
      <c r="B24" s="269"/>
      <c r="C24" s="269"/>
      <c r="D24" s="269"/>
      <c r="E24" s="137">
        <f>SUM(E15:E23)</f>
        <v>28300000</v>
      </c>
      <c r="F24" s="137"/>
      <c r="G24" s="137">
        <f>SUM(G15:G23)</f>
        <v>28300000</v>
      </c>
      <c r="H24" s="137"/>
      <c r="I24" s="137">
        <f>SUM(I15:I23)</f>
        <v>0</v>
      </c>
      <c r="J24" s="137"/>
      <c r="K24" s="137">
        <f t="shared" ref="K24:S24" si="58">SUM(K15:K23)</f>
        <v>28300000</v>
      </c>
      <c r="L24" s="137">
        <f t="shared" si="58"/>
        <v>2835000</v>
      </c>
      <c r="M24" s="137">
        <f t="shared" si="58"/>
        <v>31135000</v>
      </c>
      <c r="N24" s="137">
        <f t="shared" si="58"/>
        <v>0</v>
      </c>
      <c r="O24" s="137">
        <f t="shared" si="58"/>
        <v>0</v>
      </c>
      <c r="P24" s="137">
        <f t="shared" si="58"/>
        <v>0</v>
      </c>
      <c r="Q24" s="137">
        <f t="shared" si="58"/>
        <v>31135000</v>
      </c>
      <c r="R24" s="137">
        <f t="shared" si="58"/>
        <v>0</v>
      </c>
      <c r="S24" s="137">
        <f t="shared" si="58"/>
        <v>31135000</v>
      </c>
      <c r="T24" s="24"/>
      <c r="U24" s="101"/>
      <c r="V24" s="31"/>
      <c r="W24" s="31"/>
      <c r="X24" s="31"/>
      <c r="Y24" s="31"/>
      <c r="Z24" s="31"/>
    </row>
    <row r="25" spans="1:31" ht="11.25" customHeight="1">
      <c r="A25" s="8"/>
      <c r="B25" s="8"/>
      <c r="C25" s="9"/>
      <c r="D25" s="114"/>
      <c r="E25" s="91"/>
      <c r="F25" s="9"/>
      <c r="G25" s="9"/>
      <c r="H25" s="9"/>
      <c r="I25" s="9"/>
      <c r="K25" s="9"/>
      <c r="L25" s="9"/>
      <c r="M25" s="99"/>
      <c r="N25" s="9"/>
      <c r="O25" s="9"/>
      <c r="P25" s="9"/>
      <c r="Q25" s="9"/>
      <c r="R25" s="9"/>
      <c r="S25" s="9"/>
      <c r="T25" s="9"/>
      <c r="U25" s="101"/>
    </row>
    <row r="26" spans="1:31" s="34" customFormat="1" ht="11.25" customHeight="1">
      <c r="A26" s="75"/>
      <c r="B26" s="75"/>
      <c r="C26" s="75"/>
      <c r="D26" s="130"/>
      <c r="E26" s="131"/>
      <c r="F26" s="75"/>
      <c r="G26" s="75"/>
      <c r="H26" s="75"/>
      <c r="I26" s="75"/>
      <c r="J26" s="132"/>
      <c r="K26" s="131"/>
      <c r="L26" s="75"/>
      <c r="M26" s="75"/>
      <c r="N26" s="75"/>
      <c r="O26" s="75"/>
      <c r="P26" s="75"/>
      <c r="Q26" s="75"/>
      <c r="R26" s="75"/>
      <c r="S26" s="105" t="str">
        <f>"Long An, ngày  "&amp;$V$2&amp;"   tháng   "&amp;TEXT(E4,"mm")&amp;"   năm "&amp;TEXT(E4,"yyyy")</f>
        <v>Long An, ngày  31   tháng   12   năm 2014</v>
      </c>
      <c r="T26" s="75"/>
      <c r="U26" s="133"/>
      <c r="V26" s="35"/>
      <c r="W26" s="35"/>
      <c r="X26" s="35"/>
      <c r="Y26" s="35"/>
      <c r="Z26" s="35"/>
    </row>
    <row r="27" spans="1:31" s="34" customFormat="1" ht="12.75">
      <c r="A27" s="27"/>
      <c r="B27" s="27"/>
      <c r="C27" s="27" t="s">
        <v>60</v>
      </c>
      <c r="D27" s="134"/>
      <c r="E27" s="76"/>
      <c r="F27" s="133"/>
      <c r="G27" s="76"/>
      <c r="H27" s="76"/>
      <c r="I27" s="76"/>
      <c r="J27" s="135"/>
      <c r="K27" s="35"/>
      <c r="L27" s="27"/>
      <c r="M27" s="144"/>
      <c r="N27" s="18"/>
      <c r="O27" s="18"/>
      <c r="P27" s="18"/>
      <c r="Q27" s="18"/>
      <c r="S27" s="133" t="s">
        <v>22</v>
      </c>
      <c r="T27" s="133"/>
      <c r="U27" s="133"/>
      <c r="V27" s="35"/>
      <c r="W27" s="35"/>
      <c r="X27" s="35"/>
      <c r="Y27" s="35"/>
      <c r="Z27" s="35"/>
    </row>
    <row r="28" spans="1:31" ht="12">
      <c r="A28" s="8"/>
      <c r="B28" s="8"/>
      <c r="C28" s="15"/>
      <c r="E28" s="13"/>
      <c r="F28" s="12"/>
      <c r="G28" s="13"/>
      <c r="H28" s="13"/>
      <c r="I28" s="13"/>
      <c r="K28" s="7"/>
      <c r="L28" s="15"/>
      <c r="N28" s="11"/>
      <c r="O28" s="11"/>
      <c r="P28" s="11"/>
      <c r="Q28" s="11"/>
      <c r="S28" s="11"/>
      <c r="T28" s="12"/>
      <c r="U28" s="101"/>
    </row>
    <row r="29" spans="1:31" ht="12">
      <c r="C29" s="15"/>
      <c r="L29" s="15"/>
      <c r="T29" s="15"/>
      <c r="U29" s="101"/>
    </row>
    <row r="30" spans="1:31" ht="12">
      <c r="U30" s="101"/>
    </row>
    <row r="31" spans="1:31" ht="12">
      <c r="U31" s="101"/>
    </row>
    <row r="32" spans="1:31" ht="12">
      <c r="U32" s="101"/>
    </row>
    <row r="33" spans="21:21" ht="12">
      <c r="U33" s="101"/>
    </row>
    <row r="34" spans="21:21" ht="12">
      <c r="U34" s="101"/>
    </row>
    <row r="35" spans="21:21" ht="12">
      <c r="U35" s="101"/>
    </row>
  </sheetData>
  <protectedRanges>
    <protectedRange password="CC78" sqref="V23:IK24 C5:D7 B27:C27 V5:W9 A23:A28 B23:B26 B28 V15:W15 Q5:T7 E5:I6 D24 N5:P6 L5 L27 J6:K7 L7 A30:T63 U36:U63 N23:S23 V30:IK63 J23:L23 A64:IK65331 AF15:IK15 V14:IK14 D14 Q10:S13 AF5:IK13 W10:W13 A10:B14" name="Range1"/>
    <protectedRange password="CC78" sqref="F7:H7" name="Range1_4"/>
    <protectedRange password="CC78" sqref="V27:IK28 S27:T28 N27:Q28 E27:I28" name="Range1_1_1"/>
    <protectedRange password="CC78" sqref="U1 W1:IK3 V4:IK4 B4:T4 R2:S3 B1:Q3 U23:U35 X15:AE15 X5:AE13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3" name="Range1_2_2_1"/>
    <protectedRange password="CC78" sqref="W16:W22 Q16:S22 AF16:IK22 A16:B22" name="Range1_5"/>
    <protectedRange password="CC78" sqref="U16:U22 X16:AE22" name="Range1_2_3"/>
    <protectedRange password="CC78" sqref="V16:V22" name="Range1_1_3"/>
    <protectedRange password="CC78" sqref="K10:K13 K16:K22" name="Range1_6"/>
    <protectedRange password="CC78" sqref="A2:A3" name="Range1_2_1_3"/>
    <protectedRange password="CC78" sqref="E14:T14" name="Range1_3"/>
    <protectedRange password="CC78" sqref="E24:T24" name="Range1_7"/>
    <protectedRange password="CC78" sqref="U2" name="Range1_2_2_1_1"/>
  </protectedRanges>
  <autoFilter ref="A7:AE10"/>
  <mergeCells count="24">
    <mergeCell ref="A14:D14"/>
    <mergeCell ref="A24:D24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13</vt:i4>
      </vt:variant>
    </vt:vector>
  </HeadingPairs>
  <TitlesOfParts>
    <vt:vector size="38" baseType="lpstr">
      <vt:lpstr>TH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-1'!Print_Area</vt:lpstr>
      <vt:lpstr>'CC -10'!Print_Area</vt:lpstr>
      <vt:lpstr>'CC -11'!Print_Area</vt:lpstr>
      <vt:lpstr>'CC -12'!Print_Area</vt:lpstr>
      <vt:lpstr>'CC -2'!Print_Area</vt:lpstr>
      <vt:lpstr>'CC -3'!Print_Area</vt:lpstr>
      <vt:lpstr>'CC -4'!Print_Area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2016-05-23T07:13:11Z</cp:lastPrinted>
  <dcterms:created xsi:type="dcterms:W3CDTF">2011-06-27T04:19:15Z</dcterms:created>
  <dcterms:modified xsi:type="dcterms:W3CDTF">2016-12-15T08:23:11Z</dcterms:modified>
</cp:coreProperties>
</file>