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20" yWindow="450" windowWidth="15150" windowHeight="8340" tabRatio="897"/>
  </bookViews>
  <sheets>
    <sheet name="TH" sheetId="15" r:id="rId1"/>
    <sheet name="CC -1" sheetId="47" r:id="rId2"/>
    <sheet name="L - 1" sheetId="48" r:id="rId3"/>
    <sheet name="CC -2" sheetId="49" r:id="rId4"/>
    <sheet name="L - 2" sheetId="50" r:id="rId5"/>
    <sheet name="CC -3" sheetId="51" r:id="rId6"/>
    <sheet name="L - 3" sheetId="52" r:id="rId7"/>
    <sheet name="CC -4" sheetId="53" r:id="rId8"/>
    <sheet name="L - 4" sheetId="54" r:id="rId9"/>
    <sheet name="CC -5" sheetId="14" r:id="rId10"/>
    <sheet name="L - 5" sheetId="16" r:id="rId11"/>
    <sheet name="CC -6" sheetId="33" r:id="rId12"/>
    <sheet name="L - 6" sheetId="34" r:id="rId13"/>
    <sheet name="CC -7" sheetId="35" r:id="rId14"/>
    <sheet name="L - 7" sheetId="36" r:id="rId15"/>
    <sheet name="CC - 8" sheetId="37" r:id="rId16"/>
    <sheet name="L - 8" sheetId="38" r:id="rId17"/>
    <sheet name="CC -9" sheetId="39" r:id="rId18"/>
    <sheet name="L - 9" sheetId="40" r:id="rId19"/>
    <sheet name="CC -10" sheetId="41" r:id="rId20"/>
    <sheet name="L - 10" sheetId="42" r:id="rId21"/>
    <sheet name="CC -11" sheetId="43" r:id="rId22"/>
    <sheet name="L - 11" sheetId="44" r:id="rId23"/>
    <sheet name="CC -12" sheetId="45" r:id="rId24"/>
    <sheet name="L - 12" sheetId="46" r:id="rId25"/>
  </sheets>
  <definedNames>
    <definedName name="____a1" hidden="1">{"'Sheet1'!$L$16"}</definedName>
    <definedName name="_a1" localSheetId="15" hidden="1">{"'Sheet1'!$L$16"}</definedName>
    <definedName name="_a1" localSheetId="1" hidden="1">{"'Sheet1'!$L$16"}</definedName>
    <definedName name="_a1" localSheetId="19" hidden="1">{"'Sheet1'!$L$16"}</definedName>
    <definedName name="_a1" localSheetId="21" hidden="1">{"'Sheet1'!$L$16"}</definedName>
    <definedName name="_a1" localSheetId="23" hidden="1">{"'Sheet1'!$L$16"}</definedName>
    <definedName name="_a1" localSheetId="3" hidden="1">{"'Sheet1'!$L$16"}</definedName>
    <definedName name="_a1" localSheetId="5" hidden="1">{"'Sheet1'!$L$16"}</definedName>
    <definedName name="_a1" localSheetId="7" hidden="1">{"'Sheet1'!$L$16"}</definedName>
    <definedName name="_a1" localSheetId="9" hidden="1">{"'Sheet1'!$L$16"}</definedName>
    <definedName name="_a1" localSheetId="11" hidden="1">{"'Sheet1'!$L$16"}</definedName>
    <definedName name="_a1" localSheetId="13" hidden="1">{"'Sheet1'!$L$16"}</definedName>
    <definedName name="_a1" localSheetId="17" hidden="1">{"'Sheet1'!$L$16"}</definedName>
    <definedName name="_a1" localSheetId="2" hidden="1">{"'Sheet1'!$L$16"}</definedName>
    <definedName name="_a1" localSheetId="20" hidden="1">{"'Sheet1'!$L$16"}</definedName>
    <definedName name="_a1" localSheetId="22" hidden="1">{"'Sheet1'!$L$16"}</definedName>
    <definedName name="_a1" localSheetId="24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18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15" hidden="1">'CC - 8'!$A$7:$AS$7</definedName>
    <definedName name="_xlnm._FilterDatabase" localSheetId="1" hidden="1">'CC -1'!$A$7:$AS$7</definedName>
    <definedName name="_xlnm._FilterDatabase" localSheetId="19" hidden="1">'CC -10'!$A$7:$AS$7</definedName>
    <definedName name="_xlnm._FilterDatabase" localSheetId="21" hidden="1">'CC -11'!$A$7:$AS$7</definedName>
    <definedName name="_xlnm._FilterDatabase" localSheetId="23" hidden="1">'CC -12'!$A$7:$AS$7</definedName>
    <definedName name="_xlnm._FilterDatabase" localSheetId="3" hidden="1">'CC -2'!$A$7:$AQ$7</definedName>
    <definedName name="_xlnm._FilterDatabase" localSheetId="5" hidden="1">'CC -3'!$A$7:$AS$7</definedName>
    <definedName name="_xlnm._FilterDatabase" localSheetId="7" hidden="1">'CC -4'!$A$7:$AR$7</definedName>
    <definedName name="_xlnm._FilterDatabase" localSheetId="9" hidden="1">'CC -5'!$A$7:$AS$7</definedName>
    <definedName name="_xlnm._FilterDatabase" localSheetId="11" hidden="1">'CC -6'!$A$7:$AS$7</definedName>
    <definedName name="_xlnm._FilterDatabase" localSheetId="13" hidden="1">'CC -7'!$A$7:$AS$7</definedName>
    <definedName name="_xlnm._FilterDatabase" localSheetId="17" hidden="1">'CC -9'!$A$7:$AS$7</definedName>
    <definedName name="_xlnm._FilterDatabase" localSheetId="2" hidden="1">'L - 1'!$A$7:$AE$9</definedName>
    <definedName name="_xlnm._FilterDatabase" localSheetId="20" hidden="1">'L - 10'!$A$7:$AE$10</definedName>
    <definedName name="_xlnm._FilterDatabase" localSheetId="22" hidden="1">'L - 11'!$A$7:$AE$10</definedName>
    <definedName name="_xlnm._FilterDatabase" localSheetId="24" hidden="1">'L - 12'!$A$7:$AE$10</definedName>
    <definedName name="_xlnm._FilterDatabase" localSheetId="4" hidden="1">'L - 2'!$A$7:$AE$10</definedName>
    <definedName name="_xlnm._FilterDatabase" localSheetId="6" hidden="1">'L - 3'!$A$7:$AE$10</definedName>
    <definedName name="_xlnm._FilterDatabase" localSheetId="8" hidden="1">'L - 4'!$A$7:$AE$10</definedName>
    <definedName name="_xlnm._FilterDatabase" localSheetId="10" hidden="1">'L - 5'!$A$7:$AE$10</definedName>
    <definedName name="_xlnm._FilterDatabase" localSheetId="12" hidden="1">'L - 6'!$A$7:$AE$10</definedName>
    <definedName name="_xlnm._FilterDatabase" localSheetId="14" hidden="1">'L - 7'!$A$7:$AE$10</definedName>
    <definedName name="_xlnm._FilterDatabase" localSheetId="16" hidden="1">'L - 8'!$A$7:$AE$10</definedName>
    <definedName name="_xlnm._FilterDatabase" localSheetId="18" hidden="1">'L - 9'!$A$7:$AE$10</definedName>
    <definedName name="_xlnm._FilterDatabase" localSheetId="0" hidden="1">TH!$A$10:$Z$19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15" hidden="1">{#N/A,#N/A,FALSE,"Chi tiÆt"}</definedName>
    <definedName name="dh" localSheetId="1" hidden="1">{#N/A,#N/A,FALSE,"Chi tiÆt"}</definedName>
    <definedName name="dh" localSheetId="19" hidden="1">{#N/A,#N/A,FALSE,"Chi tiÆt"}</definedName>
    <definedName name="dh" localSheetId="21" hidden="1">{#N/A,#N/A,FALSE,"Chi tiÆt"}</definedName>
    <definedName name="dh" localSheetId="23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17" hidden="1">{#N/A,#N/A,FALSE,"Chi tiÆt"}</definedName>
    <definedName name="dh" localSheetId="2" hidden="1">{#N/A,#N/A,FALSE,"Chi tiÆt"}</definedName>
    <definedName name="dh" localSheetId="20" hidden="1">{#N/A,#N/A,FALSE,"Chi tiÆt"}</definedName>
    <definedName name="dh" localSheetId="22" hidden="1">{#N/A,#N/A,FALSE,"Chi tiÆt"}</definedName>
    <definedName name="dh" localSheetId="24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18" hidden="1">{#N/A,#N/A,FALSE,"Chi tiÆt"}</definedName>
    <definedName name="dh" localSheetId="0" hidden="1">{#N/A,#N/A,FALSE,"Chi tiÆt"}</definedName>
    <definedName name="dh" hidden="1">{#N/A,#N/A,FALSE,"Chi tiÆt"}</definedName>
    <definedName name="DS">TH!$B$11:$X$24</definedName>
    <definedName name="GFSAH" localSheetId="15" hidden="1">{"'Sheet1'!$L$16"}</definedName>
    <definedName name="GFSAH" localSheetId="1" hidden="1">{"'Sheet1'!$L$16"}</definedName>
    <definedName name="GFSAH" localSheetId="19" hidden="1">{"'Sheet1'!$L$16"}</definedName>
    <definedName name="GFSAH" localSheetId="21" hidden="1">{"'Sheet1'!$L$16"}</definedName>
    <definedName name="GFSAH" localSheetId="23" hidden="1">{"'Sheet1'!$L$16"}</definedName>
    <definedName name="GFSAH" localSheetId="3" hidden="1">{"'Sheet1'!$L$16"}</definedName>
    <definedName name="GFSAH" localSheetId="5" hidden="1">{"'Sheet1'!$L$16"}</definedName>
    <definedName name="GFSAH" localSheetId="7" hidden="1">{"'Sheet1'!$L$16"}</definedName>
    <definedName name="GFSAH" localSheetId="9" hidden="1">{"'Sheet1'!$L$16"}</definedName>
    <definedName name="GFSAH" localSheetId="11" hidden="1">{"'Sheet1'!$L$16"}</definedName>
    <definedName name="GFSAH" localSheetId="13" hidden="1">{"'Sheet1'!$L$16"}</definedName>
    <definedName name="GFSAH" localSheetId="17" hidden="1">{"'Sheet1'!$L$16"}</definedName>
    <definedName name="GFSAH" localSheetId="2" hidden="1">{"'Sheet1'!$L$16"}</definedName>
    <definedName name="GFSAH" localSheetId="20" hidden="1">{"'Sheet1'!$L$16"}</definedName>
    <definedName name="GFSAH" localSheetId="22" hidden="1">{"'Sheet1'!$L$16"}</definedName>
    <definedName name="GFSAH" localSheetId="24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18" hidden="1">{"'Sheet1'!$L$16"}</definedName>
    <definedName name="GFSAH" localSheetId="0" hidden="1">{"'Sheet1'!$L$16"}</definedName>
    <definedName name="GFSAH" hidden="1">{"'Sheet1'!$L$16"}</definedName>
    <definedName name="GJFXJXJ" localSheetId="15" hidden="1">{#N/A,#N/A,FALSE,"Chi tiÆt"}</definedName>
    <definedName name="GJFXJXJ" localSheetId="1" hidden="1">{#N/A,#N/A,FALSE,"Chi tiÆt"}</definedName>
    <definedName name="GJFXJXJ" localSheetId="19" hidden="1">{#N/A,#N/A,FALSE,"Chi tiÆt"}</definedName>
    <definedName name="GJFXJXJ" localSheetId="21" hidden="1">{#N/A,#N/A,FALSE,"Chi tiÆt"}</definedName>
    <definedName name="GJFXJXJ" localSheetId="23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17" hidden="1">{#N/A,#N/A,FALSE,"Chi tiÆt"}</definedName>
    <definedName name="GJFXJXJ" localSheetId="2" hidden="1">{#N/A,#N/A,FALSE,"Chi tiÆt"}</definedName>
    <definedName name="GJFXJXJ" localSheetId="20" hidden="1">{#N/A,#N/A,FALSE,"Chi tiÆt"}</definedName>
    <definedName name="GJFXJXJ" localSheetId="22" hidden="1">{#N/A,#N/A,FALSE,"Chi tiÆt"}</definedName>
    <definedName name="GJFXJXJ" localSheetId="24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18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5" hidden="1">{"'Sheet1'!$L$16"}</definedName>
    <definedName name="h" localSheetId="1" hidden="1">{"'Sheet1'!$L$16"}</definedName>
    <definedName name="h" localSheetId="19" hidden="1">{"'Sheet1'!$L$16"}</definedName>
    <definedName name="h" localSheetId="21" hidden="1">{"'Sheet1'!$L$16"}</definedName>
    <definedName name="h" localSheetId="23" hidden="1">{"'Sheet1'!$L$16"}</definedName>
    <definedName name="h" localSheetId="3" hidden="1">{"'Sheet1'!$L$16"}</definedName>
    <definedName name="h" localSheetId="5" hidden="1">{"'Sheet1'!$L$16"}</definedName>
    <definedName name="h" localSheetId="7" hidden="1">{"'Sheet1'!$L$16"}</definedName>
    <definedName name="h" localSheetId="9" hidden="1">{"'Sheet1'!$L$16"}</definedName>
    <definedName name="h" localSheetId="11" hidden="1">{"'Sheet1'!$L$16"}</definedName>
    <definedName name="h" localSheetId="13" hidden="1">{"'Sheet1'!$L$16"}</definedName>
    <definedName name="h" localSheetId="17" hidden="1">{"'Sheet1'!$L$16"}</definedName>
    <definedName name="h" localSheetId="2" hidden="1">{"'Sheet1'!$L$16"}</definedName>
    <definedName name="h" localSheetId="20" hidden="1">{"'Sheet1'!$L$16"}</definedName>
    <definedName name="h" localSheetId="22" hidden="1">{"'Sheet1'!$L$16"}</definedName>
    <definedName name="h" localSheetId="24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18" hidden="1">{"'Sheet1'!$L$16"}</definedName>
    <definedName name="h" localSheetId="0" hidden="1">{"'Sheet1'!$L$16"}</definedName>
    <definedName name="h" hidden="1">{"'Sheet1'!$L$16"}</definedName>
    <definedName name="hsgdkhog" localSheetId="15" hidden="1">{#N/A,#N/A,FALSE,"Chi tiÆt"}</definedName>
    <definedName name="hsgdkhog" localSheetId="1" hidden="1">{#N/A,#N/A,FALSE,"Chi tiÆt"}</definedName>
    <definedName name="hsgdkhog" localSheetId="19" hidden="1">{#N/A,#N/A,FALSE,"Chi tiÆt"}</definedName>
    <definedName name="hsgdkhog" localSheetId="21" hidden="1">{#N/A,#N/A,FALSE,"Chi tiÆt"}</definedName>
    <definedName name="hsgdkhog" localSheetId="23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17" hidden="1">{#N/A,#N/A,FALSE,"Chi tiÆt"}</definedName>
    <definedName name="hsgdkhog" localSheetId="2" hidden="1">{#N/A,#N/A,FALSE,"Chi tiÆt"}</definedName>
    <definedName name="hsgdkhog" localSheetId="20" hidden="1">{#N/A,#N/A,FALSE,"Chi tiÆt"}</definedName>
    <definedName name="hsgdkhog" localSheetId="22" hidden="1">{#N/A,#N/A,FALSE,"Chi tiÆt"}</definedName>
    <definedName name="hsgdkhog" localSheetId="24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18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5" hidden="1">{"'Sheet1'!$L$16"}</definedName>
    <definedName name="HTML_Control" localSheetId="1" hidden="1">{"'Sheet1'!$L$16"}</definedName>
    <definedName name="HTML_Control" localSheetId="19" hidden="1">{"'Sheet1'!$L$16"}</definedName>
    <definedName name="HTML_Control" localSheetId="21" hidden="1">{"'Sheet1'!$L$16"}</definedName>
    <definedName name="HTML_Control" localSheetId="23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17" hidden="1">{"'Sheet1'!$L$16"}</definedName>
    <definedName name="HTML_Control" localSheetId="2" hidden="1">{"'Sheet1'!$L$16"}</definedName>
    <definedName name="HTML_Control" localSheetId="20" hidden="1">{"'Sheet1'!$L$16"}</definedName>
    <definedName name="HTML_Control" localSheetId="22" hidden="1">{"'Sheet1'!$L$16"}</definedName>
    <definedName name="HTML_Control" localSheetId="24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18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5" hidden="1">{"'Sheet1'!$L$16"}</definedName>
    <definedName name="huy" localSheetId="1" hidden="1">{"'Sheet1'!$L$16"}</definedName>
    <definedName name="huy" localSheetId="19" hidden="1">{"'Sheet1'!$L$16"}</definedName>
    <definedName name="huy" localSheetId="21" hidden="1">{"'Sheet1'!$L$16"}</definedName>
    <definedName name="huy" localSheetId="23" hidden="1">{"'Sheet1'!$L$16"}</definedName>
    <definedName name="huy" localSheetId="3" hidden="1">{"'Sheet1'!$L$16"}</definedName>
    <definedName name="huy" localSheetId="5" hidden="1">{"'Sheet1'!$L$16"}</definedName>
    <definedName name="huy" localSheetId="7" hidden="1">{"'Sheet1'!$L$16"}</definedName>
    <definedName name="huy" localSheetId="9" hidden="1">{"'Sheet1'!$L$16"}</definedName>
    <definedName name="huy" localSheetId="11" hidden="1">{"'Sheet1'!$L$16"}</definedName>
    <definedName name="huy" localSheetId="13" hidden="1">{"'Sheet1'!$L$16"}</definedName>
    <definedName name="huy" localSheetId="17" hidden="1">{"'Sheet1'!$L$16"}</definedName>
    <definedName name="huy" localSheetId="2" hidden="1">{"'Sheet1'!$L$16"}</definedName>
    <definedName name="huy" localSheetId="20" hidden="1">{"'Sheet1'!$L$16"}</definedName>
    <definedName name="huy" localSheetId="22" hidden="1">{"'Sheet1'!$L$16"}</definedName>
    <definedName name="huy" localSheetId="24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18" hidden="1">{"'Sheet1'!$L$16"}</definedName>
    <definedName name="huy" localSheetId="0" hidden="1">{"'Sheet1'!$L$16"}</definedName>
    <definedName name="huy" hidden="1">{"'Sheet1'!$L$16"}</definedName>
    <definedName name="khkl" localSheetId="15" hidden="1">{"'Sheet1'!$L$16"}</definedName>
    <definedName name="khkl" localSheetId="1" hidden="1">{"'Sheet1'!$L$16"}</definedName>
    <definedName name="khkl" localSheetId="19" hidden="1">{"'Sheet1'!$L$16"}</definedName>
    <definedName name="khkl" localSheetId="21" hidden="1">{"'Sheet1'!$L$16"}</definedName>
    <definedName name="khkl" localSheetId="23" hidden="1">{"'Sheet1'!$L$16"}</definedName>
    <definedName name="khkl" localSheetId="3" hidden="1">{"'Sheet1'!$L$16"}</definedName>
    <definedName name="khkl" localSheetId="5" hidden="1">{"'Sheet1'!$L$16"}</definedName>
    <definedName name="khkl" localSheetId="7" hidden="1">{"'Sheet1'!$L$16"}</definedName>
    <definedName name="khkl" localSheetId="9" hidden="1">{"'Sheet1'!$L$16"}</definedName>
    <definedName name="khkl" localSheetId="11" hidden="1">{"'Sheet1'!$L$16"}</definedName>
    <definedName name="khkl" localSheetId="13" hidden="1">{"'Sheet1'!$L$16"}</definedName>
    <definedName name="khkl" localSheetId="17" hidden="1">{"'Sheet1'!$L$16"}</definedName>
    <definedName name="khkl" localSheetId="2" hidden="1">{"'Sheet1'!$L$16"}</definedName>
    <definedName name="khkl" localSheetId="20" hidden="1">{"'Sheet1'!$L$16"}</definedName>
    <definedName name="khkl" localSheetId="22" hidden="1">{"'Sheet1'!$L$16"}</definedName>
    <definedName name="khkl" localSheetId="24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18" hidden="1">{"'Sheet1'!$L$16"}</definedName>
    <definedName name="khkl" localSheetId="0" hidden="1">{"'Sheet1'!$L$16"}</definedName>
    <definedName name="khkl" hidden="1">{"'Sheet1'!$L$16"}</definedName>
    <definedName name="kjjh" localSheetId="15" hidden="1">{"'Sheet1'!$L$16"}</definedName>
    <definedName name="kjjh" localSheetId="1" hidden="1">{"'Sheet1'!$L$16"}</definedName>
    <definedName name="kjjh" localSheetId="19" hidden="1">{"'Sheet1'!$L$16"}</definedName>
    <definedName name="kjjh" localSheetId="21" hidden="1">{"'Sheet1'!$L$16"}</definedName>
    <definedName name="kjjh" localSheetId="23" hidden="1">{"'Sheet1'!$L$16"}</definedName>
    <definedName name="kjjh" localSheetId="3" hidden="1">{"'Sheet1'!$L$16"}</definedName>
    <definedName name="kjjh" localSheetId="5" hidden="1">{"'Sheet1'!$L$16"}</definedName>
    <definedName name="kjjh" localSheetId="7" hidden="1">{"'Sheet1'!$L$16"}</definedName>
    <definedName name="kjjh" localSheetId="9" hidden="1">{"'Sheet1'!$L$16"}</definedName>
    <definedName name="kjjh" localSheetId="11" hidden="1">{"'Sheet1'!$L$16"}</definedName>
    <definedName name="kjjh" localSheetId="13" hidden="1">{"'Sheet1'!$L$16"}</definedName>
    <definedName name="kjjh" localSheetId="17" hidden="1">{"'Sheet1'!$L$16"}</definedName>
    <definedName name="kjjh" localSheetId="2" hidden="1">{"'Sheet1'!$L$16"}</definedName>
    <definedName name="kjjh" localSheetId="20" hidden="1">{"'Sheet1'!$L$16"}</definedName>
    <definedName name="kjjh" localSheetId="22" hidden="1">{"'Sheet1'!$L$16"}</definedName>
    <definedName name="kjjh" localSheetId="24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18" hidden="1">{"'Sheet1'!$L$16"}</definedName>
    <definedName name="kjjh" localSheetId="0" hidden="1">{"'Sheet1'!$L$16"}</definedName>
    <definedName name="kjjh" hidden="1">{"'Sheet1'!$L$16"}</definedName>
    <definedName name="KTLDLAN3" localSheetId="15" hidden="1">{"'Sheet1'!$L$16"}</definedName>
    <definedName name="KTLDLAN3" localSheetId="1" hidden="1">{"'Sheet1'!$L$16"}</definedName>
    <definedName name="KTLDLAN3" localSheetId="19" hidden="1">{"'Sheet1'!$L$16"}</definedName>
    <definedName name="KTLDLAN3" localSheetId="21" hidden="1">{"'Sheet1'!$L$16"}</definedName>
    <definedName name="KTLDLAN3" localSheetId="23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7" hidden="1">{"'Sheet1'!$L$16"}</definedName>
    <definedName name="KTLDLAN3" localSheetId="2" hidden="1">{"'Sheet1'!$L$16"}</definedName>
    <definedName name="KTLDLAN3" localSheetId="20" hidden="1">{"'Sheet1'!$L$16"}</definedName>
    <definedName name="KTLDLAN3" localSheetId="22" hidden="1">{"'Sheet1'!$L$16"}</definedName>
    <definedName name="KTLDLAN3" localSheetId="24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18" hidden="1">{"'Sheet1'!$L$16"}</definedName>
    <definedName name="KTLDLAN3" localSheetId="0" hidden="1">{"'Sheet1'!$L$16"}</definedName>
    <definedName name="KTLDLAN3" hidden="1">{"'Sheet1'!$L$16"}</definedName>
    <definedName name="_xlnm.Print_Area" localSheetId="15">'CC - 8'!$A$1:$AS$51</definedName>
    <definedName name="_xlnm.Print_Area" localSheetId="1">'CC -1'!$A$1:$AS$51</definedName>
    <definedName name="_xlnm.Print_Area" localSheetId="19">'CC -10'!$A$1:$AS$51</definedName>
    <definedName name="_xlnm.Print_Area" localSheetId="21">'CC -11'!$A$1:$AS$51</definedName>
    <definedName name="_xlnm.Print_Area" localSheetId="23">'CC -12'!$A$1:$AS$51</definedName>
    <definedName name="_xlnm.Print_Area" localSheetId="3">'CC -2'!$A$1:$AQ$51</definedName>
    <definedName name="_xlnm.Print_Area" localSheetId="5">'CC -3'!$A$1:$AS$51</definedName>
    <definedName name="_xlnm.Print_Area" localSheetId="7">'CC -4'!$A$1:$AR$51</definedName>
    <definedName name="_xlnm.Print_Area" localSheetId="9">'CC -5'!$A$1:$AS$51</definedName>
    <definedName name="_xlnm.Print_Area" localSheetId="11">'CC -6'!$A$1:$AS$51</definedName>
    <definedName name="_xlnm.Print_Area" localSheetId="13">'CC -7'!$A$1:$AS$51</definedName>
    <definedName name="_xlnm.Print_Area" localSheetId="17">'CC -9'!$A$1:$AS$51</definedName>
    <definedName name="ưer" localSheetId="15" hidden="1">{"'Sheet1'!$L$16"}</definedName>
    <definedName name="ưer" localSheetId="1" hidden="1">{"'Sheet1'!$L$16"}</definedName>
    <definedName name="ưer" localSheetId="19" hidden="1">{"'Sheet1'!$L$16"}</definedName>
    <definedName name="ưer" localSheetId="21" hidden="1">{"'Sheet1'!$L$16"}</definedName>
    <definedName name="ưer" localSheetId="23" hidden="1">{"'Sheet1'!$L$16"}</definedName>
    <definedName name="ưer" localSheetId="3" hidden="1">{"'Sheet1'!$L$16"}</definedName>
    <definedName name="ưer" localSheetId="5" hidden="1">{"'Sheet1'!$L$16"}</definedName>
    <definedName name="ưer" localSheetId="7" hidden="1">{"'Sheet1'!$L$16"}</definedName>
    <definedName name="ưer" localSheetId="9" hidden="1">{"'Sheet1'!$L$16"}</definedName>
    <definedName name="ưer" localSheetId="11" hidden="1">{"'Sheet1'!$L$16"}</definedName>
    <definedName name="ưer" localSheetId="13" hidden="1">{"'Sheet1'!$L$16"}</definedName>
    <definedName name="ưer" localSheetId="17" hidden="1">{"'Sheet1'!$L$16"}</definedName>
    <definedName name="ưer" localSheetId="2" hidden="1">{"'Sheet1'!$L$16"}</definedName>
    <definedName name="ưer" localSheetId="20" hidden="1">{"'Sheet1'!$L$16"}</definedName>
    <definedName name="ưer" localSheetId="22" hidden="1">{"'Sheet1'!$L$16"}</definedName>
    <definedName name="ưer" localSheetId="24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18" hidden="1">{"'Sheet1'!$L$16"}</definedName>
    <definedName name="ưer" localSheetId="0" hidden="1">{"'Sheet1'!$L$16"}</definedName>
    <definedName name="ưer" hidden="1">{"'Sheet1'!$L$16"}</definedName>
    <definedName name="UU" localSheetId="15" hidden="1">{"'Sheet1'!$L$16"}</definedName>
    <definedName name="UU" localSheetId="1" hidden="1">{"'Sheet1'!$L$16"}</definedName>
    <definedName name="UU" localSheetId="19" hidden="1">{"'Sheet1'!$L$16"}</definedName>
    <definedName name="UU" localSheetId="21" hidden="1">{"'Sheet1'!$L$16"}</definedName>
    <definedName name="UU" localSheetId="23" hidden="1">{"'Sheet1'!$L$16"}</definedName>
    <definedName name="UU" localSheetId="3" hidden="1">{"'Sheet1'!$L$16"}</definedName>
    <definedName name="UU" localSheetId="5" hidden="1">{"'Sheet1'!$L$16"}</definedName>
    <definedName name="UU" localSheetId="7" hidden="1">{"'Sheet1'!$L$16"}</definedName>
    <definedName name="UU" localSheetId="9" hidden="1">{"'Sheet1'!$L$16"}</definedName>
    <definedName name="UU" localSheetId="11" hidden="1">{"'Sheet1'!$L$16"}</definedName>
    <definedName name="UU" localSheetId="13" hidden="1">{"'Sheet1'!$L$16"}</definedName>
    <definedName name="UU" localSheetId="17" hidden="1">{"'Sheet1'!$L$16"}</definedName>
    <definedName name="UU" localSheetId="2" hidden="1">{"'Sheet1'!$L$16"}</definedName>
    <definedName name="UU" localSheetId="20" hidden="1">{"'Sheet1'!$L$16"}</definedName>
    <definedName name="UU" localSheetId="22" hidden="1">{"'Sheet1'!$L$16"}</definedName>
    <definedName name="UU" localSheetId="24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18" hidden="1">{"'Sheet1'!$L$16"}</definedName>
    <definedName name="UU" localSheetId="0" hidden="1">{"'Sheet1'!$L$16"}</definedName>
    <definedName name="UU" hidden="1">{"'Sheet1'!$L$16"}</definedName>
    <definedName name="wrn.chi._.tiÆt." localSheetId="15" hidden="1">{#N/A,#N/A,FALSE,"Chi tiÆt"}</definedName>
    <definedName name="wrn.chi._.tiÆt." localSheetId="1" hidden="1">{#N/A,#N/A,FALSE,"Chi tiÆt"}</definedName>
    <definedName name="wrn.chi._.tiÆt." localSheetId="19" hidden="1">{#N/A,#N/A,FALSE,"Chi tiÆt"}</definedName>
    <definedName name="wrn.chi._.tiÆt." localSheetId="21" hidden="1">{#N/A,#N/A,FALSE,"Chi tiÆt"}</definedName>
    <definedName name="wrn.chi._.tiÆt." localSheetId="23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7" hidden="1">{#N/A,#N/A,FALSE,"Chi tiÆt"}</definedName>
    <definedName name="wrn.chi._.tiÆt." localSheetId="2" hidden="1">{#N/A,#N/A,FALSE,"Chi tiÆt"}</definedName>
    <definedName name="wrn.chi._.tiÆt." localSheetId="20" hidden="1">{#N/A,#N/A,FALSE,"Chi tiÆt"}</definedName>
    <definedName name="wrn.chi._.tiÆt." localSheetId="22" hidden="1">{#N/A,#N/A,FALSE,"Chi tiÆt"}</definedName>
    <definedName name="wrn.chi._.tiÆt." localSheetId="24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18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44525"/>
</workbook>
</file>

<file path=xl/calcChain.xml><?xml version="1.0" encoding="utf-8"?>
<calcChain xmlns="http://schemas.openxmlformats.org/spreadsheetml/2006/main">
  <c r="R18" i="46" l="1"/>
  <c r="P18" i="46"/>
  <c r="O18" i="46"/>
  <c r="N18" i="46"/>
  <c r="H18" i="46"/>
  <c r="F18" i="46"/>
  <c r="E18" i="46"/>
  <c r="D18" i="46"/>
  <c r="C18" i="46"/>
  <c r="R17" i="46"/>
  <c r="P17" i="46"/>
  <c r="O17" i="46"/>
  <c r="N17" i="46"/>
  <c r="H17" i="46"/>
  <c r="F17" i="46"/>
  <c r="L17" i="46" s="1"/>
  <c r="E17" i="46"/>
  <c r="D17" i="46"/>
  <c r="C17" i="46"/>
  <c r="R20" i="46"/>
  <c r="P20" i="46"/>
  <c r="O20" i="46"/>
  <c r="N20" i="46"/>
  <c r="H20" i="46"/>
  <c r="F20" i="46"/>
  <c r="E20" i="46"/>
  <c r="D20" i="46"/>
  <c r="C20" i="46"/>
  <c r="R19" i="46"/>
  <c r="P19" i="46"/>
  <c r="O19" i="46"/>
  <c r="N19" i="46"/>
  <c r="H19" i="46"/>
  <c r="F19" i="46"/>
  <c r="L19" i="46" s="1"/>
  <c r="E19" i="46"/>
  <c r="D19" i="46"/>
  <c r="C19" i="46"/>
  <c r="R11" i="46"/>
  <c r="P11" i="46"/>
  <c r="O11" i="46"/>
  <c r="N11" i="46"/>
  <c r="H11" i="46"/>
  <c r="F11" i="46"/>
  <c r="E11" i="46"/>
  <c r="D11" i="46"/>
  <c r="C11" i="46"/>
  <c r="AM20" i="45"/>
  <c r="AL20" i="45"/>
  <c r="AK20" i="45"/>
  <c r="AN20" i="45" s="1"/>
  <c r="D20" i="45"/>
  <c r="C20" i="45"/>
  <c r="AM18" i="45"/>
  <c r="AL18" i="45"/>
  <c r="AK18" i="45"/>
  <c r="AN18" i="45" s="1"/>
  <c r="D18" i="45"/>
  <c r="C18" i="45"/>
  <c r="AM24" i="45"/>
  <c r="AL24" i="45"/>
  <c r="AK24" i="45"/>
  <c r="AN24" i="45" s="1"/>
  <c r="D24" i="45"/>
  <c r="C24" i="45"/>
  <c r="AM22" i="45"/>
  <c r="AL22" i="45"/>
  <c r="AK22" i="45"/>
  <c r="AN22" i="45" s="1"/>
  <c r="D22" i="45"/>
  <c r="C22" i="45"/>
  <c r="AM11" i="45"/>
  <c r="AL11" i="45"/>
  <c r="AK11" i="45"/>
  <c r="D11" i="45"/>
  <c r="C11" i="45"/>
  <c r="R18" i="44"/>
  <c r="P18" i="44"/>
  <c r="O18" i="44"/>
  <c r="N18" i="44"/>
  <c r="H18" i="44"/>
  <c r="F18" i="44"/>
  <c r="E18" i="44"/>
  <c r="D18" i="44"/>
  <c r="C18" i="44"/>
  <c r="R17" i="44"/>
  <c r="P17" i="44"/>
  <c r="O17" i="44"/>
  <c r="N17" i="44"/>
  <c r="H17" i="44"/>
  <c r="F17" i="44"/>
  <c r="L17" i="44" s="1"/>
  <c r="E17" i="44"/>
  <c r="D17" i="44"/>
  <c r="C17" i="44"/>
  <c r="R20" i="44"/>
  <c r="P20" i="44"/>
  <c r="O20" i="44"/>
  <c r="N20" i="44"/>
  <c r="H20" i="44"/>
  <c r="F20" i="44"/>
  <c r="E20" i="44"/>
  <c r="D20" i="44"/>
  <c r="C20" i="44"/>
  <c r="R19" i="44"/>
  <c r="P19" i="44"/>
  <c r="O19" i="44"/>
  <c r="N19" i="44"/>
  <c r="H19" i="44"/>
  <c r="F19" i="44"/>
  <c r="L19" i="44" s="1"/>
  <c r="E19" i="44"/>
  <c r="D19" i="44"/>
  <c r="C19" i="44"/>
  <c r="R11" i="44"/>
  <c r="P11" i="44"/>
  <c r="O11" i="44"/>
  <c r="N11" i="44"/>
  <c r="H11" i="44"/>
  <c r="F11" i="44"/>
  <c r="E11" i="44"/>
  <c r="D11" i="44"/>
  <c r="C11" i="44"/>
  <c r="AM20" i="43"/>
  <c r="AL20" i="43"/>
  <c r="AK20" i="43"/>
  <c r="AN20" i="43" s="1"/>
  <c r="D20" i="43"/>
  <c r="C20" i="43"/>
  <c r="AM18" i="43"/>
  <c r="AL18" i="43"/>
  <c r="AK18" i="43"/>
  <c r="AN18" i="43" s="1"/>
  <c r="D18" i="43"/>
  <c r="C18" i="43"/>
  <c r="AM24" i="43"/>
  <c r="AL24" i="43"/>
  <c r="AK24" i="43"/>
  <c r="AN24" i="43" s="1"/>
  <c r="D24" i="43"/>
  <c r="C24" i="43"/>
  <c r="AM22" i="43"/>
  <c r="AL22" i="43"/>
  <c r="AK22" i="43"/>
  <c r="AN22" i="43" s="1"/>
  <c r="D22" i="43"/>
  <c r="C22" i="43"/>
  <c r="AM11" i="43"/>
  <c r="AL11" i="43"/>
  <c r="AK11" i="43"/>
  <c r="AN11" i="43" s="1"/>
  <c r="D11" i="43"/>
  <c r="C11" i="43"/>
  <c r="R18" i="42"/>
  <c r="P18" i="42"/>
  <c r="O18" i="42"/>
  <c r="N18" i="42"/>
  <c r="H18" i="42"/>
  <c r="F18" i="42"/>
  <c r="E18" i="42"/>
  <c r="D18" i="42"/>
  <c r="C18" i="42"/>
  <c r="R17" i="42"/>
  <c r="P17" i="42"/>
  <c r="O17" i="42"/>
  <c r="N17" i="42"/>
  <c r="H17" i="42"/>
  <c r="F17" i="42"/>
  <c r="L17" i="42" s="1"/>
  <c r="E17" i="42"/>
  <c r="D17" i="42"/>
  <c r="C17" i="42"/>
  <c r="R20" i="42"/>
  <c r="P20" i="42"/>
  <c r="O20" i="42"/>
  <c r="N20" i="42"/>
  <c r="H20" i="42"/>
  <c r="F20" i="42"/>
  <c r="E20" i="42"/>
  <c r="D20" i="42"/>
  <c r="C20" i="42"/>
  <c r="R19" i="42"/>
  <c r="P19" i="42"/>
  <c r="O19" i="42"/>
  <c r="N19" i="42"/>
  <c r="H19" i="42"/>
  <c r="F19" i="42"/>
  <c r="L19" i="42" s="1"/>
  <c r="E19" i="42"/>
  <c r="D19" i="42"/>
  <c r="C19" i="42"/>
  <c r="R11" i="42"/>
  <c r="P11" i="42"/>
  <c r="O11" i="42"/>
  <c r="N11" i="42"/>
  <c r="H11" i="42"/>
  <c r="F11" i="42"/>
  <c r="E11" i="42"/>
  <c r="D11" i="42"/>
  <c r="C11" i="42"/>
  <c r="AM20" i="41"/>
  <c r="AL20" i="41"/>
  <c r="AK20" i="41"/>
  <c r="AN20" i="41" s="1"/>
  <c r="D20" i="41"/>
  <c r="C20" i="41"/>
  <c r="AM18" i="41"/>
  <c r="AL18" i="41"/>
  <c r="AK18" i="41"/>
  <c r="AN18" i="41" s="1"/>
  <c r="D18" i="41"/>
  <c r="C18" i="41"/>
  <c r="AM24" i="41"/>
  <c r="AL24" i="41"/>
  <c r="AK24" i="41"/>
  <c r="AN24" i="41" s="1"/>
  <c r="D24" i="41"/>
  <c r="C24" i="41"/>
  <c r="AM22" i="41"/>
  <c r="AL22" i="41"/>
  <c r="AK22" i="41"/>
  <c r="AN22" i="41" s="1"/>
  <c r="D22" i="41"/>
  <c r="C22" i="41"/>
  <c r="AM11" i="41"/>
  <c r="AL11" i="41"/>
  <c r="AK11" i="41"/>
  <c r="D11" i="41"/>
  <c r="C11" i="41"/>
  <c r="R18" i="40"/>
  <c r="P18" i="40"/>
  <c r="O18" i="40"/>
  <c r="N18" i="40"/>
  <c r="H18" i="40"/>
  <c r="F18" i="40"/>
  <c r="E18" i="40"/>
  <c r="D18" i="40"/>
  <c r="C18" i="40"/>
  <c r="R17" i="40"/>
  <c r="P17" i="40"/>
  <c r="O17" i="40"/>
  <c r="N17" i="40"/>
  <c r="H17" i="40"/>
  <c r="F17" i="40"/>
  <c r="L17" i="40" s="1"/>
  <c r="E17" i="40"/>
  <c r="D17" i="40"/>
  <c r="C17" i="40"/>
  <c r="R20" i="40"/>
  <c r="P20" i="40"/>
  <c r="O20" i="40"/>
  <c r="N20" i="40"/>
  <c r="H20" i="40"/>
  <c r="F20" i="40"/>
  <c r="E20" i="40"/>
  <c r="D20" i="40"/>
  <c r="C20" i="40"/>
  <c r="R19" i="40"/>
  <c r="P19" i="40"/>
  <c r="O19" i="40"/>
  <c r="N19" i="40"/>
  <c r="H19" i="40"/>
  <c r="F19" i="40"/>
  <c r="L19" i="40" s="1"/>
  <c r="E19" i="40"/>
  <c r="D19" i="40"/>
  <c r="C19" i="40"/>
  <c r="R11" i="40"/>
  <c r="P11" i="40"/>
  <c r="O11" i="40"/>
  <c r="N11" i="40"/>
  <c r="H11" i="40"/>
  <c r="F11" i="40"/>
  <c r="E11" i="40"/>
  <c r="D11" i="40"/>
  <c r="C11" i="40"/>
  <c r="AM20" i="39"/>
  <c r="AL20" i="39"/>
  <c r="AK20" i="39"/>
  <c r="AN20" i="39" s="1"/>
  <c r="D20" i="39"/>
  <c r="C20" i="39"/>
  <c r="AM18" i="39"/>
  <c r="AL18" i="39"/>
  <c r="AK18" i="39"/>
  <c r="AN18" i="39" s="1"/>
  <c r="D18" i="39"/>
  <c r="C18" i="39"/>
  <c r="AM24" i="39"/>
  <c r="AL24" i="39"/>
  <c r="AK24" i="39"/>
  <c r="AN24" i="39" s="1"/>
  <c r="D24" i="39"/>
  <c r="C24" i="39"/>
  <c r="AM22" i="39"/>
  <c r="AL22" i="39"/>
  <c r="AK22" i="39"/>
  <c r="AN22" i="39" s="1"/>
  <c r="D22" i="39"/>
  <c r="C22" i="39"/>
  <c r="AM11" i="39"/>
  <c r="AL11" i="39"/>
  <c r="AK11" i="39"/>
  <c r="D11" i="39"/>
  <c r="C11" i="39"/>
  <c r="R18" i="38"/>
  <c r="P18" i="38"/>
  <c r="O18" i="38"/>
  <c r="N18" i="38"/>
  <c r="H18" i="38"/>
  <c r="F18" i="38"/>
  <c r="E18" i="38"/>
  <c r="D18" i="38"/>
  <c r="C18" i="38"/>
  <c r="R17" i="38"/>
  <c r="P17" i="38"/>
  <c r="O17" i="38"/>
  <c r="N17" i="38"/>
  <c r="H17" i="38"/>
  <c r="F17" i="38"/>
  <c r="L17" i="38" s="1"/>
  <c r="E17" i="38"/>
  <c r="D17" i="38"/>
  <c r="C17" i="38"/>
  <c r="R20" i="38"/>
  <c r="P20" i="38"/>
  <c r="O20" i="38"/>
  <c r="N20" i="38"/>
  <c r="H20" i="38"/>
  <c r="F20" i="38"/>
  <c r="E20" i="38"/>
  <c r="D20" i="38"/>
  <c r="C20" i="38"/>
  <c r="R19" i="38"/>
  <c r="P19" i="38"/>
  <c r="O19" i="38"/>
  <c r="N19" i="38"/>
  <c r="H19" i="38"/>
  <c r="F19" i="38"/>
  <c r="E19" i="38"/>
  <c r="D19" i="38"/>
  <c r="C19" i="38"/>
  <c r="R11" i="38"/>
  <c r="P11" i="38"/>
  <c r="O11" i="38"/>
  <c r="N11" i="38"/>
  <c r="H11" i="38"/>
  <c r="F11" i="38"/>
  <c r="E11" i="38"/>
  <c r="D11" i="38"/>
  <c r="C11" i="38"/>
  <c r="AM20" i="37"/>
  <c r="AL20" i="37"/>
  <c r="AK20" i="37"/>
  <c r="AN20" i="37" s="1"/>
  <c r="D20" i="37"/>
  <c r="C20" i="37"/>
  <c r="AM18" i="37"/>
  <c r="AL18" i="37"/>
  <c r="AK18" i="37"/>
  <c r="AN18" i="37" s="1"/>
  <c r="D18" i="37"/>
  <c r="C18" i="37"/>
  <c r="AM24" i="37"/>
  <c r="AL24" i="37"/>
  <c r="AK24" i="37"/>
  <c r="AN24" i="37" s="1"/>
  <c r="D24" i="37"/>
  <c r="C24" i="37"/>
  <c r="AM22" i="37"/>
  <c r="AL22" i="37"/>
  <c r="AK22" i="37"/>
  <c r="AN22" i="37" s="1"/>
  <c r="D22" i="37"/>
  <c r="C22" i="37"/>
  <c r="AM11" i="37"/>
  <c r="AL11" i="37"/>
  <c r="AK11" i="37"/>
  <c r="D11" i="37"/>
  <c r="C11" i="37"/>
  <c r="R18" i="36"/>
  <c r="P18" i="36"/>
  <c r="O18" i="36"/>
  <c r="N18" i="36"/>
  <c r="H18" i="36"/>
  <c r="F18" i="36"/>
  <c r="E18" i="36"/>
  <c r="D18" i="36"/>
  <c r="C18" i="36"/>
  <c r="R17" i="36"/>
  <c r="P17" i="36"/>
  <c r="O17" i="36"/>
  <c r="N17" i="36"/>
  <c r="H17" i="36"/>
  <c r="F17" i="36"/>
  <c r="L17" i="36" s="1"/>
  <c r="E17" i="36"/>
  <c r="D17" i="36"/>
  <c r="C17" i="36"/>
  <c r="R20" i="36"/>
  <c r="P20" i="36"/>
  <c r="O20" i="36"/>
  <c r="N20" i="36"/>
  <c r="H20" i="36"/>
  <c r="F20" i="36"/>
  <c r="E20" i="36"/>
  <c r="D20" i="36"/>
  <c r="C20" i="36"/>
  <c r="R19" i="36"/>
  <c r="P19" i="36"/>
  <c r="O19" i="36"/>
  <c r="N19" i="36"/>
  <c r="H19" i="36"/>
  <c r="F19" i="36"/>
  <c r="E19" i="36"/>
  <c r="D19" i="36"/>
  <c r="C19" i="36"/>
  <c r="R11" i="36"/>
  <c r="P11" i="36"/>
  <c r="O11" i="36"/>
  <c r="N11" i="36"/>
  <c r="H11" i="36"/>
  <c r="F11" i="36"/>
  <c r="E11" i="36"/>
  <c r="D11" i="36"/>
  <c r="C11" i="36"/>
  <c r="AM20" i="35"/>
  <c r="AL20" i="35"/>
  <c r="AK20" i="35"/>
  <c r="AN20" i="35" s="1"/>
  <c r="D20" i="35"/>
  <c r="C20" i="35"/>
  <c r="AM18" i="35"/>
  <c r="AL18" i="35"/>
  <c r="AK18" i="35"/>
  <c r="AN18" i="35" s="1"/>
  <c r="D18" i="35"/>
  <c r="C18" i="35"/>
  <c r="AM24" i="35"/>
  <c r="AL24" i="35"/>
  <c r="AK24" i="35"/>
  <c r="AN24" i="35" s="1"/>
  <c r="D24" i="35"/>
  <c r="C24" i="35"/>
  <c r="AM22" i="35"/>
  <c r="AL22" i="35"/>
  <c r="AK22" i="35"/>
  <c r="AN22" i="35" s="1"/>
  <c r="D22" i="35"/>
  <c r="C22" i="35"/>
  <c r="AM11" i="35"/>
  <c r="AL11" i="35"/>
  <c r="AK11" i="35"/>
  <c r="D11" i="35"/>
  <c r="C11" i="35"/>
  <c r="R18" i="34"/>
  <c r="P18" i="34"/>
  <c r="O18" i="34"/>
  <c r="N18" i="34"/>
  <c r="H18" i="34"/>
  <c r="F18" i="34"/>
  <c r="E18" i="34"/>
  <c r="D18" i="34"/>
  <c r="C18" i="34"/>
  <c r="R17" i="34"/>
  <c r="P17" i="34"/>
  <c r="O17" i="34"/>
  <c r="N17" i="34"/>
  <c r="H17" i="34"/>
  <c r="F17" i="34"/>
  <c r="L17" i="34" s="1"/>
  <c r="E17" i="34"/>
  <c r="D17" i="34"/>
  <c r="C17" i="34"/>
  <c r="R20" i="34"/>
  <c r="P20" i="34"/>
  <c r="O20" i="34"/>
  <c r="N20" i="34"/>
  <c r="H20" i="34"/>
  <c r="F20" i="34"/>
  <c r="E20" i="34"/>
  <c r="D20" i="34"/>
  <c r="C20" i="34"/>
  <c r="R19" i="34"/>
  <c r="P19" i="34"/>
  <c r="O19" i="34"/>
  <c r="N19" i="34"/>
  <c r="H19" i="34"/>
  <c r="F19" i="34"/>
  <c r="L19" i="34" s="1"/>
  <c r="E19" i="34"/>
  <c r="D19" i="34"/>
  <c r="C19" i="34"/>
  <c r="R11" i="34"/>
  <c r="P11" i="34"/>
  <c r="O11" i="34"/>
  <c r="N11" i="34"/>
  <c r="H11" i="34"/>
  <c r="F11" i="34"/>
  <c r="E11" i="34"/>
  <c r="D11" i="34"/>
  <c r="C11" i="34"/>
  <c r="AM20" i="33"/>
  <c r="AL20" i="33"/>
  <c r="AK20" i="33"/>
  <c r="AN20" i="33" s="1"/>
  <c r="D20" i="33"/>
  <c r="C20" i="33"/>
  <c r="AM18" i="33"/>
  <c r="AL18" i="33"/>
  <c r="AK18" i="33"/>
  <c r="AN18" i="33" s="1"/>
  <c r="D18" i="33"/>
  <c r="C18" i="33"/>
  <c r="AM24" i="33"/>
  <c r="AL24" i="33"/>
  <c r="AK24" i="33"/>
  <c r="AN24" i="33" s="1"/>
  <c r="D24" i="33"/>
  <c r="C24" i="33"/>
  <c r="AM22" i="33"/>
  <c r="AL22" i="33"/>
  <c r="AK22" i="33"/>
  <c r="AN22" i="33" s="1"/>
  <c r="D22" i="33"/>
  <c r="C22" i="33"/>
  <c r="AM11" i="33"/>
  <c r="AL11" i="33"/>
  <c r="AK11" i="33"/>
  <c r="D11" i="33"/>
  <c r="C11" i="33"/>
  <c r="R18" i="16"/>
  <c r="P18" i="16"/>
  <c r="O18" i="16"/>
  <c r="N18" i="16"/>
  <c r="H18" i="16"/>
  <c r="F18" i="16"/>
  <c r="E18" i="16"/>
  <c r="D18" i="16"/>
  <c r="C18" i="16"/>
  <c r="R17" i="16"/>
  <c r="P17" i="16"/>
  <c r="O17" i="16"/>
  <c r="N17" i="16"/>
  <c r="H17" i="16"/>
  <c r="F17" i="16"/>
  <c r="L17" i="16" s="1"/>
  <c r="E17" i="16"/>
  <c r="D17" i="16"/>
  <c r="C17" i="16"/>
  <c r="R20" i="16"/>
  <c r="P20" i="16"/>
  <c r="O20" i="16"/>
  <c r="N20" i="16"/>
  <c r="H20" i="16"/>
  <c r="F20" i="16"/>
  <c r="E20" i="16"/>
  <c r="D20" i="16"/>
  <c r="C20" i="16"/>
  <c r="R19" i="16"/>
  <c r="P19" i="16"/>
  <c r="O19" i="16"/>
  <c r="N19" i="16"/>
  <c r="H19" i="16"/>
  <c r="F19" i="16"/>
  <c r="L19" i="16" s="1"/>
  <c r="E19" i="16"/>
  <c r="D19" i="16"/>
  <c r="C19" i="16"/>
  <c r="R11" i="16"/>
  <c r="P11" i="16"/>
  <c r="O11" i="16"/>
  <c r="N11" i="16"/>
  <c r="H11" i="16"/>
  <c r="F11" i="16"/>
  <c r="E11" i="16"/>
  <c r="D11" i="16"/>
  <c r="C11" i="16"/>
  <c r="AM20" i="14"/>
  <c r="AL20" i="14"/>
  <c r="AK20" i="14"/>
  <c r="AN20" i="14" s="1"/>
  <c r="D20" i="14"/>
  <c r="C20" i="14"/>
  <c r="AM18" i="14"/>
  <c r="AL18" i="14"/>
  <c r="AK18" i="14"/>
  <c r="AN18" i="14" s="1"/>
  <c r="D18" i="14"/>
  <c r="C18" i="14"/>
  <c r="AM24" i="14"/>
  <c r="AL24" i="14"/>
  <c r="AK24" i="14"/>
  <c r="AN24" i="14" s="1"/>
  <c r="D24" i="14"/>
  <c r="C24" i="14"/>
  <c r="AM22" i="14"/>
  <c r="AL22" i="14"/>
  <c r="AK22" i="14"/>
  <c r="AN22" i="14" s="1"/>
  <c r="D22" i="14"/>
  <c r="C22" i="14"/>
  <c r="AM11" i="14"/>
  <c r="AL11" i="14"/>
  <c r="AK11" i="14"/>
  <c r="D11" i="14"/>
  <c r="C11" i="14"/>
  <c r="R18" i="54"/>
  <c r="P18" i="54"/>
  <c r="O18" i="54"/>
  <c r="N18" i="54"/>
  <c r="H18" i="54"/>
  <c r="F18" i="54"/>
  <c r="E18" i="54"/>
  <c r="D18" i="54"/>
  <c r="C18" i="54"/>
  <c r="R17" i="54"/>
  <c r="P17" i="54"/>
  <c r="O17" i="54"/>
  <c r="N17" i="54"/>
  <c r="H17" i="54"/>
  <c r="F17" i="54"/>
  <c r="L17" i="54" s="1"/>
  <c r="E17" i="54"/>
  <c r="D17" i="54"/>
  <c r="C17" i="54"/>
  <c r="R20" i="54"/>
  <c r="P20" i="54"/>
  <c r="O20" i="54"/>
  <c r="N20" i="54"/>
  <c r="H20" i="54"/>
  <c r="F20" i="54"/>
  <c r="E20" i="54"/>
  <c r="D20" i="54"/>
  <c r="C20" i="54"/>
  <c r="R19" i="54"/>
  <c r="P19" i="54"/>
  <c r="O19" i="54"/>
  <c r="N19" i="54"/>
  <c r="H19" i="54"/>
  <c r="F19" i="54"/>
  <c r="E19" i="54"/>
  <c r="D19" i="54"/>
  <c r="C19" i="54"/>
  <c r="R11" i="54"/>
  <c r="P11" i="54"/>
  <c r="O11" i="54"/>
  <c r="N11" i="54"/>
  <c r="H11" i="54"/>
  <c r="F11" i="54"/>
  <c r="E11" i="54"/>
  <c r="D11" i="54"/>
  <c r="C11" i="54"/>
  <c r="AL20" i="53"/>
  <c r="AK20" i="53"/>
  <c r="AJ20" i="53"/>
  <c r="AM20" i="53" s="1"/>
  <c r="D20" i="53"/>
  <c r="C20" i="53"/>
  <c r="AL18" i="53"/>
  <c r="AK18" i="53"/>
  <c r="AM18" i="53" s="1"/>
  <c r="AJ18" i="53"/>
  <c r="D18" i="53"/>
  <c r="C18" i="53"/>
  <c r="AL24" i="53"/>
  <c r="AK24" i="53"/>
  <c r="AJ24" i="53"/>
  <c r="AM24" i="53" s="1"/>
  <c r="D24" i="53"/>
  <c r="C24" i="53"/>
  <c r="AL22" i="53"/>
  <c r="AK22" i="53"/>
  <c r="AJ22" i="53"/>
  <c r="AM22" i="53" s="1"/>
  <c r="D22" i="53"/>
  <c r="C22" i="53"/>
  <c r="AL11" i="53"/>
  <c r="AK11" i="53"/>
  <c r="AJ11" i="53"/>
  <c r="AM11" i="53" s="1"/>
  <c r="D11" i="53"/>
  <c r="C11" i="53"/>
  <c r="R18" i="52"/>
  <c r="P18" i="52"/>
  <c r="O18" i="52"/>
  <c r="N18" i="52"/>
  <c r="H18" i="52"/>
  <c r="F18" i="52"/>
  <c r="E18" i="52"/>
  <c r="D18" i="52"/>
  <c r="C18" i="52"/>
  <c r="R17" i="52"/>
  <c r="P17" i="52"/>
  <c r="O17" i="52"/>
  <c r="N17" i="52"/>
  <c r="H17" i="52"/>
  <c r="F17" i="52"/>
  <c r="L17" i="52" s="1"/>
  <c r="E17" i="52"/>
  <c r="D17" i="52"/>
  <c r="C17" i="52"/>
  <c r="R20" i="52"/>
  <c r="P20" i="52"/>
  <c r="O20" i="52"/>
  <c r="N20" i="52"/>
  <c r="H20" i="52"/>
  <c r="F20" i="52"/>
  <c r="E20" i="52"/>
  <c r="D20" i="52"/>
  <c r="C20" i="52"/>
  <c r="R19" i="52"/>
  <c r="P19" i="52"/>
  <c r="O19" i="52"/>
  <c r="N19" i="52"/>
  <c r="H19" i="52"/>
  <c r="F19" i="52"/>
  <c r="E19" i="52"/>
  <c r="D19" i="52"/>
  <c r="C19" i="52"/>
  <c r="R11" i="52"/>
  <c r="P11" i="52"/>
  <c r="O11" i="52"/>
  <c r="N11" i="52"/>
  <c r="H11" i="52"/>
  <c r="F11" i="52"/>
  <c r="L11" i="52" s="1"/>
  <c r="E11" i="52"/>
  <c r="D11" i="52"/>
  <c r="C11" i="52"/>
  <c r="AM20" i="51"/>
  <c r="AL20" i="51"/>
  <c r="AK20" i="51"/>
  <c r="AN20" i="51" s="1"/>
  <c r="D20" i="51"/>
  <c r="C20" i="51"/>
  <c r="AM18" i="51"/>
  <c r="AL18" i="51"/>
  <c r="AK18" i="51"/>
  <c r="AN18" i="51" s="1"/>
  <c r="D18" i="51"/>
  <c r="C18" i="51"/>
  <c r="AM24" i="51"/>
  <c r="AL24" i="51"/>
  <c r="AK24" i="51"/>
  <c r="AN24" i="51" s="1"/>
  <c r="D24" i="51"/>
  <c r="C24" i="51"/>
  <c r="AM22" i="51"/>
  <c r="AL22" i="51"/>
  <c r="AK22" i="51"/>
  <c r="AN22" i="51" s="1"/>
  <c r="D22" i="51"/>
  <c r="C22" i="51"/>
  <c r="AM11" i="51"/>
  <c r="AL11" i="51"/>
  <c r="AK11" i="51"/>
  <c r="D11" i="51"/>
  <c r="C11" i="51"/>
  <c r="R18" i="50"/>
  <c r="P18" i="50"/>
  <c r="O18" i="50"/>
  <c r="N18" i="50"/>
  <c r="H18" i="50"/>
  <c r="F18" i="50"/>
  <c r="E18" i="50"/>
  <c r="D18" i="50"/>
  <c r="C18" i="50"/>
  <c r="R17" i="50"/>
  <c r="P17" i="50"/>
  <c r="O17" i="50"/>
  <c r="N17" i="50"/>
  <c r="H17" i="50"/>
  <c r="F17" i="50"/>
  <c r="L17" i="50" s="1"/>
  <c r="E17" i="50"/>
  <c r="D17" i="50"/>
  <c r="C17" i="50"/>
  <c r="R20" i="50"/>
  <c r="P20" i="50"/>
  <c r="O20" i="50"/>
  <c r="N20" i="50"/>
  <c r="H20" i="50"/>
  <c r="F20" i="50"/>
  <c r="E20" i="50"/>
  <c r="D20" i="50"/>
  <c r="C20" i="50"/>
  <c r="R19" i="50"/>
  <c r="P19" i="50"/>
  <c r="O19" i="50"/>
  <c r="N19" i="50"/>
  <c r="H19" i="50"/>
  <c r="F19" i="50"/>
  <c r="L19" i="50" s="1"/>
  <c r="E19" i="50"/>
  <c r="D19" i="50"/>
  <c r="C19" i="50"/>
  <c r="R11" i="50"/>
  <c r="P11" i="50"/>
  <c r="O11" i="50"/>
  <c r="N11" i="50"/>
  <c r="H11" i="50"/>
  <c r="F11" i="50"/>
  <c r="E11" i="50"/>
  <c r="D11" i="50"/>
  <c r="C11" i="50"/>
  <c r="AK20" i="49"/>
  <c r="AJ20" i="49"/>
  <c r="AI20" i="49"/>
  <c r="AL20" i="49" s="1"/>
  <c r="D20" i="49"/>
  <c r="C20" i="49"/>
  <c r="AK18" i="49"/>
  <c r="AJ18" i="49"/>
  <c r="AI18" i="49"/>
  <c r="AL18" i="49" s="1"/>
  <c r="D18" i="49"/>
  <c r="C18" i="49"/>
  <c r="AK24" i="49"/>
  <c r="AJ24" i="49"/>
  <c r="AI24" i="49"/>
  <c r="AL24" i="49" s="1"/>
  <c r="D24" i="49"/>
  <c r="C24" i="49"/>
  <c r="AK22" i="49"/>
  <c r="AJ22" i="49"/>
  <c r="AI22" i="49"/>
  <c r="AL22" i="49" s="1"/>
  <c r="D22" i="49"/>
  <c r="C22" i="49"/>
  <c r="AK11" i="49"/>
  <c r="AJ11" i="49"/>
  <c r="AI11" i="49"/>
  <c r="AL11" i="49" s="1"/>
  <c r="D11" i="49"/>
  <c r="C11" i="49"/>
  <c r="R18" i="48"/>
  <c r="P18" i="48"/>
  <c r="O18" i="48"/>
  <c r="N18" i="48"/>
  <c r="H18" i="48"/>
  <c r="F18" i="48"/>
  <c r="E18" i="48"/>
  <c r="D18" i="48"/>
  <c r="C18" i="48"/>
  <c r="R17" i="48"/>
  <c r="P17" i="48"/>
  <c r="O17" i="48"/>
  <c r="N17" i="48"/>
  <c r="H17" i="48"/>
  <c r="F17" i="48"/>
  <c r="L17" i="48" s="1"/>
  <c r="E17" i="48"/>
  <c r="D17" i="48"/>
  <c r="C17" i="48"/>
  <c r="R20" i="48"/>
  <c r="P20" i="48"/>
  <c r="O20" i="48"/>
  <c r="N20" i="48"/>
  <c r="H20" i="48"/>
  <c r="F20" i="48"/>
  <c r="E20" i="48"/>
  <c r="D20" i="48"/>
  <c r="C20" i="48"/>
  <c r="R19" i="48"/>
  <c r="P19" i="48"/>
  <c r="O19" i="48"/>
  <c r="N19" i="48"/>
  <c r="H19" i="48"/>
  <c r="F19" i="48"/>
  <c r="L19" i="48" s="1"/>
  <c r="E19" i="48"/>
  <c r="D19" i="48"/>
  <c r="C19" i="48"/>
  <c r="R11" i="48"/>
  <c r="P11" i="48"/>
  <c r="O11" i="48"/>
  <c r="N11" i="48"/>
  <c r="H11" i="48"/>
  <c r="F11" i="48"/>
  <c r="L11" i="48" s="1"/>
  <c r="E11" i="48"/>
  <c r="D11" i="48"/>
  <c r="C11" i="48"/>
  <c r="AM20" i="47"/>
  <c r="AL20" i="47"/>
  <c r="AK20" i="47"/>
  <c r="AN20" i="47" s="1"/>
  <c r="D20" i="47"/>
  <c r="C20" i="47"/>
  <c r="AM18" i="47"/>
  <c r="AL18" i="47"/>
  <c r="AN18" i="47" s="1"/>
  <c r="AK18" i="47"/>
  <c r="D18" i="47"/>
  <c r="C18" i="47"/>
  <c r="AM24" i="47"/>
  <c r="AL24" i="47"/>
  <c r="AK24" i="47"/>
  <c r="AN24" i="47" s="1"/>
  <c r="D24" i="47"/>
  <c r="C24" i="47"/>
  <c r="AM22" i="47"/>
  <c r="AL22" i="47"/>
  <c r="AK22" i="47"/>
  <c r="AN22" i="47" s="1"/>
  <c r="D22" i="47"/>
  <c r="C22" i="47"/>
  <c r="AM11" i="47"/>
  <c r="AL11" i="47"/>
  <c r="AK11" i="47"/>
  <c r="D11" i="47"/>
  <c r="C11" i="47"/>
  <c r="A15" i="15"/>
  <c r="A16" i="15"/>
  <c r="A17" i="15"/>
  <c r="A18" i="15"/>
  <c r="A19" i="15"/>
  <c r="A20" i="15"/>
  <c r="J19" i="54" l="1"/>
  <c r="J19" i="38"/>
  <c r="J19" i="36"/>
  <c r="J18" i="54"/>
  <c r="J18" i="38"/>
  <c r="J18" i="48"/>
  <c r="J18" i="52"/>
  <c r="J18" i="16"/>
  <c r="J18" i="36"/>
  <c r="J18" i="40"/>
  <c r="J18" i="44"/>
  <c r="J18" i="50"/>
  <c r="J20" i="36"/>
  <c r="J18" i="42"/>
  <c r="J18" i="46"/>
  <c r="J20" i="46"/>
  <c r="L18" i="46"/>
  <c r="J17" i="46"/>
  <c r="J11" i="46"/>
  <c r="L20" i="46"/>
  <c r="J19" i="46"/>
  <c r="L11" i="46"/>
  <c r="AN11" i="45"/>
  <c r="J20" i="44"/>
  <c r="L18" i="44"/>
  <c r="J17" i="44"/>
  <c r="J11" i="44"/>
  <c r="L20" i="44"/>
  <c r="J19" i="44"/>
  <c r="L11" i="44"/>
  <c r="J20" i="42"/>
  <c r="L18" i="42"/>
  <c r="J17" i="42"/>
  <c r="L20" i="42"/>
  <c r="J19" i="42"/>
  <c r="J11" i="42"/>
  <c r="L11" i="42"/>
  <c r="AN11" i="41"/>
  <c r="J20" i="40"/>
  <c r="L18" i="40"/>
  <c r="J17" i="40"/>
  <c r="J11" i="40"/>
  <c r="L20" i="40"/>
  <c r="J19" i="40"/>
  <c r="L11" i="40"/>
  <c r="AN11" i="39"/>
  <c r="L19" i="38"/>
  <c r="J20" i="38"/>
  <c r="L18" i="38"/>
  <c r="J17" i="38"/>
  <c r="J11" i="38"/>
  <c r="L20" i="38"/>
  <c r="L11" i="38"/>
  <c r="AN11" i="37"/>
  <c r="L20" i="36"/>
  <c r="J11" i="36"/>
  <c r="L18" i="36"/>
  <c r="J17" i="36"/>
  <c r="L19" i="36"/>
  <c r="L11" i="36"/>
  <c r="AN11" i="35"/>
  <c r="J18" i="34"/>
  <c r="J20" i="34"/>
  <c r="L18" i="34"/>
  <c r="J17" i="34"/>
  <c r="L20" i="34"/>
  <c r="J19" i="34"/>
  <c r="J11" i="34"/>
  <c r="L11" i="34"/>
  <c r="AN11" i="33"/>
  <c r="J20" i="16"/>
  <c r="L18" i="16"/>
  <c r="J17" i="16"/>
  <c r="J11" i="16"/>
  <c r="L20" i="16"/>
  <c r="J19" i="16"/>
  <c r="L11" i="16"/>
  <c r="AN11" i="14"/>
  <c r="L19" i="54"/>
  <c r="J20" i="54"/>
  <c r="L18" i="54"/>
  <c r="J17" i="54"/>
  <c r="L20" i="54"/>
  <c r="J11" i="54"/>
  <c r="L11" i="54"/>
  <c r="J20" i="52"/>
  <c r="L18" i="52"/>
  <c r="J19" i="52"/>
  <c r="L20" i="52"/>
  <c r="J17" i="52"/>
  <c r="L19" i="52"/>
  <c r="J11" i="52"/>
  <c r="AN11" i="51"/>
  <c r="J20" i="50"/>
  <c r="L18" i="50"/>
  <c r="J17" i="50"/>
  <c r="J11" i="50"/>
  <c r="L20" i="50"/>
  <c r="J19" i="50"/>
  <c r="L11" i="50"/>
  <c r="J20" i="48"/>
  <c r="L18" i="48"/>
  <c r="J17" i="48"/>
  <c r="L20" i="48"/>
  <c r="J19" i="48"/>
  <c r="J11" i="48"/>
  <c r="AN11" i="47"/>
  <c r="C21" i="46" l="1"/>
  <c r="D21" i="46"/>
  <c r="E21" i="46"/>
  <c r="N21" i="46"/>
  <c r="O21" i="46"/>
  <c r="P21" i="46"/>
  <c r="R21" i="46"/>
  <c r="C22" i="46"/>
  <c r="D22" i="46"/>
  <c r="E22" i="46"/>
  <c r="N22" i="46"/>
  <c r="O22" i="46"/>
  <c r="P22" i="46"/>
  <c r="R22" i="46"/>
  <c r="AL28" i="45"/>
  <c r="D28" i="45"/>
  <c r="C28" i="45"/>
  <c r="AL26" i="45"/>
  <c r="D26" i="45"/>
  <c r="C26" i="45"/>
  <c r="AL16" i="45"/>
  <c r="D16" i="45"/>
  <c r="C16" i="45"/>
  <c r="C21" i="44"/>
  <c r="D21" i="44"/>
  <c r="E21" i="44"/>
  <c r="N21" i="44"/>
  <c r="O21" i="44"/>
  <c r="P21" i="44"/>
  <c r="R21" i="44"/>
  <c r="C22" i="44"/>
  <c r="D22" i="44"/>
  <c r="E22" i="44"/>
  <c r="N22" i="44"/>
  <c r="O22" i="44"/>
  <c r="P22" i="44"/>
  <c r="R22" i="44"/>
  <c r="AL28" i="43"/>
  <c r="D28" i="43"/>
  <c r="C28" i="43"/>
  <c r="AL26" i="43"/>
  <c r="D26" i="43"/>
  <c r="C26" i="43"/>
  <c r="AL16" i="43"/>
  <c r="D16" i="43"/>
  <c r="C16" i="43"/>
  <c r="C21" i="42"/>
  <c r="D21" i="42"/>
  <c r="E21" i="42"/>
  <c r="N21" i="42"/>
  <c r="O21" i="42"/>
  <c r="P21" i="42"/>
  <c r="R21" i="42"/>
  <c r="C22" i="42"/>
  <c r="D22" i="42"/>
  <c r="E22" i="42"/>
  <c r="N22" i="42"/>
  <c r="O22" i="42"/>
  <c r="P22" i="42"/>
  <c r="R22" i="42"/>
  <c r="AL28" i="41"/>
  <c r="D28" i="41"/>
  <c r="C28" i="41"/>
  <c r="AL26" i="41"/>
  <c r="D26" i="41"/>
  <c r="C26" i="41"/>
  <c r="AL16" i="41"/>
  <c r="D16" i="41"/>
  <c r="C16" i="41"/>
  <c r="C21" i="40"/>
  <c r="D21" i="40"/>
  <c r="E21" i="40"/>
  <c r="N21" i="40"/>
  <c r="O21" i="40"/>
  <c r="P21" i="40"/>
  <c r="R21" i="40"/>
  <c r="C22" i="40"/>
  <c r="D22" i="40"/>
  <c r="E22" i="40"/>
  <c r="N22" i="40"/>
  <c r="O22" i="40"/>
  <c r="P22" i="40"/>
  <c r="R22" i="40"/>
  <c r="AL28" i="39"/>
  <c r="D28" i="39"/>
  <c r="C28" i="39"/>
  <c r="AL26" i="39"/>
  <c r="D26" i="39"/>
  <c r="C26" i="39"/>
  <c r="AL16" i="39"/>
  <c r="D16" i="39"/>
  <c r="C16" i="39"/>
  <c r="C21" i="38"/>
  <c r="D21" i="38"/>
  <c r="E21" i="38"/>
  <c r="N21" i="38"/>
  <c r="O21" i="38"/>
  <c r="P21" i="38"/>
  <c r="R21" i="38"/>
  <c r="C22" i="38"/>
  <c r="D22" i="38"/>
  <c r="E22" i="38"/>
  <c r="N22" i="38"/>
  <c r="O22" i="38"/>
  <c r="P22" i="38"/>
  <c r="R22" i="38"/>
  <c r="AL28" i="37"/>
  <c r="D28" i="37"/>
  <c r="C28" i="37"/>
  <c r="AL26" i="37"/>
  <c r="D26" i="37"/>
  <c r="C26" i="37"/>
  <c r="AL16" i="37"/>
  <c r="D16" i="37"/>
  <c r="C16" i="37"/>
  <c r="C21" i="36"/>
  <c r="D21" i="36"/>
  <c r="E21" i="36"/>
  <c r="N21" i="36"/>
  <c r="O21" i="36"/>
  <c r="P21" i="36"/>
  <c r="R21" i="36"/>
  <c r="C22" i="36"/>
  <c r="D22" i="36"/>
  <c r="E22" i="36"/>
  <c r="N22" i="36"/>
  <c r="O22" i="36"/>
  <c r="P22" i="36"/>
  <c r="R22" i="36"/>
  <c r="AL28" i="35"/>
  <c r="D28" i="35"/>
  <c r="C28" i="35"/>
  <c r="AL26" i="35"/>
  <c r="D26" i="35"/>
  <c r="C26" i="35"/>
  <c r="AL16" i="35"/>
  <c r="D16" i="35"/>
  <c r="C16" i="35"/>
  <c r="C21" i="34"/>
  <c r="D21" i="34"/>
  <c r="E21" i="34"/>
  <c r="N21" i="34"/>
  <c r="O21" i="34"/>
  <c r="P21" i="34"/>
  <c r="R21" i="34"/>
  <c r="C22" i="34"/>
  <c r="D22" i="34"/>
  <c r="E22" i="34"/>
  <c r="N22" i="34"/>
  <c r="O22" i="34"/>
  <c r="P22" i="34"/>
  <c r="R22" i="34"/>
  <c r="AL28" i="33"/>
  <c r="D28" i="33"/>
  <c r="C28" i="33"/>
  <c r="AL26" i="33"/>
  <c r="D26" i="33"/>
  <c r="C26" i="33"/>
  <c r="AL16" i="33"/>
  <c r="D16" i="33"/>
  <c r="C16" i="33"/>
  <c r="C21" i="16"/>
  <c r="D21" i="16"/>
  <c r="E21" i="16"/>
  <c r="N21" i="16"/>
  <c r="O21" i="16"/>
  <c r="P21" i="16"/>
  <c r="R21" i="16"/>
  <c r="C22" i="16"/>
  <c r="D22" i="16"/>
  <c r="E22" i="16"/>
  <c r="N22" i="16"/>
  <c r="O22" i="16"/>
  <c r="P22" i="16"/>
  <c r="R22" i="16"/>
  <c r="AL28" i="14"/>
  <c r="D28" i="14"/>
  <c r="C28" i="14"/>
  <c r="AL26" i="14"/>
  <c r="D26" i="14"/>
  <c r="C26" i="14"/>
  <c r="AL16" i="14"/>
  <c r="D16" i="14"/>
  <c r="C16" i="14"/>
  <c r="C21" i="54"/>
  <c r="D21" i="54"/>
  <c r="E21" i="54"/>
  <c r="N21" i="54"/>
  <c r="O21" i="54"/>
  <c r="P21" i="54"/>
  <c r="R21" i="54"/>
  <c r="C22" i="54"/>
  <c r="D22" i="54"/>
  <c r="E22" i="54"/>
  <c r="N22" i="54"/>
  <c r="O22" i="54"/>
  <c r="P22" i="54"/>
  <c r="R22" i="54"/>
  <c r="C26" i="53"/>
  <c r="C28" i="53"/>
  <c r="AK28" i="53"/>
  <c r="D28" i="53"/>
  <c r="AK26" i="53"/>
  <c r="D26" i="53"/>
  <c r="AK16" i="53"/>
  <c r="D16" i="53"/>
  <c r="C16" i="53"/>
  <c r="C21" i="52"/>
  <c r="D21" i="52"/>
  <c r="E21" i="52"/>
  <c r="N21" i="52"/>
  <c r="O21" i="52"/>
  <c r="P21" i="52"/>
  <c r="R21" i="52"/>
  <c r="C22" i="52"/>
  <c r="D22" i="52"/>
  <c r="E22" i="52"/>
  <c r="N22" i="52"/>
  <c r="O22" i="52"/>
  <c r="P22" i="52"/>
  <c r="R22" i="52"/>
  <c r="C26" i="51"/>
  <c r="C28" i="51"/>
  <c r="AL28" i="51"/>
  <c r="D28" i="51"/>
  <c r="AL26" i="51"/>
  <c r="D26" i="51"/>
  <c r="AL16" i="51"/>
  <c r="D16" i="51"/>
  <c r="C16" i="51"/>
  <c r="C21" i="50"/>
  <c r="D21" i="50"/>
  <c r="E21" i="50"/>
  <c r="N21" i="50"/>
  <c r="O21" i="50"/>
  <c r="P21" i="50"/>
  <c r="R21" i="50"/>
  <c r="C22" i="50"/>
  <c r="D22" i="50"/>
  <c r="E22" i="50"/>
  <c r="N22" i="50"/>
  <c r="O22" i="50"/>
  <c r="P22" i="50"/>
  <c r="R22" i="50"/>
  <c r="AJ28" i="49"/>
  <c r="D28" i="49"/>
  <c r="C28" i="49"/>
  <c r="R16" i="54"/>
  <c r="P16" i="54"/>
  <c r="O16" i="54"/>
  <c r="N16" i="54"/>
  <c r="E16" i="54"/>
  <c r="D16" i="54"/>
  <c r="C16" i="54"/>
  <c r="R12" i="54"/>
  <c r="P12" i="54"/>
  <c r="O12" i="54"/>
  <c r="N12" i="54"/>
  <c r="E12" i="54"/>
  <c r="D12" i="54"/>
  <c r="C12" i="54"/>
  <c r="R10" i="54"/>
  <c r="P10" i="54"/>
  <c r="O10" i="54"/>
  <c r="N10" i="54"/>
  <c r="E10" i="54"/>
  <c r="D10" i="54"/>
  <c r="C10" i="54"/>
  <c r="E4" i="54"/>
  <c r="S26" i="54" s="1"/>
  <c r="AK13" i="53"/>
  <c r="D13" i="53"/>
  <c r="C13" i="53"/>
  <c r="AK9" i="53"/>
  <c r="D9" i="53"/>
  <c r="C9" i="53"/>
  <c r="F5" i="53"/>
  <c r="F6" i="53" s="1"/>
  <c r="S1" i="53"/>
  <c r="R16" i="52"/>
  <c r="P16" i="52"/>
  <c r="O16" i="52"/>
  <c r="N16" i="52"/>
  <c r="E16" i="52"/>
  <c r="D16" i="52"/>
  <c r="C16" i="52"/>
  <c r="R12" i="52"/>
  <c r="P12" i="52"/>
  <c r="O12" i="52"/>
  <c r="N12" i="52"/>
  <c r="E12" i="52"/>
  <c r="D12" i="52"/>
  <c r="C12" i="52"/>
  <c r="R10" i="52"/>
  <c r="P10" i="52"/>
  <c r="O10" i="52"/>
  <c r="N10" i="52"/>
  <c r="E10" i="52"/>
  <c r="D10" i="52"/>
  <c r="C10" i="52"/>
  <c r="E4" i="52"/>
  <c r="S26" i="52" s="1"/>
  <c r="AL13" i="51"/>
  <c r="D13" i="51"/>
  <c r="C13" i="51"/>
  <c r="AL9" i="51"/>
  <c r="D9" i="51"/>
  <c r="C9" i="51"/>
  <c r="F5" i="51"/>
  <c r="F6" i="51" s="1"/>
  <c r="S1" i="51"/>
  <c r="R16" i="50"/>
  <c r="P16" i="50"/>
  <c r="O16" i="50"/>
  <c r="N16" i="50"/>
  <c r="E16" i="50"/>
  <c r="D16" i="50"/>
  <c r="C16" i="50"/>
  <c r="R12" i="50"/>
  <c r="P12" i="50"/>
  <c r="O12" i="50"/>
  <c r="N12" i="50"/>
  <c r="E12" i="50"/>
  <c r="D12" i="50"/>
  <c r="C12" i="50"/>
  <c r="R10" i="50"/>
  <c r="P10" i="50"/>
  <c r="O10" i="50"/>
  <c r="N10" i="50"/>
  <c r="E10" i="50"/>
  <c r="D10" i="50"/>
  <c r="C10" i="50"/>
  <c r="E4" i="50"/>
  <c r="S26" i="50" s="1"/>
  <c r="AJ26" i="49"/>
  <c r="D26" i="49"/>
  <c r="C26" i="49"/>
  <c r="AJ16" i="49"/>
  <c r="D16" i="49"/>
  <c r="C16" i="49"/>
  <c r="AJ13" i="49"/>
  <c r="D13" i="49"/>
  <c r="C13" i="49"/>
  <c r="AJ9" i="49"/>
  <c r="D9" i="49"/>
  <c r="C9" i="49"/>
  <c r="F5" i="49"/>
  <c r="F6" i="49" s="1"/>
  <c r="S1" i="49"/>
  <c r="R22" i="48"/>
  <c r="P22" i="48"/>
  <c r="O22" i="48"/>
  <c r="N22" i="48"/>
  <c r="E22" i="48"/>
  <c r="D22" i="48"/>
  <c r="C22" i="48"/>
  <c r="R21" i="48"/>
  <c r="P21" i="48"/>
  <c r="O21" i="48"/>
  <c r="N21" i="48"/>
  <c r="E21" i="48"/>
  <c r="D21" i="48"/>
  <c r="C21" i="48"/>
  <c r="R16" i="48"/>
  <c r="P16" i="48"/>
  <c r="O16" i="48"/>
  <c r="N16" i="48"/>
  <c r="E16" i="48"/>
  <c r="D16" i="48"/>
  <c r="C16" i="48"/>
  <c r="R12" i="48"/>
  <c r="P12" i="48"/>
  <c r="O12" i="48"/>
  <c r="N12" i="48"/>
  <c r="E12" i="48"/>
  <c r="D12" i="48"/>
  <c r="C12" i="48"/>
  <c r="R10" i="48"/>
  <c r="P10" i="48"/>
  <c r="O10" i="48"/>
  <c r="N10" i="48"/>
  <c r="E10" i="48"/>
  <c r="D10" i="48"/>
  <c r="C10" i="48"/>
  <c r="E4" i="48"/>
  <c r="S26" i="48" s="1"/>
  <c r="AL28" i="47"/>
  <c r="D28" i="47"/>
  <c r="C28" i="47"/>
  <c r="AL26" i="47"/>
  <c r="D26" i="47"/>
  <c r="C26" i="47"/>
  <c r="AL16" i="47"/>
  <c r="D16" i="47"/>
  <c r="C16" i="47"/>
  <c r="AL13" i="47"/>
  <c r="D13" i="47"/>
  <c r="C13" i="47"/>
  <c r="AL9" i="47"/>
  <c r="D9" i="47"/>
  <c r="C9" i="47"/>
  <c r="F5" i="47"/>
  <c r="F6" i="47" s="1"/>
  <c r="S1" i="47"/>
  <c r="O24" i="54" l="1"/>
  <c r="P24" i="52"/>
  <c r="E24" i="52"/>
  <c r="R24" i="52"/>
  <c r="E24" i="50"/>
  <c r="R24" i="50"/>
  <c r="E24" i="54"/>
  <c r="R24" i="54"/>
  <c r="N24" i="54"/>
  <c r="D1" i="50"/>
  <c r="R14" i="52"/>
  <c r="E24" i="48"/>
  <c r="N14" i="50"/>
  <c r="P14" i="54"/>
  <c r="N14" i="52"/>
  <c r="O14" i="54"/>
  <c r="N14" i="54"/>
  <c r="R14" i="54"/>
  <c r="P24" i="54"/>
  <c r="D1" i="52"/>
  <c r="D1" i="48"/>
  <c r="D1" i="54"/>
  <c r="R14" i="48"/>
  <c r="O14" i="52"/>
  <c r="N24" i="52"/>
  <c r="G5" i="53"/>
  <c r="E14" i="54"/>
  <c r="N14" i="48"/>
  <c r="R24" i="48"/>
  <c r="R14" i="50"/>
  <c r="P24" i="50"/>
  <c r="P14" i="52"/>
  <c r="O24" i="52"/>
  <c r="O14" i="50"/>
  <c r="N24" i="50"/>
  <c r="G5" i="51"/>
  <c r="E14" i="52"/>
  <c r="P24" i="48"/>
  <c r="P14" i="50"/>
  <c r="O24" i="50"/>
  <c r="O14" i="48"/>
  <c r="N24" i="48"/>
  <c r="G5" i="49"/>
  <c r="E14" i="50"/>
  <c r="P14" i="48"/>
  <c r="O24" i="48"/>
  <c r="G5" i="47"/>
  <c r="E14" i="48"/>
  <c r="K27" i="15"/>
  <c r="G6" i="53" l="1"/>
  <c r="H5" i="53"/>
  <c r="G6" i="51"/>
  <c r="H5" i="51"/>
  <c r="G6" i="49"/>
  <c r="H5" i="49"/>
  <c r="H5" i="47"/>
  <c r="G6" i="47"/>
  <c r="K28" i="15"/>
  <c r="I5" i="53" l="1"/>
  <c r="H6" i="53"/>
  <c r="I5" i="51"/>
  <c r="H6" i="51"/>
  <c r="I5" i="49"/>
  <c r="H6" i="49"/>
  <c r="I5" i="47"/>
  <c r="H6" i="47"/>
  <c r="R16" i="46"/>
  <c r="P16" i="46"/>
  <c r="O16" i="46"/>
  <c r="N16" i="46"/>
  <c r="E16" i="46"/>
  <c r="D16" i="46"/>
  <c r="C16" i="46"/>
  <c r="R12" i="46"/>
  <c r="P12" i="46"/>
  <c r="O12" i="46"/>
  <c r="N12" i="46"/>
  <c r="E12" i="46"/>
  <c r="D12" i="46"/>
  <c r="C12" i="46"/>
  <c r="R10" i="46"/>
  <c r="P10" i="46"/>
  <c r="O10" i="46"/>
  <c r="N10" i="46"/>
  <c r="E10" i="46"/>
  <c r="D10" i="46"/>
  <c r="C10" i="46"/>
  <c r="E4" i="46"/>
  <c r="S26" i="46" s="1"/>
  <c r="AL13" i="45"/>
  <c r="D13" i="45"/>
  <c r="C13" i="45"/>
  <c r="AL9" i="45"/>
  <c r="D9" i="45"/>
  <c r="C9" i="45"/>
  <c r="F5" i="45"/>
  <c r="G5" i="45" s="1"/>
  <c r="S1" i="45"/>
  <c r="R16" i="44"/>
  <c r="P16" i="44"/>
  <c r="O16" i="44"/>
  <c r="N16" i="44"/>
  <c r="E16" i="44"/>
  <c r="D16" i="44"/>
  <c r="C16" i="44"/>
  <c r="R12" i="44"/>
  <c r="P12" i="44"/>
  <c r="O12" i="44"/>
  <c r="N12" i="44"/>
  <c r="E12" i="44"/>
  <c r="D12" i="44"/>
  <c r="C12" i="44"/>
  <c r="R10" i="44"/>
  <c r="P10" i="44"/>
  <c r="O10" i="44"/>
  <c r="N10" i="44"/>
  <c r="E10" i="44"/>
  <c r="D10" i="44"/>
  <c r="C10" i="44"/>
  <c r="E4" i="44"/>
  <c r="S26" i="44" s="1"/>
  <c r="AL13" i="43"/>
  <c r="D13" i="43"/>
  <c r="C13" i="43"/>
  <c r="AL9" i="43"/>
  <c r="D9" i="43"/>
  <c r="C9" i="43"/>
  <c r="F5" i="43"/>
  <c r="G5" i="43" s="1"/>
  <c r="S1" i="43"/>
  <c r="R16" i="42"/>
  <c r="P16" i="42"/>
  <c r="O16" i="42"/>
  <c r="N16" i="42"/>
  <c r="E16" i="42"/>
  <c r="D16" i="42"/>
  <c r="C16" i="42"/>
  <c r="R12" i="42"/>
  <c r="P12" i="42"/>
  <c r="O12" i="42"/>
  <c r="N12" i="42"/>
  <c r="E12" i="42"/>
  <c r="D12" i="42"/>
  <c r="C12" i="42"/>
  <c r="R10" i="42"/>
  <c r="P10" i="42"/>
  <c r="O10" i="42"/>
  <c r="N10" i="42"/>
  <c r="E10" i="42"/>
  <c r="D10" i="42"/>
  <c r="C10" i="42"/>
  <c r="E4" i="42"/>
  <c r="S26" i="42" s="1"/>
  <c r="AL13" i="41"/>
  <c r="D13" i="41"/>
  <c r="C13" i="41"/>
  <c r="AL9" i="41"/>
  <c r="D9" i="41"/>
  <c r="C9" i="41"/>
  <c r="F5" i="41"/>
  <c r="G5" i="41" s="1"/>
  <c r="S1" i="41"/>
  <c r="E14" i="46" l="1"/>
  <c r="R14" i="46"/>
  <c r="J5" i="53"/>
  <c r="I6" i="53"/>
  <c r="J5" i="51"/>
  <c r="I6" i="51"/>
  <c r="E14" i="44"/>
  <c r="R14" i="44"/>
  <c r="N14" i="46"/>
  <c r="P14" i="44"/>
  <c r="J5" i="49"/>
  <c r="I6" i="49"/>
  <c r="O14" i="44"/>
  <c r="P14" i="46"/>
  <c r="N14" i="44"/>
  <c r="O14" i="46"/>
  <c r="I6" i="47"/>
  <c r="J5" i="47"/>
  <c r="F6" i="43"/>
  <c r="E24" i="42"/>
  <c r="R24" i="42"/>
  <c r="E24" i="44"/>
  <c r="R24" i="44"/>
  <c r="F6" i="45"/>
  <c r="F6" i="41"/>
  <c r="N14" i="42"/>
  <c r="E24" i="46"/>
  <c r="P24" i="42"/>
  <c r="D1" i="42"/>
  <c r="P24" i="44"/>
  <c r="D1" i="44"/>
  <c r="O24" i="46"/>
  <c r="P24" i="46"/>
  <c r="N24" i="46"/>
  <c r="R24" i="46"/>
  <c r="D1" i="46"/>
  <c r="G6" i="45"/>
  <c r="H5" i="45"/>
  <c r="N24" i="44"/>
  <c r="O24" i="44"/>
  <c r="G6" i="43"/>
  <c r="H5" i="43"/>
  <c r="N24" i="42"/>
  <c r="O14" i="42"/>
  <c r="P14" i="42"/>
  <c r="R14" i="42"/>
  <c r="O24" i="42"/>
  <c r="G6" i="41"/>
  <c r="H5" i="41"/>
  <c r="E14" i="42"/>
  <c r="R16" i="40"/>
  <c r="P16" i="40"/>
  <c r="O16" i="40"/>
  <c r="N16" i="40"/>
  <c r="E16" i="40"/>
  <c r="D16" i="40"/>
  <c r="C16" i="40"/>
  <c r="R12" i="40"/>
  <c r="P12" i="40"/>
  <c r="O12" i="40"/>
  <c r="N12" i="40"/>
  <c r="E12" i="40"/>
  <c r="D12" i="40"/>
  <c r="C12" i="40"/>
  <c r="R10" i="40"/>
  <c r="P10" i="40"/>
  <c r="O10" i="40"/>
  <c r="N10" i="40"/>
  <c r="E10" i="40"/>
  <c r="D10" i="40"/>
  <c r="C10" i="40"/>
  <c r="E4" i="40"/>
  <c r="S26" i="40" s="1"/>
  <c r="AL13" i="39"/>
  <c r="D13" i="39"/>
  <c r="C13" i="39"/>
  <c r="AL9" i="39"/>
  <c r="D9" i="39"/>
  <c r="C9" i="39"/>
  <c r="F5" i="39"/>
  <c r="G5" i="39" s="1"/>
  <c r="S1" i="39"/>
  <c r="R16" i="38"/>
  <c r="P16" i="38"/>
  <c r="O16" i="38"/>
  <c r="N16" i="38"/>
  <c r="E16" i="38"/>
  <c r="D16" i="38"/>
  <c r="C16" i="38"/>
  <c r="R12" i="38"/>
  <c r="P12" i="38"/>
  <c r="O12" i="38"/>
  <c r="N12" i="38"/>
  <c r="E12" i="38"/>
  <c r="D12" i="38"/>
  <c r="C12" i="38"/>
  <c r="R10" i="38"/>
  <c r="P10" i="38"/>
  <c r="O10" i="38"/>
  <c r="N10" i="38"/>
  <c r="E10" i="38"/>
  <c r="D10" i="38"/>
  <c r="C10" i="38"/>
  <c r="E4" i="38"/>
  <c r="S26" i="38" s="1"/>
  <c r="AL13" i="37"/>
  <c r="D13" i="37"/>
  <c r="C13" i="37"/>
  <c r="AL9" i="37"/>
  <c r="D9" i="37"/>
  <c r="C9" i="37"/>
  <c r="F5" i="37"/>
  <c r="F6" i="37" s="1"/>
  <c r="S1" i="37"/>
  <c r="R16" i="36"/>
  <c r="P16" i="36"/>
  <c r="O16" i="36"/>
  <c r="N16" i="36"/>
  <c r="E16" i="36"/>
  <c r="D16" i="36"/>
  <c r="C16" i="36"/>
  <c r="R12" i="36"/>
  <c r="P12" i="36"/>
  <c r="O12" i="36"/>
  <c r="N12" i="36"/>
  <c r="E12" i="36"/>
  <c r="D12" i="36"/>
  <c r="C12" i="36"/>
  <c r="R10" i="36"/>
  <c r="P10" i="36"/>
  <c r="O10" i="36"/>
  <c r="N10" i="36"/>
  <c r="E10" i="36"/>
  <c r="D10" i="36"/>
  <c r="C10" i="36"/>
  <c r="E4" i="36"/>
  <c r="S26" i="36" s="1"/>
  <c r="AL13" i="35"/>
  <c r="D13" i="35"/>
  <c r="C13" i="35"/>
  <c r="AL9" i="35"/>
  <c r="D9" i="35"/>
  <c r="C9" i="35"/>
  <c r="F5" i="35"/>
  <c r="F6" i="35" s="1"/>
  <c r="S1" i="35"/>
  <c r="D1" i="36" l="1"/>
  <c r="J6" i="53"/>
  <c r="K5" i="53"/>
  <c r="J6" i="51"/>
  <c r="K5" i="51"/>
  <c r="J6" i="49"/>
  <c r="K5" i="49"/>
  <c r="J6" i="47"/>
  <c r="K5" i="47"/>
  <c r="D1" i="38"/>
  <c r="N14" i="40"/>
  <c r="P24" i="40"/>
  <c r="I5" i="45"/>
  <c r="H6" i="45"/>
  <c r="R14" i="38"/>
  <c r="P24" i="38"/>
  <c r="O14" i="40"/>
  <c r="N24" i="40"/>
  <c r="I5" i="43"/>
  <c r="H6" i="43"/>
  <c r="E24" i="40"/>
  <c r="R24" i="40"/>
  <c r="I5" i="41"/>
  <c r="H6" i="41"/>
  <c r="R14" i="36"/>
  <c r="P24" i="36"/>
  <c r="N14" i="38"/>
  <c r="E24" i="38"/>
  <c r="R24" i="38"/>
  <c r="P14" i="40"/>
  <c r="R14" i="40"/>
  <c r="O24" i="40"/>
  <c r="F6" i="39"/>
  <c r="D1" i="40"/>
  <c r="G6" i="39"/>
  <c r="H5" i="39"/>
  <c r="E14" i="40"/>
  <c r="N14" i="36"/>
  <c r="E24" i="36"/>
  <c r="R24" i="36"/>
  <c r="O14" i="38"/>
  <c r="N24" i="38"/>
  <c r="O14" i="36"/>
  <c r="P14" i="38"/>
  <c r="O24" i="38"/>
  <c r="G5" i="37"/>
  <c r="E14" i="38"/>
  <c r="N24" i="36"/>
  <c r="P14" i="36"/>
  <c r="O24" i="36"/>
  <c r="G5" i="35"/>
  <c r="E14" i="36"/>
  <c r="C12" i="34"/>
  <c r="D12" i="34"/>
  <c r="E12" i="34"/>
  <c r="N12" i="34"/>
  <c r="O12" i="34"/>
  <c r="P12" i="34"/>
  <c r="R12" i="34"/>
  <c r="AL13" i="33"/>
  <c r="D13" i="33"/>
  <c r="C13" i="33"/>
  <c r="C16" i="16"/>
  <c r="D16" i="16"/>
  <c r="E16" i="16"/>
  <c r="N16" i="16"/>
  <c r="O16" i="16"/>
  <c r="P16" i="16"/>
  <c r="R16" i="16"/>
  <c r="C10" i="16"/>
  <c r="D10" i="16"/>
  <c r="E10" i="16"/>
  <c r="N10" i="16"/>
  <c r="O10" i="16"/>
  <c r="P10" i="16"/>
  <c r="R10" i="16"/>
  <c r="C12" i="16"/>
  <c r="D12" i="16"/>
  <c r="E12" i="16"/>
  <c r="N12" i="16"/>
  <c r="O12" i="16"/>
  <c r="P12" i="16"/>
  <c r="R12" i="16"/>
  <c r="K6" i="53" l="1"/>
  <c r="L5" i="53"/>
  <c r="K6" i="51"/>
  <c r="L5" i="51"/>
  <c r="K6" i="49"/>
  <c r="L5" i="49"/>
  <c r="L5" i="47"/>
  <c r="K6" i="47"/>
  <c r="J5" i="45"/>
  <c r="I6" i="45"/>
  <c r="J5" i="43"/>
  <c r="I6" i="43"/>
  <c r="J5" i="41"/>
  <c r="I6" i="41"/>
  <c r="I5" i="39"/>
  <c r="H6" i="39"/>
  <c r="E14" i="16"/>
  <c r="G6" i="37"/>
  <c r="H5" i="37"/>
  <c r="P24" i="16"/>
  <c r="P14" i="16"/>
  <c r="O24" i="16"/>
  <c r="E24" i="16"/>
  <c r="R24" i="16"/>
  <c r="N24" i="16"/>
  <c r="N14" i="16"/>
  <c r="R14" i="16"/>
  <c r="G6" i="35"/>
  <c r="H5" i="35"/>
  <c r="O14" i="16"/>
  <c r="AL13" i="14"/>
  <c r="D13" i="14"/>
  <c r="C13" i="14"/>
  <c r="A12" i="15"/>
  <c r="A13" i="15"/>
  <c r="A14" i="15"/>
  <c r="A21" i="15"/>
  <c r="A11" i="15"/>
  <c r="M5" i="53" l="1"/>
  <c r="L6" i="53"/>
  <c r="M5" i="51"/>
  <c r="L6" i="51"/>
  <c r="M5" i="49"/>
  <c r="L6" i="49"/>
  <c r="M5" i="47"/>
  <c r="L6" i="47"/>
  <c r="J6" i="45"/>
  <c r="K5" i="45"/>
  <c r="J6" i="43"/>
  <c r="K5" i="43"/>
  <c r="J6" i="41"/>
  <c r="K5" i="41"/>
  <c r="J5" i="39"/>
  <c r="I6" i="39"/>
  <c r="I5" i="37"/>
  <c r="H6" i="37"/>
  <c r="I5" i="35"/>
  <c r="H6" i="35"/>
  <c r="R16" i="34"/>
  <c r="P16" i="34"/>
  <c r="O16" i="34"/>
  <c r="N16" i="34"/>
  <c r="E16" i="34"/>
  <c r="D16" i="34"/>
  <c r="C16" i="34"/>
  <c r="R10" i="34"/>
  <c r="R14" i="34" s="1"/>
  <c r="P10" i="34"/>
  <c r="P14" i="34" s="1"/>
  <c r="O10" i="34"/>
  <c r="O14" i="34" s="1"/>
  <c r="N10" i="34"/>
  <c r="N14" i="34" s="1"/>
  <c r="E10" i="34"/>
  <c r="E14" i="34" s="1"/>
  <c r="D10" i="34"/>
  <c r="C10" i="34"/>
  <c r="E4" i="34"/>
  <c r="AL9" i="33"/>
  <c r="D9" i="33"/>
  <c r="C9" i="33"/>
  <c r="F5" i="33"/>
  <c r="G5" i="33" s="1"/>
  <c r="S1" i="33"/>
  <c r="N5" i="53" l="1"/>
  <c r="M6" i="53"/>
  <c r="N5" i="51"/>
  <c r="M6" i="51"/>
  <c r="M6" i="49"/>
  <c r="N5" i="49"/>
  <c r="N5" i="47"/>
  <c r="M6" i="47"/>
  <c r="K6" i="45"/>
  <c r="L5" i="45"/>
  <c r="K6" i="43"/>
  <c r="L5" i="43"/>
  <c r="N24" i="34"/>
  <c r="K6" i="41"/>
  <c r="L5" i="41"/>
  <c r="J6" i="39"/>
  <c r="K5" i="39"/>
  <c r="O24" i="34"/>
  <c r="J5" i="37"/>
  <c r="I6" i="37"/>
  <c r="P24" i="34"/>
  <c r="E24" i="34"/>
  <c r="R24" i="34"/>
  <c r="J5" i="35"/>
  <c r="I6" i="35"/>
  <c r="S26" i="34"/>
  <c r="F6" i="33"/>
  <c r="G6" i="33"/>
  <c r="H5" i="33"/>
  <c r="D1" i="34"/>
  <c r="N6" i="53" l="1"/>
  <c r="O5" i="53"/>
  <c r="N6" i="51"/>
  <c r="O5" i="51"/>
  <c r="N6" i="49"/>
  <c r="O5" i="49"/>
  <c r="N6" i="47"/>
  <c r="O5" i="47"/>
  <c r="M5" i="45"/>
  <c r="L6" i="45"/>
  <c r="M5" i="43"/>
  <c r="L6" i="43"/>
  <c r="M5" i="41"/>
  <c r="L6" i="41"/>
  <c r="K6" i="39"/>
  <c r="L5" i="39"/>
  <c r="J6" i="37"/>
  <c r="K5" i="37"/>
  <c r="J6" i="35"/>
  <c r="K5" i="35"/>
  <c r="I5" i="33"/>
  <c r="H6" i="33"/>
  <c r="J22" i="15"/>
  <c r="F22" i="15"/>
  <c r="O6" i="53" l="1"/>
  <c r="P5" i="53"/>
  <c r="O6" i="51"/>
  <c r="P5" i="51"/>
  <c r="O6" i="49"/>
  <c r="P5" i="49"/>
  <c r="P5" i="47"/>
  <c r="O6" i="47"/>
  <c r="N5" i="45"/>
  <c r="M6" i="45"/>
  <c r="N5" i="43"/>
  <c r="M6" i="43"/>
  <c r="N5" i="41"/>
  <c r="M6" i="41"/>
  <c r="M5" i="39"/>
  <c r="L6" i="39"/>
  <c r="K6" i="37"/>
  <c r="L5" i="37"/>
  <c r="K6" i="35"/>
  <c r="L5" i="35"/>
  <c r="J5" i="33"/>
  <c r="I6" i="33"/>
  <c r="E4" i="16"/>
  <c r="Q5" i="53" l="1"/>
  <c r="P6" i="53"/>
  <c r="Q5" i="51"/>
  <c r="P6" i="51"/>
  <c r="Q5" i="49"/>
  <c r="P6" i="49"/>
  <c r="Q5" i="47"/>
  <c r="P6" i="47"/>
  <c r="N6" i="45"/>
  <c r="O5" i="45"/>
  <c r="N6" i="43"/>
  <c r="O5" i="43"/>
  <c r="N6" i="41"/>
  <c r="O5" i="41"/>
  <c r="N5" i="39"/>
  <c r="M6" i="39"/>
  <c r="M5" i="37"/>
  <c r="L6" i="37"/>
  <c r="M5" i="35"/>
  <c r="L6" i="35"/>
  <c r="D1" i="16"/>
  <c r="J6" i="33"/>
  <c r="K5" i="33"/>
  <c r="S26" i="16"/>
  <c r="R5" i="53" l="1"/>
  <c r="Q6" i="53"/>
  <c r="R5" i="51"/>
  <c r="Q6" i="51"/>
  <c r="R5" i="49"/>
  <c r="Q6" i="49"/>
  <c r="R5" i="47"/>
  <c r="Q6" i="47"/>
  <c r="O6" i="45"/>
  <c r="P5" i="45"/>
  <c r="O6" i="43"/>
  <c r="P5" i="43"/>
  <c r="O6" i="41"/>
  <c r="P5" i="41"/>
  <c r="N6" i="39"/>
  <c r="O5" i="39"/>
  <c r="N5" i="37"/>
  <c r="M6" i="37"/>
  <c r="N5" i="35"/>
  <c r="M6" i="35"/>
  <c r="K6" i="33"/>
  <c r="L5" i="33"/>
  <c r="M77" i="15"/>
  <c r="N105" i="15" s="1"/>
  <c r="M78" i="15"/>
  <c r="N107" i="15" s="1"/>
  <c r="M79" i="15"/>
  <c r="N109" i="15" s="1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49" i="15"/>
  <c r="J23" i="15" a="1"/>
  <c r="J23" i="15" s="1"/>
  <c r="R6" i="53" l="1"/>
  <c r="S5" i="53"/>
  <c r="R6" i="51"/>
  <c r="S5" i="51"/>
  <c r="R6" i="49"/>
  <c r="S5" i="49"/>
  <c r="R6" i="47"/>
  <c r="S5" i="47"/>
  <c r="Q5" i="45"/>
  <c r="P6" i="45"/>
  <c r="Q5" i="43"/>
  <c r="P6" i="43"/>
  <c r="Q5" i="41"/>
  <c r="P6" i="41"/>
  <c r="O6" i="39"/>
  <c r="P5" i="39"/>
  <c r="N6" i="37"/>
  <c r="O5" i="37"/>
  <c r="N6" i="35"/>
  <c r="O5" i="35"/>
  <c r="M5" i="33"/>
  <c r="L6" i="33"/>
  <c r="AL9" i="14"/>
  <c r="S6" i="53" l="1"/>
  <c r="T5" i="53"/>
  <c r="S6" i="51"/>
  <c r="T5" i="51"/>
  <c r="S6" i="49"/>
  <c r="T5" i="49"/>
  <c r="S6" i="47"/>
  <c r="T5" i="47"/>
  <c r="R5" i="45"/>
  <c r="Q6" i="45"/>
  <c r="R5" i="43"/>
  <c r="Q6" i="43"/>
  <c r="R5" i="41"/>
  <c r="Q6" i="41"/>
  <c r="Q5" i="39"/>
  <c r="P6" i="39"/>
  <c r="O6" i="37"/>
  <c r="P5" i="37"/>
  <c r="O6" i="35"/>
  <c r="P5" i="35"/>
  <c r="N5" i="33"/>
  <c r="M6" i="33"/>
  <c r="N51" i="15"/>
  <c r="N53" i="15"/>
  <c r="N55" i="15"/>
  <c r="N57" i="15"/>
  <c r="N59" i="15"/>
  <c r="N61" i="15"/>
  <c r="N63" i="15"/>
  <c r="N65" i="15"/>
  <c r="N67" i="15"/>
  <c r="N69" i="15"/>
  <c r="N71" i="15"/>
  <c r="N73" i="15"/>
  <c r="N75" i="15"/>
  <c r="N77" i="15"/>
  <c r="N79" i="15"/>
  <c r="N81" i="15"/>
  <c r="N83" i="15"/>
  <c r="N85" i="15"/>
  <c r="N87" i="15"/>
  <c r="N89" i="15"/>
  <c r="N91" i="15"/>
  <c r="N93" i="15"/>
  <c r="N95" i="15"/>
  <c r="N97" i="15"/>
  <c r="N99" i="15"/>
  <c r="N101" i="15"/>
  <c r="N103" i="15"/>
  <c r="N49" i="15"/>
  <c r="U5" i="53" l="1"/>
  <c r="T6" i="53"/>
  <c r="U5" i="51"/>
  <c r="T6" i="51"/>
  <c r="U5" i="49"/>
  <c r="T6" i="49"/>
  <c r="U5" i="47"/>
  <c r="T6" i="47"/>
  <c r="R6" i="45"/>
  <c r="S5" i="45"/>
  <c r="R6" i="43"/>
  <c r="S5" i="43"/>
  <c r="R6" i="41"/>
  <c r="S5" i="41"/>
  <c r="R5" i="39"/>
  <c r="Q6" i="39"/>
  <c r="Q5" i="37"/>
  <c r="P6" i="37"/>
  <c r="Q5" i="35"/>
  <c r="P6" i="35"/>
  <c r="N6" i="33"/>
  <c r="O5" i="33"/>
  <c r="S1" i="14"/>
  <c r="E22" i="15"/>
  <c r="V5" i="53" l="1"/>
  <c r="U6" i="53"/>
  <c r="V5" i="51"/>
  <c r="U6" i="51"/>
  <c r="V5" i="49"/>
  <c r="U6" i="49"/>
  <c r="U6" i="47"/>
  <c r="V5" i="47"/>
  <c r="S6" i="45"/>
  <c r="T5" i="45"/>
  <c r="S6" i="43"/>
  <c r="T5" i="43"/>
  <c r="S6" i="41"/>
  <c r="T5" i="41"/>
  <c r="R6" i="39"/>
  <c r="S5" i="39"/>
  <c r="R5" i="37"/>
  <c r="Q6" i="37"/>
  <c r="R5" i="35"/>
  <c r="Q6" i="35"/>
  <c r="O6" i="33"/>
  <c r="P5" i="33"/>
  <c r="K23" i="15" a="1"/>
  <c r="K23" i="15" s="1"/>
  <c r="L23" i="15" a="1"/>
  <c r="L23" i="15" s="1"/>
  <c r="M23" i="15" a="1"/>
  <c r="M23" i="15" s="1"/>
  <c r="N23" i="15" a="1"/>
  <c r="N23" i="15" s="1"/>
  <c r="O23" i="15" a="1"/>
  <c r="O23" i="15" s="1"/>
  <c r="P23" i="15" a="1"/>
  <c r="P23" i="15" s="1"/>
  <c r="Q23" i="15" a="1"/>
  <c r="Q23" i="15" s="1"/>
  <c r="R23" i="15" a="1"/>
  <c r="R23" i="15" s="1"/>
  <c r="S23" i="15" a="1"/>
  <c r="S23" i="15" s="1"/>
  <c r="T23" i="15" a="1"/>
  <c r="T23" i="15" s="1"/>
  <c r="U23" i="15" a="1"/>
  <c r="U23" i="15" s="1"/>
  <c r="U22" i="15"/>
  <c r="K22" i="15"/>
  <c r="L22" i="15"/>
  <c r="M22" i="15"/>
  <c r="N22" i="15"/>
  <c r="O22" i="15"/>
  <c r="P22" i="15"/>
  <c r="Q22" i="15"/>
  <c r="R22" i="15"/>
  <c r="S22" i="15"/>
  <c r="T22" i="15"/>
  <c r="G22" i="15"/>
  <c r="H22" i="15"/>
  <c r="A6" i="15"/>
  <c r="V6" i="53" l="1"/>
  <c r="W5" i="53"/>
  <c r="V6" i="51"/>
  <c r="W5" i="51"/>
  <c r="V6" i="49"/>
  <c r="W5" i="49"/>
  <c r="V6" i="47"/>
  <c r="W5" i="47"/>
  <c r="U5" i="45"/>
  <c r="T6" i="45"/>
  <c r="U5" i="43"/>
  <c r="T6" i="43"/>
  <c r="U5" i="41"/>
  <c r="T6" i="41"/>
  <c r="S6" i="39"/>
  <c r="T5" i="39"/>
  <c r="R6" i="37"/>
  <c r="S5" i="37"/>
  <c r="R6" i="35"/>
  <c r="S5" i="35"/>
  <c r="Q5" i="33"/>
  <c r="P6" i="33"/>
  <c r="D9" i="14"/>
  <c r="C9" i="14"/>
  <c r="F5" i="14"/>
  <c r="W6" i="53" l="1"/>
  <c r="X5" i="53"/>
  <c r="W6" i="51"/>
  <c r="X5" i="51"/>
  <c r="W6" i="49"/>
  <c r="X5" i="49"/>
  <c r="X5" i="47"/>
  <c r="W6" i="47"/>
  <c r="V5" i="45"/>
  <c r="U6" i="45"/>
  <c r="V5" i="43"/>
  <c r="U6" i="43"/>
  <c r="V5" i="41"/>
  <c r="U6" i="41"/>
  <c r="U5" i="39"/>
  <c r="T6" i="39"/>
  <c r="S6" i="37"/>
  <c r="T5" i="37"/>
  <c r="S6" i="35"/>
  <c r="T5" i="35"/>
  <c r="R5" i="33"/>
  <c r="Q6" i="33"/>
  <c r="F6" i="14"/>
  <c r="G5" i="14"/>
  <c r="Y5" i="53" l="1"/>
  <c r="X6" i="53"/>
  <c r="Y5" i="51"/>
  <c r="X6" i="51"/>
  <c r="Y5" i="49"/>
  <c r="X6" i="49"/>
  <c r="Y5" i="47"/>
  <c r="X6" i="47"/>
  <c r="V6" i="45"/>
  <c r="W5" i="45"/>
  <c r="V6" i="43"/>
  <c r="W5" i="43"/>
  <c r="V6" i="41"/>
  <c r="W5" i="41"/>
  <c r="V5" i="39"/>
  <c r="U6" i="39"/>
  <c r="U5" i="37"/>
  <c r="T6" i="37"/>
  <c r="U5" i="35"/>
  <c r="T6" i="35"/>
  <c r="R6" i="33"/>
  <c r="S5" i="33"/>
  <c r="H5" i="14"/>
  <c r="G6" i="14"/>
  <c r="Z5" i="53" l="1"/>
  <c r="Y6" i="53"/>
  <c r="Z5" i="51"/>
  <c r="Y6" i="51"/>
  <c r="Z5" i="49"/>
  <c r="Y6" i="49"/>
  <c r="Y6" i="47"/>
  <c r="Z5" i="47"/>
  <c r="W6" i="45"/>
  <c r="X5" i="45"/>
  <c r="W6" i="43"/>
  <c r="X5" i="43"/>
  <c r="W6" i="41"/>
  <c r="X5" i="41"/>
  <c r="V6" i="39"/>
  <c r="W5" i="39"/>
  <c r="V5" i="37"/>
  <c r="U6" i="37"/>
  <c r="V5" i="35"/>
  <c r="U6" i="35"/>
  <c r="S6" i="33"/>
  <c r="T5" i="33"/>
  <c r="H6" i="14"/>
  <c r="I5" i="14"/>
  <c r="Z6" i="53" l="1"/>
  <c r="AA5" i="53"/>
  <c r="Z6" i="51"/>
  <c r="AA5" i="51"/>
  <c r="Z6" i="49"/>
  <c r="AA5" i="49"/>
  <c r="Z6" i="47"/>
  <c r="AA5" i="47"/>
  <c r="Y5" i="45"/>
  <c r="X6" i="45"/>
  <c r="Y5" i="43"/>
  <c r="X6" i="43"/>
  <c r="Y5" i="41"/>
  <c r="X6" i="41"/>
  <c r="W6" i="39"/>
  <c r="X5" i="39"/>
  <c r="V6" i="37"/>
  <c r="W5" i="37"/>
  <c r="V6" i="35"/>
  <c r="W5" i="35"/>
  <c r="U5" i="33"/>
  <c r="T6" i="33"/>
  <c r="I6" i="14"/>
  <c r="J5" i="14"/>
  <c r="AA6" i="53" l="1"/>
  <c r="AB5" i="53"/>
  <c r="AA6" i="51"/>
  <c r="AB5" i="51"/>
  <c r="AA6" i="49"/>
  <c r="AB5" i="49"/>
  <c r="AB5" i="47"/>
  <c r="AA6" i="47"/>
  <c r="Z5" i="45"/>
  <c r="Y6" i="45"/>
  <c r="Z5" i="43"/>
  <c r="Y6" i="43"/>
  <c r="Z5" i="41"/>
  <c r="Y6" i="41"/>
  <c r="Y5" i="39"/>
  <c r="X6" i="39"/>
  <c r="W6" i="37"/>
  <c r="X5" i="37"/>
  <c r="W6" i="35"/>
  <c r="X5" i="35"/>
  <c r="V5" i="33"/>
  <c r="U6" i="33"/>
  <c r="K5" i="14"/>
  <c r="J6" i="14"/>
  <c r="AC5" i="53" l="1"/>
  <c r="AB6" i="53"/>
  <c r="AC5" i="51"/>
  <c r="AB6" i="51"/>
  <c r="AC5" i="49"/>
  <c r="AB6" i="49"/>
  <c r="AC5" i="47"/>
  <c r="AB6" i="47"/>
  <c r="Z6" i="45"/>
  <c r="AA5" i="45"/>
  <c r="Z6" i="43"/>
  <c r="AA5" i="43"/>
  <c r="Z6" i="41"/>
  <c r="AA5" i="41"/>
  <c r="Z5" i="39"/>
  <c r="Y6" i="39"/>
  <c r="Y5" i="37"/>
  <c r="X6" i="37"/>
  <c r="Y5" i="35"/>
  <c r="X6" i="35"/>
  <c r="V6" i="33"/>
  <c r="W5" i="33"/>
  <c r="K6" i="14"/>
  <c r="L5" i="14"/>
  <c r="AD5" i="53" l="1"/>
  <c r="AC6" i="53"/>
  <c r="AD5" i="51"/>
  <c r="AC6" i="51"/>
  <c r="AD5" i="49"/>
  <c r="AC6" i="49"/>
  <c r="AD5" i="47"/>
  <c r="AC6" i="47"/>
  <c r="AA6" i="45"/>
  <c r="AB5" i="45"/>
  <c r="AA6" i="43"/>
  <c r="AB5" i="43"/>
  <c r="AA6" i="41"/>
  <c r="AB5" i="41"/>
  <c r="Z6" i="39"/>
  <c r="AA5" i="39"/>
  <c r="Z5" i="37"/>
  <c r="Y6" i="37"/>
  <c r="Z5" i="35"/>
  <c r="Y6" i="35"/>
  <c r="W6" i="33"/>
  <c r="X5" i="33"/>
  <c r="M5" i="14"/>
  <c r="L6" i="14"/>
  <c r="AD6" i="53" l="1"/>
  <c r="AE5" i="53"/>
  <c r="AD6" i="51"/>
  <c r="AE5" i="51"/>
  <c r="AD6" i="49"/>
  <c r="AE5" i="49"/>
  <c r="AD6" i="47"/>
  <c r="AE5" i="47"/>
  <c r="AC5" i="45"/>
  <c r="AB6" i="45"/>
  <c r="AC5" i="43"/>
  <c r="AB6" i="43"/>
  <c r="AC5" i="41"/>
  <c r="AB6" i="41"/>
  <c r="AA6" i="39"/>
  <c r="AB5" i="39"/>
  <c r="Z6" i="37"/>
  <c r="AA5" i="37"/>
  <c r="Z6" i="35"/>
  <c r="AA5" i="35"/>
  <c r="Y5" i="33"/>
  <c r="X6" i="33"/>
  <c r="N5" i="14"/>
  <c r="M6" i="14"/>
  <c r="AE6" i="53" l="1"/>
  <c r="AF5" i="53"/>
  <c r="AE6" i="51"/>
  <c r="AF5" i="51"/>
  <c r="AE6" i="49"/>
  <c r="AF5" i="49"/>
  <c r="AF5" i="47"/>
  <c r="AE6" i="47"/>
  <c r="AD5" i="45"/>
  <c r="AC6" i="45"/>
  <c r="AD5" i="43"/>
  <c r="AC6" i="43"/>
  <c r="AD5" i="41"/>
  <c r="AC6" i="41"/>
  <c r="AC5" i="39"/>
  <c r="AB6" i="39"/>
  <c r="AA6" i="37"/>
  <c r="AB5" i="37"/>
  <c r="AA6" i="35"/>
  <c r="AB5" i="35"/>
  <c r="Z5" i="33"/>
  <c r="Y6" i="33"/>
  <c r="O5" i="14"/>
  <c r="N6" i="14"/>
  <c r="AG5" i="53" l="1"/>
  <c r="AF6" i="53"/>
  <c r="AG5" i="51"/>
  <c r="AF6" i="51"/>
  <c r="AG5" i="49"/>
  <c r="AF6" i="49"/>
  <c r="AG5" i="47"/>
  <c r="AF6" i="47"/>
  <c r="AD6" i="45"/>
  <c r="AE5" i="45"/>
  <c r="AD6" i="43"/>
  <c r="AE5" i="43"/>
  <c r="AD6" i="41"/>
  <c r="AE5" i="41"/>
  <c r="AD5" i="39"/>
  <c r="AC6" i="39"/>
  <c r="AC5" i="37"/>
  <c r="AB6" i="37"/>
  <c r="AC5" i="35"/>
  <c r="AB6" i="35"/>
  <c r="Z6" i="33"/>
  <c r="AA5" i="33"/>
  <c r="P5" i="14"/>
  <c r="O6" i="14"/>
  <c r="AH5" i="53" l="1"/>
  <c r="AG6" i="53"/>
  <c r="AH5" i="51"/>
  <c r="AG6" i="51"/>
  <c r="AH5" i="49"/>
  <c r="AG6" i="49"/>
  <c r="AH5" i="47"/>
  <c r="AG6" i="47"/>
  <c r="AE6" i="45"/>
  <c r="AF5" i="45"/>
  <c r="AE6" i="43"/>
  <c r="AF5" i="43"/>
  <c r="AE6" i="41"/>
  <c r="AF5" i="41"/>
  <c r="AD6" i="39"/>
  <c r="AE5" i="39"/>
  <c r="AD5" i="37"/>
  <c r="AC6" i="37"/>
  <c r="AD5" i="35"/>
  <c r="AC6" i="35"/>
  <c r="AA6" i="33"/>
  <c r="AB5" i="33"/>
  <c r="P6" i="14"/>
  <c r="Q5" i="14"/>
  <c r="AH6" i="53" l="1"/>
  <c r="AI5" i="53"/>
  <c r="AH6" i="51"/>
  <c r="AI5" i="51"/>
  <c r="AH6" i="49"/>
  <c r="AH6" i="47"/>
  <c r="AI5" i="47"/>
  <c r="AG5" i="45"/>
  <c r="AF6" i="45"/>
  <c r="AG5" i="43"/>
  <c r="AF6" i="43"/>
  <c r="AG5" i="41"/>
  <c r="AF6" i="41"/>
  <c r="AE6" i="39"/>
  <c r="AF5" i="39"/>
  <c r="AD6" i="37"/>
  <c r="AE5" i="37"/>
  <c r="AD6" i="35"/>
  <c r="AE5" i="35"/>
  <c r="AC5" i="33"/>
  <c r="AB6" i="33"/>
  <c r="R5" i="14"/>
  <c r="Q6" i="14"/>
  <c r="AI28" i="49" l="1"/>
  <c r="AK28" i="49"/>
  <c r="H22" i="50" s="1"/>
  <c r="AI6" i="53"/>
  <c r="AI6" i="51"/>
  <c r="AJ5" i="51"/>
  <c r="AJ6" i="51" s="1"/>
  <c r="AJ5" i="47"/>
  <c r="AJ6" i="47" s="1"/>
  <c r="AI6" i="47"/>
  <c r="AH5" i="45"/>
  <c r="AG6" i="45"/>
  <c r="AH5" i="43"/>
  <c r="AG6" i="43"/>
  <c r="AH5" i="41"/>
  <c r="AG6" i="41"/>
  <c r="AG5" i="39"/>
  <c r="AF6" i="39"/>
  <c r="AE6" i="37"/>
  <c r="AF5" i="37"/>
  <c r="AE6" i="35"/>
  <c r="AF5" i="35"/>
  <c r="AD5" i="33"/>
  <c r="AC6" i="33"/>
  <c r="S5" i="14"/>
  <c r="R6" i="14"/>
  <c r="AM28" i="51" l="1"/>
  <c r="H22" i="52" s="1"/>
  <c r="AK28" i="51"/>
  <c r="AM16" i="51"/>
  <c r="AM26" i="51"/>
  <c r="H21" i="52" s="1"/>
  <c r="AK26" i="51"/>
  <c r="AK16" i="51"/>
  <c r="AL28" i="49"/>
  <c r="F22" i="50"/>
  <c r="AJ26" i="53"/>
  <c r="F21" i="54" s="1"/>
  <c r="AL16" i="53"/>
  <c r="H16" i="54" s="1"/>
  <c r="AJ16" i="53"/>
  <c r="AL28" i="53"/>
  <c r="H22" i="54" s="1"/>
  <c r="AJ28" i="53"/>
  <c r="AL26" i="53"/>
  <c r="H21" i="54" s="1"/>
  <c r="AJ9" i="53"/>
  <c r="AL13" i="53"/>
  <c r="AL9" i="53"/>
  <c r="AJ13" i="53"/>
  <c r="AM9" i="51"/>
  <c r="H10" i="52" s="1"/>
  <c r="AK9" i="51"/>
  <c r="AM13" i="51"/>
  <c r="H12" i="52" s="1"/>
  <c r="AK13" i="51"/>
  <c r="AK9" i="49"/>
  <c r="AK26" i="49"/>
  <c r="H21" i="50" s="1"/>
  <c r="AI13" i="49"/>
  <c r="AI9" i="49"/>
  <c r="AK13" i="49"/>
  <c r="AI26" i="49"/>
  <c r="F21" i="50" s="1"/>
  <c r="AI16" i="49"/>
  <c r="F16" i="50" s="1"/>
  <c r="AK16" i="49"/>
  <c r="H16" i="50" s="1"/>
  <c r="AM28" i="47"/>
  <c r="AK9" i="47"/>
  <c r="F10" i="48" s="1"/>
  <c r="AM16" i="47"/>
  <c r="AK28" i="47"/>
  <c r="F22" i="48" s="1"/>
  <c r="AK26" i="47"/>
  <c r="F21" i="48" s="1"/>
  <c r="AM9" i="47"/>
  <c r="AM13" i="47"/>
  <c r="AK13" i="47"/>
  <c r="F12" i="48" s="1"/>
  <c r="AK16" i="47"/>
  <c r="F16" i="48" s="1"/>
  <c r="AM26" i="47"/>
  <c r="AH6" i="45"/>
  <c r="AI5" i="45"/>
  <c r="AH6" i="43"/>
  <c r="AI5" i="43"/>
  <c r="AH6" i="41"/>
  <c r="AI5" i="41"/>
  <c r="AH5" i="39"/>
  <c r="AG6" i="39"/>
  <c r="AG5" i="37"/>
  <c r="AF6" i="37"/>
  <c r="AG5" i="35"/>
  <c r="AF6" i="35"/>
  <c r="AD6" i="33"/>
  <c r="AE5" i="33"/>
  <c r="S6" i="14"/>
  <c r="T5" i="14"/>
  <c r="AN16" i="51" l="1"/>
  <c r="H12" i="54"/>
  <c r="H10" i="54"/>
  <c r="F12" i="54"/>
  <c r="F10" i="54"/>
  <c r="H12" i="50"/>
  <c r="H10" i="50"/>
  <c r="F12" i="50"/>
  <c r="F10" i="50"/>
  <c r="AM16" i="53"/>
  <c r="F16" i="54"/>
  <c r="AM28" i="53"/>
  <c r="F22" i="54"/>
  <c r="L21" i="54"/>
  <c r="J21" i="54"/>
  <c r="H16" i="52"/>
  <c r="F22" i="52"/>
  <c r="AN28" i="51"/>
  <c r="F21" i="52"/>
  <c r="AN26" i="51"/>
  <c r="J22" i="50"/>
  <c r="L22" i="50"/>
  <c r="L21" i="50"/>
  <c r="J21" i="50"/>
  <c r="H10" i="48"/>
  <c r="H22" i="48"/>
  <c r="H21" i="48"/>
  <c r="H12" i="48"/>
  <c r="H16" i="48"/>
  <c r="AM26" i="53"/>
  <c r="AM13" i="53"/>
  <c r="AM9" i="53"/>
  <c r="F16" i="52"/>
  <c r="F12" i="52"/>
  <c r="AN13" i="51"/>
  <c r="AN9" i="51"/>
  <c r="F10" i="52"/>
  <c r="AL16" i="49"/>
  <c r="AL26" i="49"/>
  <c r="AL13" i="49"/>
  <c r="AL9" i="49"/>
  <c r="AN28" i="47"/>
  <c r="AN16" i="47"/>
  <c r="AN26" i="47"/>
  <c r="AN13" i="47"/>
  <c r="AN9" i="47"/>
  <c r="AI6" i="45"/>
  <c r="AJ5" i="45"/>
  <c r="AJ6" i="45" s="1"/>
  <c r="AI6" i="43"/>
  <c r="AI6" i="41"/>
  <c r="AJ5" i="41"/>
  <c r="AJ6" i="41" s="1"/>
  <c r="AH6" i="39"/>
  <c r="AI5" i="39"/>
  <c r="AH5" i="37"/>
  <c r="AG6" i="37"/>
  <c r="AH5" i="35"/>
  <c r="AG6" i="35"/>
  <c r="AE6" i="33"/>
  <c r="AF5" i="33"/>
  <c r="T6" i="14"/>
  <c r="U5" i="14"/>
  <c r="AK26" i="45" l="1"/>
  <c r="AM26" i="45"/>
  <c r="H21" i="46" s="1"/>
  <c r="AM16" i="45"/>
  <c r="AK28" i="45"/>
  <c r="AM28" i="45"/>
  <c r="H22" i="46" s="1"/>
  <c r="AK16" i="45"/>
  <c r="AN16" i="45" s="1"/>
  <c r="AM26" i="43"/>
  <c r="AK28" i="43"/>
  <c r="AK26" i="43"/>
  <c r="AM16" i="43"/>
  <c r="AM28" i="43"/>
  <c r="AK16" i="43"/>
  <c r="AK28" i="41"/>
  <c r="AM26" i="41"/>
  <c r="H21" i="42" s="1"/>
  <c r="AK16" i="41"/>
  <c r="AM16" i="41"/>
  <c r="AM28" i="41"/>
  <c r="H22" i="42" s="1"/>
  <c r="AK26" i="41"/>
  <c r="U2" i="54"/>
  <c r="U2" i="50"/>
  <c r="J22" i="54"/>
  <c r="L22" i="54"/>
  <c r="L21" i="52"/>
  <c r="J21" i="52"/>
  <c r="L22" i="52"/>
  <c r="J22" i="52"/>
  <c r="U2" i="48"/>
  <c r="U2" i="52"/>
  <c r="L10" i="54"/>
  <c r="J10" i="54"/>
  <c r="J16" i="54"/>
  <c r="L16" i="54"/>
  <c r="L12" i="54"/>
  <c r="J12" i="54"/>
  <c r="L12" i="52"/>
  <c r="J12" i="52"/>
  <c r="L10" i="52"/>
  <c r="J10" i="52"/>
  <c r="J16" i="52"/>
  <c r="L16" i="52"/>
  <c r="L10" i="50"/>
  <c r="J10" i="50"/>
  <c r="L12" i="50"/>
  <c r="J12" i="50"/>
  <c r="J16" i="50"/>
  <c r="L16" i="50"/>
  <c r="J16" i="48"/>
  <c r="L16" i="48"/>
  <c r="J12" i="48"/>
  <c r="L12" i="48"/>
  <c r="L10" i="48"/>
  <c r="J10" i="48"/>
  <c r="L21" i="48"/>
  <c r="J21" i="48"/>
  <c r="L22" i="48"/>
  <c r="J22" i="48"/>
  <c r="AK13" i="45"/>
  <c r="AM13" i="45"/>
  <c r="AK9" i="45"/>
  <c r="AM9" i="45"/>
  <c r="H10" i="46" s="1"/>
  <c r="AK13" i="43"/>
  <c r="AM13" i="43"/>
  <c r="AK9" i="43"/>
  <c r="F10" i="44" s="1"/>
  <c r="AM9" i="43"/>
  <c r="H10" i="44" s="1"/>
  <c r="AK13" i="41"/>
  <c r="AK9" i="41"/>
  <c r="AM13" i="41"/>
  <c r="AM9" i="41"/>
  <c r="H10" i="42" s="1"/>
  <c r="AI6" i="39"/>
  <c r="AJ5" i="39"/>
  <c r="AJ6" i="39" s="1"/>
  <c r="AH6" i="37"/>
  <c r="AI5" i="37"/>
  <c r="AH6" i="35"/>
  <c r="AI5" i="35"/>
  <c r="AG5" i="33"/>
  <c r="AF6" i="33"/>
  <c r="V5" i="14"/>
  <c r="U6" i="14"/>
  <c r="G17" i="54" l="1"/>
  <c r="G18" i="54"/>
  <c r="I17" i="54"/>
  <c r="I18" i="54"/>
  <c r="G20" i="54"/>
  <c r="G19" i="54"/>
  <c r="I20" i="54"/>
  <c r="I19" i="54"/>
  <c r="I22" i="54"/>
  <c r="G11" i="54"/>
  <c r="I11" i="54"/>
  <c r="G17" i="52"/>
  <c r="G18" i="52"/>
  <c r="I17" i="52"/>
  <c r="I18" i="52"/>
  <c r="G20" i="52"/>
  <c r="G19" i="52"/>
  <c r="I20" i="52"/>
  <c r="I19" i="52"/>
  <c r="G12" i="52"/>
  <c r="G11" i="52"/>
  <c r="I11" i="52"/>
  <c r="G17" i="50"/>
  <c r="G18" i="50"/>
  <c r="I17" i="50"/>
  <c r="I18" i="50"/>
  <c r="G19" i="50"/>
  <c r="G20" i="50"/>
  <c r="I19" i="50"/>
  <c r="I20" i="50"/>
  <c r="G21" i="50"/>
  <c r="G11" i="50"/>
  <c r="I11" i="50"/>
  <c r="G17" i="48"/>
  <c r="G18" i="48"/>
  <c r="I17" i="48"/>
  <c r="I18" i="48"/>
  <c r="G19" i="48"/>
  <c r="G20" i="48"/>
  <c r="I20" i="48"/>
  <c r="I19" i="48"/>
  <c r="G16" i="48"/>
  <c r="G11" i="48"/>
  <c r="I11" i="48"/>
  <c r="AN16" i="41"/>
  <c r="AN16" i="43"/>
  <c r="L24" i="54"/>
  <c r="H12" i="46"/>
  <c r="H12" i="42"/>
  <c r="I12" i="54"/>
  <c r="G10" i="54"/>
  <c r="I10" i="54"/>
  <c r="I21" i="54"/>
  <c r="I16" i="54"/>
  <c r="G12" i="54"/>
  <c r="G22" i="54"/>
  <c r="G16" i="54"/>
  <c r="G21" i="54"/>
  <c r="AN28" i="45"/>
  <c r="F22" i="46"/>
  <c r="F21" i="46"/>
  <c r="AN26" i="45"/>
  <c r="F21" i="44"/>
  <c r="L21" i="44" s="1"/>
  <c r="AN26" i="43"/>
  <c r="H21" i="44" s="1"/>
  <c r="AN28" i="43"/>
  <c r="H22" i="44" s="1"/>
  <c r="F22" i="44"/>
  <c r="F21" i="42"/>
  <c r="AN26" i="41"/>
  <c r="F22" i="42"/>
  <c r="AN28" i="41"/>
  <c r="AM28" i="39"/>
  <c r="H22" i="40" s="1"/>
  <c r="AM16" i="39"/>
  <c r="AK26" i="39"/>
  <c r="AK28" i="39"/>
  <c r="AM26" i="39"/>
  <c r="H21" i="40" s="1"/>
  <c r="AK16" i="39"/>
  <c r="AN16" i="39" s="1"/>
  <c r="I21" i="50"/>
  <c r="G16" i="50"/>
  <c r="G10" i="50"/>
  <c r="G12" i="50"/>
  <c r="G22" i="50"/>
  <c r="I12" i="50"/>
  <c r="I10" i="50"/>
  <c r="I22" i="50"/>
  <c r="I16" i="50"/>
  <c r="G10" i="48"/>
  <c r="G22" i="48"/>
  <c r="G12" i="48"/>
  <c r="G21" i="48"/>
  <c r="I10" i="48"/>
  <c r="I12" i="48"/>
  <c r="I22" i="48"/>
  <c r="I21" i="48"/>
  <c r="I16" i="48"/>
  <c r="K16" i="48" s="1"/>
  <c r="G10" i="52"/>
  <c r="G16" i="52"/>
  <c r="L14" i="52"/>
  <c r="G22" i="52"/>
  <c r="I22" i="52"/>
  <c r="G21" i="52"/>
  <c r="I21" i="52"/>
  <c r="I12" i="52"/>
  <c r="I10" i="52"/>
  <c r="I16" i="52"/>
  <c r="H16" i="46"/>
  <c r="H16" i="44"/>
  <c r="H16" i="42"/>
  <c r="L14" i="54"/>
  <c r="L24" i="50"/>
  <c r="L24" i="52"/>
  <c r="L14" i="50"/>
  <c r="L24" i="48"/>
  <c r="L14" i="48"/>
  <c r="F12" i="46"/>
  <c r="AN13" i="45"/>
  <c r="F16" i="46"/>
  <c r="AN9" i="45"/>
  <c r="F10" i="46"/>
  <c r="F12" i="44"/>
  <c r="AN13" i="43"/>
  <c r="AN9" i="43"/>
  <c r="H12" i="44" s="1"/>
  <c r="F16" i="44"/>
  <c r="AN9" i="41"/>
  <c r="F10" i="42"/>
  <c r="F16" i="42"/>
  <c r="AN13" i="41"/>
  <c r="F12" i="42"/>
  <c r="AK13" i="39"/>
  <c r="AM9" i="39"/>
  <c r="H10" i="40" s="1"/>
  <c r="AK9" i="39"/>
  <c r="AM13" i="39"/>
  <c r="AI6" i="37"/>
  <c r="AJ5" i="37"/>
  <c r="AJ6" i="37" s="1"/>
  <c r="AI6" i="35"/>
  <c r="AJ5" i="35"/>
  <c r="AJ6" i="35" s="1"/>
  <c r="AH5" i="33"/>
  <c r="AG6" i="33"/>
  <c r="W5" i="14"/>
  <c r="V6" i="14"/>
  <c r="K12" i="52" l="1"/>
  <c r="M12" i="52" s="1"/>
  <c r="Q12" i="52" s="1"/>
  <c r="S12" i="52" s="1"/>
  <c r="K22" i="54"/>
  <c r="M22" i="54" s="1"/>
  <c r="Q22" i="54" s="1"/>
  <c r="S22" i="54" s="1"/>
  <c r="K21" i="50"/>
  <c r="M21" i="50" s="1"/>
  <c r="Q21" i="50" s="1"/>
  <c r="S21" i="50" s="1"/>
  <c r="K18" i="54"/>
  <c r="M18" i="54" s="1"/>
  <c r="Q18" i="54" s="1"/>
  <c r="S18" i="54" s="1"/>
  <c r="K17" i="54"/>
  <c r="M17" i="54" s="1"/>
  <c r="Q17" i="54" s="1"/>
  <c r="S17" i="54" s="1"/>
  <c r="K19" i="54"/>
  <c r="M19" i="54" s="1"/>
  <c r="Q19" i="54" s="1"/>
  <c r="S19" i="54" s="1"/>
  <c r="K20" i="54"/>
  <c r="M20" i="54" s="1"/>
  <c r="Q20" i="54" s="1"/>
  <c r="S20" i="54" s="1"/>
  <c r="K11" i="54"/>
  <c r="M11" i="54" s="1"/>
  <c r="Q11" i="54" s="1"/>
  <c r="S11" i="54" s="1"/>
  <c r="K19" i="52"/>
  <c r="M19" i="52" s="1"/>
  <c r="Q19" i="52" s="1"/>
  <c r="S19" i="52" s="1"/>
  <c r="K18" i="52"/>
  <c r="M18" i="52" s="1"/>
  <c r="Q18" i="52" s="1"/>
  <c r="S18" i="52" s="1"/>
  <c r="K17" i="52"/>
  <c r="M17" i="52" s="1"/>
  <c r="Q17" i="52" s="1"/>
  <c r="S17" i="52" s="1"/>
  <c r="K20" i="52"/>
  <c r="M20" i="52" s="1"/>
  <c r="Q20" i="52" s="1"/>
  <c r="S20" i="52" s="1"/>
  <c r="K11" i="52"/>
  <c r="M11" i="52" s="1"/>
  <c r="Q11" i="52" s="1"/>
  <c r="S11" i="52" s="1"/>
  <c r="K11" i="50"/>
  <c r="M11" i="50" s="1"/>
  <c r="Q11" i="50" s="1"/>
  <c r="S11" i="50" s="1"/>
  <c r="K18" i="50"/>
  <c r="M18" i="50" s="1"/>
  <c r="Q18" i="50" s="1"/>
  <c r="S18" i="50" s="1"/>
  <c r="K17" i="50"/>
  <c r="M17" i="50" s="1"/>
  <c r="Q17" i="50" s="1"/>
  <c r="S17" i="50" s="1"/>
  <c r="K20" i="50"/>
  <c r="M20" i="50" s="1"/>
  <c r="Q20" i="50" s="1"/>
  <c r="S20" i="50" s="1"/>
  <c r="K19" i="50"/>
  <c r="M19" i="50" s="1"/>
  <c r="Q19" i="50" s="1"/>
  <c r="S19" i="50" s="1"/>
  <c r="K18" i="48"/>
  <c r="M18" i="48" s="1"/>
  <c r="Q18" i="48" s="1"/>
  <c r="S18" i="48" s="1"/>
  <c r="K17" i="48"/>
  <c r="M17" i="48" s="1"/>
  <c r="Q17" i="48" s="1"/>
  <c r="S17" i="48" s="1"/>
  <c r="K20" i="48"/>
  <c r="M20" i="48" s="1"/>
  <c r="Q20" i="48" s="1"/>
  <c r="S20" i="48" s="1"/>
  <c r="K19" i="48"/>
  <c r="M19" i="48" s="1"/>
  <c r="Q19" i="48" s="1"/>
  <c r="S19" i="48" s="1"/>
  <c r="K11" i="48"/>
  <c r="M11" i="48" s="1"/>
  <c r="Q11" i="48" s="1"/>
  <c r="S11" i="48" s="1"/>
  <c r="K10" i="50"/>
  <c r="K10" i="48"/>
  <c r="M10" i="48" s="1"/>
  <c r="Q10" i="48" s="1"/>
  <c r="S10" i="48" s="1"/>
  <c r="K12" i="54"/>
  <c r="M12" i="54" s="1"/>
  <c r="Q12" i="54" s="1"/>
  <c r="S12" i="54" s="1"/>
  <c r="K16" i="54"/>
  <c r="M16" i="54" s="1"/>
  <c r="U2" i="44"/>
  <c r="G24" i="50"/>
  <c r="K16" i="50"/>
  <c r="M16" i="50" s="1"/>
  <c r="K21" i="54"/>
  <c r="M21" i="54" s="1"/>
  <c r="Q21" i="54" s="1"/>
  <c r="S21" i="54" s="1"/>
  <c r="I14" i="54"/>
  <c r="J21" i="44"/>
  <c r="H12" i="40"/>
  <c r="K10" i="54"/>
  <c r="I24" i="54"/>
  <c r="G14" i="54"/>
  <c r="G24" i="54"/>
  <c r="G24" i="52"/>
  <c r="L21" i="46"/>
  <c r="J21" i="46"/>
  <c r="L22" i="46"/>
  <c r="J22" i="46"/>
  <c r="L22" i="44"/>
  <c r="J22" i="44"/>
  <c r="L22" i="42"/>
  <c r="J22" i="42"/>
  <c r="L21" i="42"/>
  <c r="J21" i="42"/>
  <c r="F22" i="40"/>
  <c r="AN28" i="39"/>
  <c r="AN26" i="39"/>
  <c r="F21" i="40"/>
  <c r="AK26" i="37"/>
  <c r="AM28" i="37"/>
  <c r="H22" i="38" s="1"/>
  <c r="AK28" i="37"/>
  <c r="AM16" i="37"/>
  <c r="AK16" i="37"/>
  <c r="AM26" i="37"/>
  <c r="H21" i="38" s="1"/>
  <c r="I14" i="50"/>
  <c r="I24" i="50"/>
  <c r="K12" i="50"/>
  <c r="M12" i="50" s="1"/>
  <c r="Q12" i="50" s="1"/>
  <c r="S12" i="50" s="1"/>
  <c r="G14" i="50"/>
  <c r="K22" i="50"/>
  <c r="M22" i="50" s="1"/>
  <c r="Q22" i="50" s="1"/>
  <c r="S22" i="50" s="1"/>
  <c r="K21" i="48"/>
  <c r="M21" i="48" s="1"/>
  <c r="Q21" i="48" s="1"/>
  <c r="S21" i="48" s="1"/>
  <c r="AK26" i="35"/>
  <c r="AM16" i="35"/>
  <c r="AM26" i="35"/>
  <c r="H21" i="36" s="1"/>
  <c r="AK16" i="35"/>
  <c r="AM28" i="35"/>
  <c r="H22" i="36" s="1"/>
  <c r="AK28" i="35"/>
  <c r="K10" i="52"/>
  <c r="M10" i="52" s="1"/>
  <c r="K22" i="48"/>
  <c r="M22" i="48" s="1"/>
  <c r="Q22" i="48" s="1"/>
  <c r="S22" i="48" s="1"/>
  <c r="K12" i="48"/>
  <c r="M12" i="48" s="1"/>
  <c r="Q12" i="48" s="1"/>
  <c r="S12" i="48" s="1"/>
  <c r="G24" i="48"/>
  <c r="G14" i="48"/>
  <c r="I24" i="48"/>
  <c r="I14" i="48"/>
  <c r="G14" i="52"/>
  <c r="K16" i="52"/>
  <c r="M16" i="52" s="1"/>
  <c r="I14" i="52"/>
  <c r="K22" i="52"/>
  <c r="M22" i="52" s="1"/>
  <c r="Q22" i="52" s="1"/>
  <c r="S22" i="52" s="1"/>
  <c r="I24" i="52"/>
  <c r="K21" i="52"/>
  <c r="M21" i="52" s="1"/>
  <c r="Q21" i="52" s="1"/>
  <c r="S21" i="52" s="1"/>
  <c r="U2" i="46"/>
  <c r="U2" i="42"/>
  <c r="H16" i="40"/>
  <c r="M10" i="50"/>
  <c r="M16" i="48"/>
  <c r="L10" i="46"/>
  <c r="J10" i="46"/>
  <c r="J16" i="46"/>
  <c r="L16" i="46"/>
  <c r="L12" i="46"/>
  <c r="J12" i="46"/>
  <c r="L10" i="44"/>
  <c r="J10" i="44"/>
  <c r="L12" i="44"/>
  <c r="J12" i="44"/>
  <c r="J16" i="44"/>
  <c r="L16" i="44"/>
  <c r="L12" i="42"/>
  <c r="J12" i="42"/>
  <c r="J16" i="42"/>
  <c r="L16" i="42"/>
  <c r="L10" i="42"/>
  <c r="J10" i="42"/>
  <c r="F16" i="40"/>
  <c r="F12" i="40"/>
  <c r="AN13" i="39"/>
  <c r="AN9" i="39"/>
  <c r="F10" i="40"/>
  <c r="AK9" i="37"/>
  <c r="AM13" i="37"/>
  <c r="H12" i="38" s="1"/>
  <c r="AM9" i="37"/>
  <c r="H10" i="38" s="1"/>
  <c r="AK13" i="37"/>
  <c r="AK9" i="35"/>
  <c r="AK13" i="35"/>
  <c r="AM13" i="35"/>
  <c r="H12" i="36" s="1"/>
  <c r="AM9" i="35"/>
  <c r="H10" i="36" s="1"/>
  <c r="AH6" i="33"/>
  <c r="AI5" i="33"/>
  <c r="X5" i="14"/>
  <c r="W6" i="14"/>
  <c r="G17" i="46" l="1"/>
  <c r="I17" i="46"/>
  <c r="G18" i="46"/>
  <c r="I18" i="46"/>
  <c r="G19" i="46"/>
  <c r="G20" i="46"/>
  <c r="I20" i="46"/>
  <c r="I19" i="46"/>
  <c r="I12" i="46"/>
  <c r="G11" i="46"/>
  <c r="I11" i="46"/>
  <c r="G17" i="44"/>
  <c r="I17" i="44"/>
  <c r="G18" i="44"/>
  <c r="I18" i="44"/>
  <c r="G19" i="44"/>
  <c r="G20" i="44"/>
  <c r="I19" i="44"/>
  <c r="I20" i="44"/>
  <c r="G10" i="44"/>
  <c r="G11" i="44"/>
  <c r="I11" i="44"/>
  <c r="G17" i="42"/>
  <c r="G18" i="42"/>
  <c r="I18" i="42"/>
  <c r="I17" i="42"/>
  <c r="G19" i="42"/>
  <c r="G20" i="42"/>
  <c r="I20" i="42"/>
  <c r="I19" i="42"/>
  <c r="G11" i="42"/>
  <c r="I11" i="42"/>
  <c r="AN16" i="37"/>
  <c r="K14" i="50"/>
  <c r="K14" i="54"/>
  <c r="K24" i="50"/>
  <c r="K24" i="54"/>
  <c r="AN16" i="35"/>
  <c r="M10" i="54"/>
  <c r="M14" i="54" s="1"/>
  <c r="K14" i="52"/>
  <c r="G10" i="42"/>
  <c r="L21" i="40"/>
  <c r="J21" i="40"/>
  <c r="L22" i="40"/>
  <c r="J22" i="40"/>
  <c r="F22" i="38"/>
  <c r="AN28" i="37"/>
  <c r="F21" i="38"/>
  <c r="AN26" i="37"/>
  <c r="K24" i="48"/>
  <c r="K14" i="48"/>
  <c r="F22" i="36"/>
  <c r="AN28" i="35"/>
  <c r="AN26" i="35"/>
  <c r="F21" i="36"/>
  <c r="I10" i="42"/>
  <c r="G16" i="42"/>
  <c r="G12" i="42"/>
  <c r="I16" i="42"/>
  <c r="I21" i="42"/>
  <c r="K24" i="52"/>
  <c r="I12" i="42"/>
  <c r="I22" i="42"/>
  <c r="I16" i="46"/>
  <c r="G12" i="46"/>
  <c r="K12" i="46" s="1"/>
  <c r="M12" i="46" s="1"/>
  <c r="Q12" i="46" s="1"/>
  <c r="S12" i="46" s="1"/>
  <c r="I22" i="46"/>
  <c r="G21" i="46"/>
  <c r="G22" i="46"/>
  <c r="G16" i="46"/>
  <c r="G10" i="46"/>
  <c r="I21" i="46"/>
  <c r="I10" i="46"/>
  <c r="G22" i="44"/>
  <c r="I22" i="44"/>
  <c r="I21" i="44"/>
  <c r="G21" i="44"/>
  <c r="I10" i="44"/>
  <c r="I16" i="44"/>
  <c r="I12" i="44"/>
  <c r="G16" i="44"/>
  <c r="G12" i="44"/>
  <c r="G21" i="42"/>
  <c r="G22" i="42"/>
  <c r="U2" i="40"/>
  <c r="H16" i="38"/>
  <c r="H16" i="36"/>
  <c r="L14" i="44"/>
  <c r="Q16" i="54"/>
  <c r="M24" i="54"/>
  <c r="Q16" i="52"/>
  <c r="M24" i="52"/>
  <c r="Q10" i="52"/>
  <c r="M14" i="52"/>
  <c r="Q10" i="50"/>
  <c r="M14" i="50"/>
  <c r="Q16" i="50"/>
  <c r="M24" i="50"/>
  <c r="Q16" i="48"/>
  <c r="M24" i="48"/>
  <c r="M14" i="48"/>
  <c r="L14" i="46"/>
  <c r="L24" i="46"/>
  <c r="L24" i="44"/>
  <c r="L14" i="42"/>
  <c r="L24" i="42"/>
  <c r="L10" i="40"/>
  <c r="J10" i="40"/>
  <c r="J16" i="40"/>
  <c r="L16" i="40"/>
  <c r="L12" i="40"/>
  <c r="J12" i="40"/>
  <c r="F16" i="38"/>
  <c r="F12" i="38"/>
  <c r="AN13" i="37"/>
  <c r="AN9" i="37"/>
  <c r="F10" i="38"/>
  <c r="AN13" i="35"/>
  <c r="F12" i="36"/>
  <c r="F16" i="36"/>
  <c r="AN9" i="35"/>
  <c r="F10" i="36"/>
  <c r="AI6" i="33"/>
  <c r="AJ5" i="33"/>
  <c r="AJ6" i="33" s="1"/>
  <c r="Y5" i="14"/>
  <c r="X6" i="14"/>
  <c r="K18" i="46" l="1"/>
  <c r="M18" i="46" s="1"/>
  <c r="Q18" i="46" s="1"/>
  <c r="S18" i="46" s="1"/>
  <c r="K18" i="44"/>
  <c r="M18" i="44" s="1"/>
  <c r="Q18" i="44" s="1"/>
  <c r="S18" i="44" s="1"/>
  <c r="K17" i="46"/>
  <c r="M17" i="46" s="1"/>
  <c r="Q17" i="46" s="1"/>
  <c r="S17" i="46" s="1"/>
  <c r="K20" i="46"/>
  <c r="M20" i="46" s="1"/>
  <c r="Q20" i="46" s="1"/>
  <c r="S20" i="46" s="1"/>
  <c r="K19" i="46"/>
  <c r="M19" i="46" s="1"/>
  <c r="Q19" i="46" s="1"/>
  <c r="S19" i="46" s="1"/>
  <c r="K11" i="46"/>
  <c r="M11" i="46" s="1"/>
  <c r="Q11" i="46" s="1"/>
  <c r="S11" i="46" s="1"/>
  <c r="K19" i="44"/>
  <c r="M19" i="44" s="1"/>
  <c r="Q19" i="44" s="1"/>
  <c r="S19" i="44" s="1"/>
  <c r="K17" i="44"/>
  <c r="M17" i="44" s="1"/>
  <c r="Q17" i="44" s="1"/>
  <c r="S17" i="44" s="1"/>
  <c r="K10" i="44"/>
  <c r="K20" i="44"/>
  <c r="M20" i="44" s="1"/>
  <c r="Q20" i="44" s="1"/>
  <c r="S20" i="44" s="1"/>
  <c r="K11" i="44"/>
  <c r="M11" i="44" s="1"/>
  <c r="Q11" i="44" s="1"/>
  <c r="S11" i="44" s="1"/>
  <c r="K20" i="42"/>
  <c r="M20" i="42" s="1"/>
  <c r="Q20" i="42" s="1"/>
  <c r="S20" i="42" s="1"/>
  <c r="K18" i="42"/>
  <c r="M18" i="42" s="1"/>
  <c r="Q18" i="42" s="1"/>
  <c r="S18" i="42" s="1"/>
  <c r="K17" i="42"/>
  <c r="M17" i="42" s="1"/>
  <c r="Q17" i="42" s="1"/>
  <c r="S17" i="42" s="1"/>
  <c r="K19" i="42"/>
  <c r="M19" i="42" s="1"/>
  <c r="Q19" i="42" s="1"/>
  <c r="S19" i="42" s="1"/>
  <c r="K11" i="42"/>
  <c r="M11" i="42" s="1"/>
  <c r="Q11" i="42" s="1"/>
  <c r="S11" i="42" s="1"/>
  <c r="G17" i="40"/>
  <c r="I17" i="40"/>
  <c r="G18" i="40"/>
  <c r="I18" i="40"/>
  <c r="G19" i="40"/>
  <c r="I19" i="40"/>
  <c r="G20" i="40"/>
  <c r="I20" i="40"/>
  <c r="G11" i="40"/>
  <c r="I11" i="40"/>
  <c r="Q10" i="54"/>
  <c r="Q14" i="54" s="1"/>
  <c r="K16" i="46"/>
  <c r="M16" i="46" s="1"/>
  <c r="G14" i="42"/>
  <c r="K10" i="46"/>
  <c r="M10" i="46" s="1"/>
  <c r="M14" i="46" s="1"/>
  <c r="K16" i="42"/>
  <c r="M16" i="42" s="1"/>
  <c r="K10" i="42"/>
  <c r="M10" i="42" s="1"/>
  <c r="I14" i="42"/>
  <c r="L22" i="38"/>
  <c r="J22" i="38"/>
  <c r="L21" i="38"/>
  <c r="J21" i="38"/>
  <c r="L21" i="36"/>
  <c r="J21" i="36"/>
  <c r="L22" i="36"/>
  <c r="J22" i="36"/>
  <c r="AM26" i="33"/>
  <c r="H21" i="34" s="1"/>
  <c r="AK16" i="33"/>
  <c r="AM28" i="33"/>
  <c r="H22" i="34" s="1"/>
  <c r="AM16" i="33"/>
  <c r="AK26" i="33"/>
  <c r="AK28" i="33"/>
  <c r="K21" i="42"/>
  <c r="M21" i="42" s="1"/>
  <c r="Q21" i="42" s="1"/>
  <c r="S21" i="42" s="1"/>
  <c r="K12" i="42"/>
  <c r="M12" i="42" s="1"/>
  <c r="Q12" i="42" s="1"/>
  <c r="S12" i="42" s="1"/>
  <c r="K22" i="42"/>
  <c r="M22" i="42" s="1"/>
  <c r="Q22" i="42" s="1"/>
  <c r="S22" i="42" s="1"/>
  <c r="K16" i="44"/>
  <c r="M16" i="44" s="1"/>
  <c r="K22" i="46"/>
  <c r="M22" i="46" s="1"/>
  <c r="Q22" i="46" s="1"/>
  <c r="S22" i="46" s="1"/>
  <c r="K21" i="46"/>
  <c r="M21" i="46" s="1"/>
  <c r="Q21" i="46" s="1"/>
  <c r="S21" i="46" s="1"/>
  <c r="G14" i="46"/>
  <c r="G24" i="46"/>
  <c r="I24" i="46"/>
  <c r="I14" i="46"/>
  <c r="K14" i="46"/>
  <c r="K21" i="44"/>
  <c r="M21" i="44" s="1"/>
  <c r="Q21" i="44" s="1"/>
  <c r="S21" i="44" s="1"/>
  <c r="K12" i="44"/>
  <c r="M12" i="44" s="1"/>
  <c r="Q12" i="44" s="1"/>
  <c r="S12" i="44" s="1"/>
  <c r="I24" i="44"/>
  <c r="K22" i="44"/>
  <c r="M22" i="44" s="1"/>
  <c r="Q22" i="44" s="1"/>
  <c r="S22" i="44" s="1"/>
  <c r="G24" i="44"/>
  <c r="I14" i="44"/>
  <c r="G14" i="44"/>
  <c r="I24" i="42"/>
  <c r="G24" i="42"/>
  <c r="G22" i="40"/>
  <c r="I22" i="40"/>
  <c r="G21" i="40"/>
  <c r="I21" i="40"/>
  <c r="I10" i="40"/>
  <c r="I12" i="40"/>
  <c r="I16" i="40"/>
  <c r="G16" i="40"/>
  <c r="G10" i="40"/>
  <c r="G12" i="40"/>
  <c r="U2" i="38"/>
  <c r="U2" i="36"/>
  <c r="Q24" i="54"/>
  <c r="S16" i="54"/>
  <c r="S24" i="54" s="1"/>
  <c r="Q14" i="52"/>
  <c r="S10" i="52"/>
  <c r="S14" i="52" s="1"/>
  <c r="Q24" i="52"/>
  <c r="S16" i="52"/>
  <c r="S24" i="52" s="1"/>
  <c r="Q24" i="50"/>
  <c r="S16" i="50"/>
  <c r="S24" i="50" s="1"/>
  <c r="Q14" i="50"/>
  <c r="S10" i="50"/>
  <c r="S14" i="50" s="1"/>
  <c r="Q14" i="48"/>
  <c r="S14" i="48"/>
  <c r="Q24" i="48"/>
  <c r="S16" i="48"/>
  <c r="S24" i="48" s="1"/>
  <c r="M10" i="44"/>
  <c r="L24" i="40"/>
  <c r="L14" i="40"/>
  <c r="L12" i="38"/>
  <c r="J12" i="38"/>
  <c r="L10" i="38"/>
  <c r="J10" i="38"/>
  <c r="J16" i="38"/>
  <c r="L16" i="38"/>
  <c r="L10" i="36"/>
  <c r="J10" i="36"/>
  <c r="J16" i="36"/>
  <c r="L16" i="36"/>
  <c r="L12" i="36"/>
  <c r="J12" i="36"/>
  <c r="AM13" i="33"/>
  <c r="AK13" i="33"/>
  <c r="AM9" i="33"/>
  <c r="H10" i="34" s="1"/>
  <c r="AK9" i="33"/>
  <c r="Z5" i="14"/>
  <c r="Y6" i="14"/>
  <c r="K18" i="40" l="1"/>
  <c r="M18" i="40" s="1"/>
  <c r="Q18" i="40" s="1"/>
  <c r="S18" i="40" s="1"/>
  <c r="K17" i="40"/>
  <c r="M17" i="40" s="1"/>
  <c r="Q17" i="40" s="1"/>
  <c r="S17" i="40" s="1"/>
  <c r="K20" i="40"/>
  <c r="M20" i="40" s="1"/>
  <c r="Q20" i="40" s="1"/>
  <c r="S20" i="40" s="1"/>
  <c r="K19" i="40"/>
  <c r="M19" i="40" s="1"/>
  <c r="Q19" i="40" s="1"/>
  <c r="S19" i="40" s="1"/>
  <c r="K11" i="40"/>
  <c r="M11" i="40" s="1"/>
  <c r="Q11" i="40" s="1"/>
  <c r="S11" i="40" s="1"/>
  <c r="G17" i="38"/>
  <c r="I17" i="38"/>
  <c r="G18" i="38"/>
  <c r="I18" i="38"/>
  <c r="G20" i="38"/>
  <c r="G19" i="38"/>
  <c r="I19" i="38"/>
  <c r="I20" i="38"/>
  <c r="G11" i="38"/>
  <c r="I11" i="38"/>
  <c r="G17" i="36"/>
  <c r="G18" i="36"/>
  <c r="I18" i="36"/>
  <c r="I17" i="36"/>
  <c r="G20" i="36"/>
  <c r="I19" i="36"/>
  <c r="I20" i="36"/>
  <c r="G19" i="36"/>
  <c r="G11" i="36"/>
  <c r="I11" i="36"/>
  <c r="AN16" i="33"/>
  <c r="S10" i="54"/>
  <c r="S14" i="54" s="1"/>
  <c r="K14" i="42"/>
  <c r="AN28" i="33"/>
  <c r="F22" i="34"/>
  <c r="H12" i="34"/>
  <c r="AN26" i="33"/>
  <c r="F21" i="34"/>
  <c r="K24" i="46"/>
  <c r="K24" i="44"/>
  <c r="K14" i="44"/>
  <c r="M14" i="44"/>
  <c r="K24" i="42"/>
  <c r="K22" i="40"/>
  <c r="M22" i="40" s="1"/>
  <c r="Q22" i="40" s="1"/>
  <c r="S22" i="40" s="1"/>
  <c r="K16" i="40"/>
  <c r="M16" i="40" s="1"/>
  <c r="G14" i="40"/>
  <c r="G24" i="40"/>
  <c r="K10" i="40"/>
  <c r="M10" i="40" s="1"/>
  <c r="I24" i="40"/>
  <c r="I14" i="40"/>
  <c r="K12" i="40"/>
  <c r="M12" i="40" s="1"/>
  <c r="Q12" i="40" s="1"/>
  <c r="S12" i="40" s="1"/>
  <c r="K21" i="40"/>
  <c r="M21" i="40" s="1"/>
  <c r="Q21" i="40" s="1"/>
  <c r="S21" i="40" s="1"/>
  <c r="G12" i="38"/>
  <c r="G10" i="38"/>
  <c r="G16" i="38"/>
  <c r="I22" i="38"/>
  <c r="G22" i="38"/>
  <c r="I21" i="38"/>
  <c r="G21" i="38"/>
  <c r="I12" i="38"/>
  <c r="I10" i="38"/>
  <c r="I16" i="38"/>
  <c r="G22" i="36"/>
  <c r="I21" i="36"/>
  <c r="I22" i="36"/>
  <c r="G21" i="36"/>
  <c r="I12" i="36"/>
  <c r="I10" i="36"/>
  <c r="I16" i="36"/>
  <c r="G16" i="36"/>
  <c r="G10" i="36"/>
  <c r="G12" i="36"/>
  <c r="H16" i="34"/>
  <c r="AN13" i="33"/>
  <c r="F12" i="34"/>
  <c r="Q10" i="46"/>
  <c r="Q14" i="46" s="1"/>
  <c r="Q16" i="46"/>
  <c r="M24" i="46"/>
  <c r="Q16" i="44"/>
  <c r="M24" i="44"/>
  <c r="Q10" i="44"/>
  <c r="Q14" i="44" s="1"/>
  <c r="Q16" i="42"/>
  <c r="M24" i="42"/>
  <c r="Q10" i="42"/>
  <c r="M14" i="42"/>
  <c r="L24" i="38"/>
  <c r="L14" i="38"/>
  <c r="L24" i="36"/>
  <c r="L14" i="36"/>
  <c r="F16" i="34"/>
  <c r="F10" i="34"/>
  <c r="AN9" i="33"/>
  <c r="AA5" i="14"/>
  <c r="Z6" i="14"/>
  <c r="K18" i="38" l="1"/>
  <c r="M18" i="38" s="1"/>
  <c r="Q18" i="38" s="1"/>
  <c r="S18" i="38" s="1"/>
  <c r="K19" i="38"/>
  <c r="M19" i="38" s="1"/>
  <c r="Q19" i="38" s="1"/>
  <c r="S19" i="38" s="1"/>
  <c r="K17" i="38"/>
  <c r="M17" i="38" s="1"/>
  <c r="Q17" i="38" s="1"/>
  <c r="S17" i="38" s="1"/>
  <c r="K20" i="38"/>
  <c r="M20" i="38" s="1"/>
  <c r="Q20" i="38" s="1"/>
  <c r="S20" i="38" s="1"/>
  <c r="K11" i="38"/>
  <c r="M11" i="38" s="1"/>
  <c r="Q11" i="38" s="1"/>
  <c r="S11" i="38" s="1"/>
  <c r="K18" i="36"/>
  <c r="M18" i="36" s="1"/>
  <c r="Q18" i="36" s="1"/>
  <c r="S18" i="36" s="1"/>
  <c r="K17" i="36"/>
  <c r="M17" i="36" s="1"/>
  <c r="Q17" i="36" s="1"/>
  <c r="S17" i="36" s="1"/>
  <c r="K19" i="36"/>
  <c r="M19" i="36" s="1"/>
  <c r="Q19" i="36" s="1"/>
  <c r="S19" i="36" s="1"/>
  <c r="K20" i="36"/>
  <c r="M20" i="36" s="1"/>
  <c r="Q20" i="36" s="1"/>
  <c r="S20" i="36" s="1"/>
  <c r="K11" i="36"/>
  <c r="M11" i="36" s="1"/>
  <c r="Q11" i="36" s="1"/>
  <c r="S11" i="36" s="1"/>
  <c r="K21" i="36"/>
  <c r="M21" i="36" s="1"/>
  <c r="Q21" i="36" s="1"/>
  <c r="S21" i="36" s="1"/>
  <c r="L22" i="34"/>
  <c r="J22" i="34"/>
  <c r="L21" i="34"/>
  <c r="J21" i="34"/>
  <c r="K10" i="36"/>
  <c r="M10" i="36" s="1"/>
  <c r="K12" i="38"/>
  <c r="M12" i="38" s="1"/>
  <c r="Q12" i="38" s="1"/>
  <c r="S12" i="38" s="1"/>
  <c r="G14" i="38"/>
  <c r="K14" i="40"/>
  <c r="K24" i="40"/>
  <c r="K10" i="38"/>
  <c r="M10" i="38" s="1"/>
  <c r="K16" i="38"/>
  <c r="M16" i="38" s="1"/>
  <c r="I24" i="38"/>
  <c r="G24" i="38"/>
  <c r="I14" i="38"/>
  <c r="K22" i="38"/>
  <c r="M22" i="38" s="1"/>
  <c r="Q22" i="38" s="1"/>
  <c r="S22" i="38" s="1"/>
  <c r="K21" i="38"/>
  <c r="M21" i="38" s="1"/>
  <c r="Q21" i="38" s="1"/>
  <c r="S21" i="38" s="1"/>
  <c r="G14" i="36"/>
  <c r="K16" i="36"/>
  <c r="M16" i="36" s="1"/>
  <c r="K12" i="36"/>
  <c r="M12" i="36" s="1"/>
  <c r="Q12" i="36" s="1"/>
  <c r="S12" i="36" s="1"/>
  <c r="I14" i="36"/>
  <c r="G24" i="36"/>
  <c r="K22" i="36"/>
  <c r="M22" i="36" s="1"/>
  <c r="Q22" i="36" s="1"/>
  <c r="S22" i="36" s="1"/>
  <c r="I24" i="36"/>
  <c r="U2" i="34"/>
  <c r="L12" i="34"/>
  <c r="J12" i="34"/>
  <c r="Q24" i="46"/>
  <c r="S16" i="46"/>
  <c r="S24" i="46" s="1"/>
  <c r="S10" i="46"/>
  <c r="S14" i="46" s="1"/>
  <c r="S10" i="44"/>
  <c r="S14" i="44" s="1"/>
  <c r="Q24" i="44"/>
  <c r="S16" i="44"/>
  <c r="S24" i="44" s="1"/>
  <c r="Q14" i="42"/>
  <c r="S10" i="42"/>
  <c r="S14" i="42" s="1"/>
  <c r="Q24" i="42"/>
  <c r="S16" i="42"/>
  <c r="S24" i="42" s="1"/>
  <c r="Q16" i="40"/>
  <c r="M24" i="40"/>
  <c r="Q10" i="40"/>
  <c r="M14" i="40"/>
  <c r="L16" i="34"/>
  <c r="J16" i="34"/>
  <c r="J10" i="34"/>
  <c r="L10" i="34"/>
  <c r="AB5" i="14"/>
  <c r="AA6" i="14"/>
  <c r="G17" i="34" l="1"/>
  <c r="G18" i="34"/>
  <c r="I17" i="34"/>
  <c r="I18" i="34"/>
  <c r="G19" i="34"/>
  <c r="I19" i="34"/>
  <c r="I20" i="34"/>
  <c r="G20" i="34"/>
  <c r="I10" i="34"/>
  <c r="G11" i="34"/>
  <c r="I11" i="34"/>
  <c r="K14" i="38"/>
  <c r="G12" i="34"/>
  <c r="I16" i="34"/>
  <c r="G10" i="34"/>
  <c r="G16" i="34"/>
  <c r="I21" i="34"/>
  <c r="K24" i="38"/>
  <c r="K24" i="36"/>
  <c r="K14" i="36"/>
  <c r="I22" i="34"/>
  <c r="G22" i="34"/>
  <c r="G21" i="34"/>
  <c r="I12" i="34"/>
  <c r="L14" i="34"/>
  <c r="L24" i="34"/>
  <c r="Q14" i="40"/>
  <c r="S10" i="40"/>
  <c r="S14" i="40" s="1"/>
  <c r="Q24" i="40"/>
  <c r="S16" i="40"/>
  <c r="S24" i="40" s="1"/>
  <c r="Q16" i="38"/>
  <c r="M24" i="38"/>
  <c r="Q10" i="38"/>
  <c r="M14" i="38"/>
  <c r="Q16" i="36"/>
  <c r="M24" i="36"/>
  <c r="Q10" i="36"/>
  <c r="M14" i="36"/>
  <c r="AB6" i="14"/>
  <c r="AC5" i="14"/>
  <c r="K10" i="34" l="1"/>
  <c r="M10" i="34" s="1"/>
  <c r="K20" i="34"/>
  <c r="M20" i="34" s="1"/>
  <c r="Q20" i="34" s="1"/>
  <c r="S20" i="34" s="1"/>
  <c r="K18" i="34"/>
  <c r="M18" i="34" s="1"/>
  <c r="Q18" i="34" s="1"/>
  <c r="S18" i="34" s="1"/>
  <c r="K17" i="34"/>
  <c r="M17" i="34" s="1"/>
  <c r="Q17" i="34" s="1"/>
  <c r="S17" i="34" s="1"/>
  <c r="K19" i="34"/>
  <c r="M19" i="34" s="1"/>
  <c r="Q19" i="34" s="1"/>
  <c r="S19" i="34" s="1"/>
  <c r="K11" i="34"/>
  <c r="M11" i="34" s="1"/>
  <c r="Q11" i="34" s="1"/>
  <c r="S11" i="34" s="1"/>
  <c r="K21" i="34"/>
  <c r="M21" i="34" s="1"/>
  <c r="Q21" i="34" s="1"/>
  <c r="S21" i="34" s="1"/>
  <c r="K12" i="34"/>
  <c r="M12" i="34" s="1"/>
  <c r="Q12" i="34" s="1"/>
  <c r="S12" i="34" s="1"/>
  <c r="G14" i="34"/>
  <c r="K16" i="34"/>
  <c r="M16" i="34" s="1"/>
  <c r="G24" i="34"/>
  <c r="K22" i="34"/>
  <c r="M22" i="34" s="1"/>
  <c r="Q22" i="34" s="1"/>
  <c r="S22" i="34" s="1"/>
  <c r="I24" i="34"/>
  <c r="I14" i="34"/>
  <c r="Q14" i="38"/>
  <c r="S10" i="38"/>
  <c r="S14" i="38" s="1"/>
  <c r="Q24" i="38"/>
  <c r="S16" i="38"/>
  <c r="S24" i="38" s="1"/>
  <c r="Q14" i="36"/>
  <c r="S10" i="36"/>
  <c r="S14" i="36" s="1"/>
  <c r="Q24" i="36"/>
  <c r="S16" i="36"/>
  <c r="S24" i="36" s="1"/>
  <c r="AC6" i="14"/>
  <c r="AD5" i="14"/>
  <c r="K14" i="34" l="1"/>
  <c r="M14" i="34"/>
  <c r="M24" i="34"/>
  <c r="K24" i="34"/>
  <c r="Q16" i="34"/>
  <c r="S16" i="34" s="1"/>
  <c r="S24" i="34" s="1"/>
  <c r="Q10" i="34"/>
  <c r="Q14" i="34" s="1"/>
  <c r="AD6" i="14"/>
  <c r="AE5" i="14"/>
  <c r="Q24" i="34" l="1"/>
  <c r="S10" i="34"/>
  <c r="S14" i="34" s="1"/>
  <c r="AF5" i="14"/>
  <c r="AE6" i="14"/>
  <c r="AF6" i="14" l="1"/>
  <c r="AG5" i="14"/>
  <c r="AH5" i="14" l="1"/>
  <c r="AG6" i="14"/>
  <c r="AI5" i="14" l="1"/>
  <c r="AH6" i="14"/>
  <c r="AJ5" i="14" l="1"/>
  <c r="AJ6" i="14" s="1"/>
  <c r="AI6" i="14"/>
  <c r="AK26" i="14" l="1"/>
  <c r="AM26" i="14"/>
  <c r="H21" i="16" s="1"/>
  <c r="AM16" i="14"/>
  <c r="AM28" i="14"/>
  <c r="H22" i="16" s="1"/>
  <c r="AK16" i="14"/>
  <c r="AK28" i="14"/>
  <c r="AK13" i="14"/>
  <c r="AM13" i="14"/>
  <c r="AK9" i="14"/>
  <c r="F10" i="16" s="1"/>
  <c r="AM9" i="14"/>
  <c r="H10" i="16" s="1"/>
  <c r="AN16" i="14" l="1"/>
  <c r="H12" i="16"/>
  <c r="F12" i="16"/>
  <c r="AN28" i="14"/>
  <c r="F22" i="16"/>
  <c r="AN26" i="14"/>
  <c r="F21" i="16"/>
  <c r="H16" i="16"/>
  <c r="F16" i="16"/>
  <c r="L16" i="16" s="1"/>
  <c r="L10" i="16"/>
  <c r="J10" i="16"/>
  <c r="AN13" i="14"/>
  <c r="AN9" i="14"/>
  <c r="J12" i="16" l="1"/>
  <c r="L12" i="16"/>
  <c r="L14" i="16" s="1"/>
  <c r="L22" i="16"/>
  <c r="J22" i="16"/>
  <c r="L21" i="16"/>
  <c r="J21" i="16"/>
  <c r="J16" i="16"/>
  <c r="U2" i="16"/>
  <c r="G17" i="16" l="1"/>
  <c r="G18" i="16"/>
  <c r="I17" i="16"/>
  <c r="I18" i="16"/>
  <c r="G19" i="16"/>
  <c r="G20" i="16"/>
  <c r="I19" i="16"/>
  <c r="I20" i="16"/>
  <c r="G11" i="16"/>
  <c r="I11" i="16"/>
  <c r="L24" i="16"/>
  <c r="G22" i="16"/>
  <c r="G12" i="16"/>
  <c r="G21" i="16"/>
  <c r="I21" i="16"/>
  <c r="I10" i="16"/>
  <c r="G10" i="16"/>
  <c r="I22" i="16"/>
  <c r="I12" i="16"/>
  <c r="I16" i="16"/>
  <c r="G16" i="16"/>
  <c r="K20" i="16" l="1"/>
  <c r="M20" i="16" s="1"/>
  <c r="Q20" i="16" s="1"/>
  <c r="S20" i="16" s="1"/>
  <c r="K18" i="16"/>
  <c r="M18" i="16" s="1"/>
  <c r="Q18" i="16" s="1"/>
  <c r="S18" i="16" s="1"/>
  <c r="K17" i="16"/>
  <c r="M17" i="16" s="1"/>
  <c r="Q17" i="16" s="1"/>
  <c r="S17" i="16" s="1"/>
  <c r="K19" i="16"/>
  <c r="M19" i="16" s="1"/>
  <c r="Q19" i="16" s="1"/>
  <c r="S19" i="16" s="1"/>
  <c r="K11" i="16"/>
  <c r="M11" i="16" s="1"/>
  <c r="Q11" i="16" s="1"/>
  <c r="S11" i="16" s="1"/>
  <c r="I24" i="16"/>
  <c r="G14" i="16"/>
  <c r="K10" i="16"/>
  <c r="I14" i="16"/>
  <c r="K12" i="16"/>
  <c r="M12" i="16" s="1"/>
  <c r="Q12" i="16" s="1"/>
  <c r="S12" i="16" s="1"/>
  <c r="K16" i="16"/>
  <c r="G24" i="16"/>
  <c r="K22" i="16"/>
  <c r="M22" i="16" s="1"/>
  <c r="Q22" i="16" s="1"/>
  <c r="S22" i="16" s="1"/>
  <c r="K21" i="16"/>
  <c r="M21" i="16" s="1"/>
  <c r="Q21" i="16" s="1"/>
  <c r="S21" i="16" s="1"/>
  <c r="M10" i="16" l="1"/>
  <c r="K14" i="16"/>
  <c r="M16" i="16"/>
  <c r="K24" i="16"/>
  <c r="M24" i="16" l="1"/>
  <c r="Q16" i="16"/>
  <c r="M14" i="16"/>
  <c r="Q10" i="16"/>
  <c r="S10" i="16" l="1"/>
  <c r="S14" i="16" s="1"/>
  <c r="Q14" i="16"/>
  <c r="Q24" i="16"/>
  <c r="S16" i="16"/>
  <c r="S24" i="16" s="1"/>
</calcChain>
</file>

<file path=xl/sharedStrings.xml><?xml version="1.0" encoding="utf-8"?>
<sst xmlns="http://schemas.openxmlformats.org/spreadsheetml/2006/main" count="1447" uniqueCount="190">
  <si>
    <t>Ghi chú</t>
  </si>
  <si>
    <t>Họ và Tên</t>
  </si>
  <si>
    <t>Chức Vụ</t>
  </si>
  <si>
    <t>Mã NV</t>
  </si>
  <si>
    <t>Thu nhập theo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</si>
  <si>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</si>
  <si>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</si>
  <si>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</si>
  <si>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</si>
  <si>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</si>
  <si>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</si>
  <si>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Ghi Chú</t>
  </si>
  <si>
    <t>BHXH</t>
  </si>
  <si>
    <t>BHYT</t>
  </si>
  <si>
    <t>Lập biểu</t>
  </si>
  <si>
    <t>Cộng (Giờ)</t>
  </si>
  <si>
    <t>BT</t>
  </si>
  <si>
    <t>CN</t>
  </si>
  <si>
    <t>thành tiền</t>
  </si>
  <si>
    <t>STT</t>
  </si>
  <si>
    <t>MNV</t>
  </si>
  <si>
    <t>Họ và Tên:</t>
  </si>
  <si>
    <t>Giám đốc</t>
  </si>
  <si>
    <t>Tạm ứng</t>
  </si>
  <si>
    <t>Số người phụ thuộc</t>
  </si>
  <si>
    <t>TỔNG CỘNG</t>
  </si>
  <si>
    <t>Thu nhập ngày công</t>
  </si>
  <si>
    <t>Tổng ngày công</t>
  </si>
  <si>
    <t>Stt</t>
  </si>
  <si>
    <t>Chức
vụ</t>
  </si>
  <si>
    <t>Giờ công</t>
  </si>
  <si>
    <t>TC</t>
  </si>
  <si>
    <t>BT,CN</t>
  </si>
  <si>
    <t>Tham gia BH</t>
  </si>
  <si>
    <t>BHTN</t>
  </si>
  <si>
    <t>CẬP NHẬT THÔNG TIN NGƯỜI LAO ĐỘNG  HÀNG THÁNG</t>
  </si>
  <si>
    <t>Phụ cấp</t>
  </si>
  <si>
    <t>Ngày trong tháng</t>
  </si>
  <si>
    <t>Khác</t>
  </si>
  <si>
    <t>Tham gia công đoàn</t>
  </si>
  <si>
    <t>Số ngày</t>
  </si>
  <si>
    <t>Ngày lễ</t>
  </si>
  <si>
    <t>Nghỉ việc riêng có lương</t>
  </si>
  <si>
    <t>Nghỉ không lương</t>
  </si>
  <si>
    <t>Nghỉ phép năm</t>
  </si>
  <si>
    <t>Tổng công thực tế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</si>
  <si>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</si>
  <si>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</si>
  <si>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</si>
  <si>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</si>
  <si>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</si>
  <si>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</si>
  <si>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</si>
  <si>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</si>
  <si>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</si>
  <si>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Long An, Ngày     tháng     năm 2012</t>
  </si>
  <si>
    <t>Lương căn bản</t>
  </si>
  <si>
    <t>Cơm</t>
  </si>
  <si>
    <t>Ngày công
trong tháng</t>
  </si>
  <si>
    <t>Ngày công hành chính</t>
  </si>
  <si>
    <t>Người lập biểu</t>
  </si>
  <si>
    <t>ALTP001</t>
  </si>
  <si>
    <t>ALTP002</t>
  </si>
  <si>
    <t>ALTP003</t>
  </si>
  <si>
    <t>ALTP004</t>
  </si>
  <si>
    <t>ALTP005</t>
  </si>
  <si>
    <t>ALTP006</t>
  </si>
  <si>
    <t>ALTP007</t>
  </si>
  <si>
    <t>ALTP008</t>
  </si>
  <si>
    <t>ALTP009</t>
  </si>
  <si>
    <t>ALTP010</t>
  </si>
  <si>
    <t>ALTP011</t>
  </si>
  <si>
    <t>ALTP012</t>
  </si>
  <si>
    <t>ALTP013</t>
  </si>
  <si>
    <t>ALTP014</t>
  </si>
  <si>
    <t>ALTP015</t>
  </si>
  <si>
    <t>ALTP016</t>
  </si>
  <si>
    <t>ALTP017</t>
  </si>
  <si>
    <t>ALTP018</t>
  </si>
  <si>
    <t>ALTP019</t>
  </si>
  <si>
    <t>ALTP020</t>
  </si>
  <si>
    <t>ALTP021</t>
  </si>
  <si>
    <t>ALTP022</t>
  </si>
  <si>
    <t>ALTP023</t>
  </si>
  <si>
    <t>ALTP024</t>
  </si>
  <si>
    <t>ALTP025</t>
  </si>
  <si>
    <t>ALTP026</t>
  </si>
  <si>
    <t>ALTP027</t>
  </si>
  <si>
    <t>ALTN001</t>
  </si>
  <si>
    <t>ALTN002</t>
  </si>
  <si>
    <t>ALTN003</t>
  </si>
  <si>
    <t>ALTN004</t>
  </si>
  <si>
    <t>ALTN005</t>
  </si>
  <si>
    <t>ALTN006</t>
  </si>
  <si>
    <t>ALTN007</t>
  </si>
  <si>
    <t>ALTN008</t>
  </si>
  <si>
    <t>ALTN009</t>
  </si>
  <si>
    <t>ALTN010</t>
  </si>
  <si>
    <t>ALTN011</t>
  </si>
  <si>
    <t>Nguyễn Văn Bé Hai</t>
  </si>
  <si>
    <t>Thạch Tiền</t>
  </si>
  <si>
    <t>Hứa Hậu</t>
  </si>
  <si>
    <t>Nguyễn Văn Tâm</t>
  </si>
  <si>
    <t>Sơn Lét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</si>
  <si>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</si>
  <si>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</si>
  <si>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</si>
  <si>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</si>
  <si>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</si>
  <si>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</si>
  <si>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</si>
  <si>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</si>
  <si>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</si>
  <si>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</si>
  <si>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</si>
  <si>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</si>
  <si>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 xml:space="preserve"> Lâm Thị Mộng Kiều </t>
  </si>
  <si>
    <t>Huỳnh Thị Hường</t>
  </si>
  <si>
    <t>Nguyễn Thị Rong</t>
  </si>
  <si>
    <t>Sơn Thị Nil</t>
  </si>
  <si>
    <t>Huỳnh Thị Bé Tha</t>
  </si>
  <si>
    <t>Huỳnh Thị Bé Thi</t>
  </si>
  <si>
    <t>Nguyễn Thị Kim Hồng</t>
  </si>
  <si>
    <t>Nguyễn Thị Lựu</t>
  </si>
  <si>
    <t>Lý Thị Được</t>
  </si>
  <si>
    <t>Lý La Quan</t>
  </si>
  <si>
    <t>Trà Thị Soi</t>
  </si>
  <si>
    <t>Nguyễn Thị Diễm Hương</t>
  </si>
  <si>
    <t>Sơn Thị Muỗi Tron</t>
  </si>
  <si>
    <t>Sơn Thị Thương</t>
  </si>
  <si>
    <t>Thạch Thị Som Ươne</t>
  </si>
  <si>
    <t>Huỳnh Thị Như</t>
  </si>
  <si>
    <t>Sơn Thị Chành Ny</t>
  </si>
  <si>
    <t>Sơn Thị Chành Đa</t>
  </si>
  <si>
    <t>TQL</t>
  </si>
  <si>
    <t>SLĐ</t>
  </si>
  <si>
    <t>TL - Chi</t>
  </si>
  <si>
    <t>Trần Thị Bích Phượng</t>
  </si>
  <si>
    <t>Trần Nhiên</t>
  </si>
  <si>
    <t>Sơn Thị Trường Sa</t>
  </si>
  <si>
    <t>Lâm Thị Sà Mít</t>
  </si>
  <si>
    <t>Trần Thị Toan</t>
  </si>
  <si>
    <t>Nguyễn Hữu Nhơn</t>
  </si>
  <si>
    <t>Huỳnh Minh Hiếu</t>
  </si>
  <si>
    <t>Lý Thị Sà Kha</t>
  </si>
  <si>
    <t>Thạch Giang</t>
  </si>
  <si>
    <t>Thạch Quyền</t>
  </si>
  <si>
    <t>Lâm Lin</t>
  </si>
  <si>
    <t>Lâm Chanh Đa Ra</t>
  </si>
  <si>
    <t>Phạm Thành Đô</t>
  </si>
  <si>
    <t>Sơn Pép</t>
  </si>
  <si>
    <t xml:space="preserve"> Lâm Thị Mộng Thường</t>
  </si>
  <si>
    <t>Công ty TNHH Hải sản An Lạc</t>
  </si>
  <si>
    <t>Địa chỉ: Lô A14, đường 4A, KCN Hải Sơn, Đức Hòa, Long An</t>
  </si>
  <si>
    <t>I</t>
  </si>
  <si>
    <t>II</t>
  </si>
  <si>
    <t>BP: Thành Phẩm:</t>
  </si>
  <si>
    <t>Tăng ca &amp; CN</t>
  </si>
  <si>
    <t>BP: Công Nhân:</t>
  </si>
  <si>
    <t>QL01</t>
  </si>
  <si>
    <t>QL02</t>
  </si>
  <si>
    <t>CN01</t>
  </si>
  <si>
    <t>CN02</t>
  </si>
  <si>
    <t>CN03</t>
  </si>
  <si>
    <t>Nguyễn Thị Thu Sương</t>
  </si>
  <si>
    <t>Kinh Doanh</t>
  </si>
  <si>
    <t>Nguyễn Trường Giang</t>
  </si>
  <si>
    <t>Thợ in</t>
  </si>
  <si>
    <t>QL03</t>
  </si>
  <si>
    <t>BP: Quản lý :</t>
  </si>
  <si>
    <t>BP: Quản lý &amp; CN Trực Tiếp SX</t>
  </si>
  <si>
    <t>BP: Quản lý:</t>
  </si>
  <si>
    <t>Trần Anh Nhựt</t>
  </si>
  <si>
    <t>Thiết Kế</t>
  </si>
  <si>
    <t>Huỳnh Minh Toàn</t>
  </si>
  <si>
    <t>Thủ Kho</t>
  </si>
  <si>
    <t>CN04</t>
  </si>
  <si>
    <t>CN05</t>
  </si>
  <si>
    <t>CN06</t>
  </si>
  <si>
    <t>CN07</t>
  </si>
  <si>
    <t>Võ Văn Kiệt</t>
  </si>
  <si>
    <t>Công Đoạn 1</t>
  </si>
  <si>
    <t>Diệp Văn Lân</t>
  </si>
  <si>
    <t>Dương Thế Kiệt</t>
  </si>
  <si>
    <t>Lê Văn Hữu</t>
  </si>
  <si>
    <t>Công Đoạn 2</t>
  </si>
  <si>
    <t>Bùi Trường Giang</t>
  </si>
  <si>
    <t>Nguyễn T Bích Thủy</t>
  </si>
  <si>
    <t>2014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</si>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</sst>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</numFmts>
  <fonts count="121">
    <font>
      <sz val="10"/>
      <name val="Arial"/>
    </font>
    <font>
      <sz val="10"/>
      <name val="Arial"/>
      <family val="2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sz val="10"/>
      <color indexed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sz val="11"/>
      <color rgb="FFFF000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07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</cellStyleXfs>
  <cellXfs count="288">
    <xf numFmtId="0" fontId="0" fillId="0" borderId="0" xfId="0"/>
    <xf numFmtId="0" fontId="96" fillId="0" borderId="0" xfId="0" applyFont="1"/>
    <xf numFmtId="0" fontId="30" fillId="0" borderId="0" xfId="0" applyFont="1"/>
    <xf numFmtId="0" fontId="30" fillId="0" borderId="24" xfId="0" applyFont="1" applyFill="1" applyBorder="1" applyAlignment="1">
      <alignment horizontal="center" vertical="center"/>
    </xf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169" fontId="30" fillId="0" borderId="2" xfId="337" applyNumberFormat="1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0" fontId="102" fillId="0" borderId="0" xfId="0" applyFont="1" applyFill="1" applyBorder="1" applyAlignment="1">
      <alignment vertical="center"/>
    </xf>
    <xf numFmtId="0" fontId="102" fillId="0" borderId="0" xfId="0" applyFont="1" applyBorder="1" applyAlignment="1">
      <alignment horizontal="center" vertical="center"/>
    </xf>
    <xf numFmtId="169" fontId="102" fillId="0" borderId="0" xfId="337" applyNumberFormat="1" applyFont="1" applyBorder="1" applyAlignment="1">
      <alignment horizontal="center" vertical="center"/>
    </xf>
    <xf numFmtId="169" fontId="30" fillId="0" borderId="0" xfId="337" applyNumberFormat="1" applyFont="1" applyAlignment="1">
      <alignment vertical="center" wrapText="1"/>
    </xf>
    <xf numFmtId="0" fontId="102" fillId="0" borderId="0" xfId="0" applyFont="1" applyBorder="1" applyAlignment="1">
      <alignment vertical="center" wrapText="1"/>
    </xf>
    <xf numFmtId="169" fontId="102" fillId="0" borderId="0" xfId="337" applyNumberFormat="1" applyFont="1" applyAlignment="1">
      <alignment vertical="center" wrapText="1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102" fillId="0" borderId="0" xfId="337" applyNumberFormat="1" applyFont="1" applyBorder="1" applyAlignment="1">
      <alignment horizontal="center" vertical="center"/>
    </xf>
    <xf numFmtId="10" fontId="30" fillId="0" borderId="0" xfId="0" applyNumberFormat="1" applyFont="1"/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77" fillId="26" borderId="14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vertical="center" wrapText="1"/>
    </xf>
    <xf numFmtId="0" fontId="30" fillId="0" borderId="24" xfId="0" applyFont="1" applyFill="1" applyBorder="1" applyAlignment="1">
      <alignment horizontal="left" vertical="center"/>
    </xf>
    <xf numFmtId="169" fontId="30" fillId="0" borderId="24" xfId="337" applyNumberFormat="1" applyFont="1" applyFill="1" applyBorder="1" applyAlignment="1">
      <alignment horizontal="center" vertical="center" wrapText="1"/>
    </xf>
    <xf numFmtId="43" fontId="30" fillId="0" borderId="24" xfId="337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0" fontId="30" fillId="0" borderId="0" xfId="0" applyFont="1" applyBorder="1"/>
    <xf numFmtId="0" fontId="105" fillId="0" borderId="0" xfId="0" applyFont="1" applyFill="1" applyBorder="1" applyAlignment="1">
      <alignment horizontal="center" vertical="center"/>
    </xf>
    <xf numFmtId="169" fontId="30" fillId="0" borderId="0" xfId="337" applyNumberFormat="1" applyFont="1"/>
    <xf numFmtId="169" fontId="102" fillId="0" borderId="0" xfId="337" applyNumberFormat="1" applyFont="1" applyBorder="1" applyAlignment="1">
      <alignment vertical="center"/>
    </xf>
    <xf numFmtId="169" fontId="102" fillId="0" borderId="0" xfId="337" applyNumberFormat="1" applyFont="1" applyBorder="1" applyAlignment="1">
      <alignment horizontal="left" vertical="center"/>
    </xf>
    <xf numFmtId="10" fontId="30" fillId="0" borderId="0" xfId="0" applyNumberFormat="1" applyFont="1" applyBorder="1"/>
    <xf numFmtId="169" fontId="30" fillId="0" borderId="0" xfId="337" applyNumberFormat="1" applyFont="1" applyBorder="1"/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10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14" fontId="109" fillId="0" borderId="26" xfId="0" applyNumberFormat="1" applyFont="1" applyBorder="1" applyAlignment="1"/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29" xfId="421" applyFont="1" applyFill="1" applyBorder="1" applyAlignment="1">
      <alignment horizontal="center" vertical="center"/>
    </xf>
    <xf numFmtId="0" fontId="98" fillId="0" borderId="24" xfId="421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43" fontId="105" fillId="0" borderId="0" xfId="337" applyFont="1" applyFill="1" applyBorder="1" applyAlignment="1">
      <alignment horizontal="center" vertical="center"/>
    </xf>
    <xf numFmtId="0" fontId="111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43" fontId="98" fillId="0" borderId="0" xfId="337" applyFont="1" applyFill="1" applyAlignment="1">
      <alignment vertical="center" wrapText="1"/>
    </xf>
    <xf numFmtId="168" fontId="30" fillId="0" borderId="2" xfId="337" applyNumberFormat="1" applyFont="1" applyFill="1" applyBorder="1" applyAlignment="1">
      <alignment horizontal="left" vertical="center"/>
    </xf>
    <xf numFmtId="43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169" fontId="98" fillId="0" borderId="25" xfId="0" applyNumberFormat="1" applyFont="1" applyFill="1" applyBorder="1" applyAlignment="1">
      <alignment vertical="center" wrapText="1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169" fontId="96" fillId="0" borderId="0" xfId="337" applyNumberFormat="1" applyFont="1"/>
    <xf numFmtId="0" fontId="30" fillId="0" borderId="0" xfId="0" applyFont="1" applyFill="1" applyBorder="1" applyAlignment="1">
      <alignment horizontal="center" vertical="center"/>
    </xf>
    <xf numFmtId="0" fontId="112" fillId="0" borderId="0" xfId="0" applyFont="1"/>
    <xf numFmtId="0" fontId="30" fillId="26" borderId="12" xfId="0" applyFont="1" applyFill="1" applyBorder="1" applyAlignment="1">
      <alignment horizontal="center" vertical="center"/>
    </xf>
    <xf numFmtId="0" fontId="102" fillId="26" borderId="12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0" xfId="0" applyFont="1" applyAlignment="1">
      <alignment horizont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113" fillId="0" borderId="26" xfId="0" applyFont="1" applyBorder="1" applyAlignment="1">
      <alignment vertical="center"/>
    </xf>
    <xf numFmtId="169" fontId="114" fillId="0" borderId="0" xfId="337" applyNumberFormat="1" applyFont="1"/>
    <xf numFmtId="0" fontId="114" fillId="0" borderId="0" xfId="0" applyFont="1"/>
    <xf numFmtId="169" fontId="77" fillId="26" borderId="14" xfId="341" applyNumberFormat="1" applyFont="1" applyFill="1" applyBorder="1" applyAlignment="1">
      <alignment horizontal="center" vertical="center" wrapText="1"/>
    </xf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102" fillId="26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43" fontId="30" fillId="0" borderId="0" xfId="337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43" fontId="30" fillId="0" borderId="0" xfId="337" applyFont="1" applyFill="1" applyAlignment="1">
      <alignment vertical="center" wrapText="1"/>
    </xf>
    <xf numFmtId="0" fontId="96" fillId="0" borderId="0" xfId="420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168" fontId="99" fillId="0" borderId="29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43" fontId="30" fillId="0" borderId="2" xfId="341" applyNumberFormat="1" applyFont="1" applyFill="1" applyBorder="1" applyAlignment="1">
      <alignment horizontal="left" vertical="center"/>
    </xf>
    <xf numFmtId="0" fontId="102" fillId="0" borderId="0" xfId="0" applyFont="1" applyFill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left" vertical="center" wrapText="1"/>
    </xf>
    <xf numFmtId="169" fontId="30" fillId="0" borderId="30" xfId="337" applyNumberFormat="1" applyFont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5" fillId="0" borderId="2" xfId="337" applyNumberFormat="1" applyFont="1" applyBorder="1" applyAlignment="1">
      <alignment horizontal="center" vertical="center" wrapText="1"/>
    </xf>
    <xf numFmtId="0" fontId="30" fillId="0" borderId="0" xfId="0" applyFont="1" applyAlignment="1"/>
    <xf numFmtId="0" fontId="102" fillId="0" borderId="12" xfId="0" applyFont="1" applyBorder="1" applyAlignment="1">
      <alignment vertical="center" wrapText="1"/>
    </xf>
    <xf numFmtId="14" fontId="109" fillId="0" borderId="26" xfId="0" applyNumberFormat="1" applyFont="1" applyBorder="1" applyAlignment="1">
      <alignment horizontal="center"/>
    </xf>
    <xf numFmtId="0" fontId="116" fillId="0" borderId="26" xfId="0" applyNumberFormat="1" applyFont="1" applyBorder="1" applyAlignment="1">
      <alignment horizontal="center"/>
    </xf>
    <xf numFmtId="0" fontId="115" fillId="0" borderId="2" xfId="0" applyFont="1" applyBorder="1" applyAlignment="1">
      <alignment horizontal="center" vertical="center" wrapText="1"/>
    </xf>
    <xf numFmtId="169" fontId="117" fillId="0" borderId="0" xfId="337" applyNumberFormat="1" applyFont="1"/>
    <xf numFmtId="169" fontId="115" fillId="0" borderId="0" xfId="337" applyNumberFormat="1" applyFont="1"/>
    <xf numFmtId="0" fontId="115" fillId="0" borderId="0" xfId="0" applyFont="1"/>
    <xf numFmtId="0" fontId="115" fillId="0" borderId="2" xfId="0" applyFont="1" applyFill="1" applyBorder="1" applyAlignment="1">
      <alignment horizontal="left" vertical="center" wrapText="1"/>
    </xf>
    <xf numFmtId="0" fontId="118" fillId="0" borderId="0" xfId="0" applyFont="1" applyFill="1" applyBorder="1" applyAlignment="1">
      <alignment horizontal="center" vertical="center"/>
    </xf>
    <xf numFmtId="0" fontId="119" fillId="0" borderId="2" xfId="0" applyFont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left" vertical="center"/>
    </xf>
    <xf numFmtId="169" fontId="119" fillId="0" borderId="2" xfId="337" applyNumberFormat="1" applyFont="1" applyBorder="1" applyAlignment="1">
      <alignment horizontal="center" vertical="center" wrapText="1"/>
    </xf>
    <xf numFmtId="169" fontId="120" fillId="0" borderId="0" xfId="337" applyNumberFormat="1" applyFont="1"/>
    <xf numFmtId="169" fontId="119" fillId="0" borderId="0" xfId="337" applyNumberFormat="1" applyFont="1"/>
    <xf numFmtId="0" fontId="119" fillId="0" borderId="0" xfId="0" applyFont="1"/>
    <xf numFmtId="0" fontId="77" fillId="26" borderId="14" xfId="0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49" fontId="77" fillId="26" borderId="12" xfId="337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8" fontId="98" fillId="26" borderId="23" xfId="337" applyNumberFormat="1" applyFont="1" applyFill="1" applyBorder="1" applyAlignment="1">
      <alignment horizontal="center" vertical="center" textRotation="90"/>
    </xf>
    <xf numFmtId="0" fontId="103" fillId="26" borderId="14" xfId="0" applyFont="1" applyFill="1" applyBorder="1" applyAlignment="1">
      <alignment horizontal="center" vertical="center"/>
    </xf>
    <xf numFmtId="43" fontId="103" fillId="26" borderId="14" xfId="337" applyFont="1" applyFill="1" applyBorder="1" applyAlignment="1">
      <alignment horizontal="center" vertical="center"/>
    </xf>
    <xf numFmtId="0" fontId="97" fillId="27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/>
    </xf>
    <xf numFmtId="0" fontId="77" fillId="0" borderId="0" xfId="0" applyFont="1" applyFill="1"/>
    <xf numFmtId="0" fontId="77" fillId="0" borderId="13" xfId="0" applyFont="1" applyFill="1" applyBorder="1" applyAlignment="1">
      <alignment horizontal="left" vertical="center"/>
    </xf>
    <xf numFmtId="0" fontId="77" fillId="0" borderId="8" xfId="0" applyFont="1" applyFill="1" applyBorder="1" applyAlignment="1">
      <alignment horizontal="center" vertical="center"/>
    </xf>
    <xf numFmtId="0" fontId="77" fillId="0" borderId="27" xfId="0" applyFont="1" applyFill="1" applyBorder="1" applyAlignment="1">
      <alignment horizontal="center" vertical="center"/>
    </xf>
    <xf numFmtId="169" fontId="30" fillId="0" borderId="24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horizontal="center" vertical="center" wrapText="1"/>
    </xf>
    <xf numFmtId="0" fontId="99" fillId="0" borderId="23" xfId="0" applyFont="1" applyFill="1" applyBorder="1" applyAlignment="1">
      <alignment horizontal="center" vertical="center"/>
    </xf>
    <xf numFmtId="0" fontId="102" fillId="0" borderId="23" xfId="0" applyFont="1" applyFill="1" applyBorder="1" applyAlignment="1">
      <alignment horizontal="left" vertical="center"/>
    </xf>
    <xf numFmtId="0" fontId="102" fillId="0" borderId="23" xfId="0" applyFont="1" applyFill="1" applyBorder="1" applyAlignment="1">
      <alignment horizontal="center" vertical="center"/>
    </xf>
    <xf numFmtId="14" fontId="118" fillId="0" borderId="0" xfId="0" applyNumberFormat="1" applyFont="1" applyFill="1" applyBorder="1" applyAlignment="1">
      <alignment horizontal="center" vertical="center"/>
    </xf>
    <xf numFmtId="169" fontId="115" fillId="29" borderId="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30" fillId="0" borderId="23" xfId="0" applyFont="1" applyFill="1" applyBorder="1" applyAlignment="1">
      <alignment vertical="center" wrapText="1"/>
    </xf>
    <xf numFmtId="0" fontId="30" fillId="0" borderId="23" xfId="0" applyFont="1" applyFill="1" applyBorder="1" applyAlignment="1">
      <alignment horizontal="center" vertical="center" wrapText="1"/>
    </xf>
    <xf numFmtId="0" fontId="30" fillId="0" borderId="23" xfId="0" applyFont="1" applyFill="1" applyBorder="1" applyAlignment="1">
      <alignment horizontal="left" vertical="center"/>
    </xf>
    <xf numFmtId="0" fontId="30" fillId="0" borderId="23" xfId="0" applyFont="1" applyFill="1" applyBorder="1" applyAlignment="1">
      <alignment horizontal="center" vertical="center"/>
    </xf>
    <xf numFmtId="169" fontId="30" fillId="0" borderId="23" xfId="337" applyNumberFormat="1" applyFont="1" applyFill="1" applyBorder="1" applyAlignment="1">
      <alignment horizontal="left" vertical="center"/>
    </xf>
    <xf numFmtId="168" fontId="30" fillId="0" borderId="23" xfId="337" applyNumberFormat="1" applyFont="1" applyFill="1" applyBorder="1" applyAlignment="1">
      <alignment horizontal="left" vertical="center"/>
    </xf>
    <xf numFmtId="169" fontId="30" fillId="0" borderId="23" xfId="341" applyNumberFormat="1" applyFont="1" applyFill="1" applyBorder="1" applyAlignment="1">
      <alignment horizontal="center" vertical="center" wrapText="1"/>
    </xf>
    <xf numFmtId="43" fontId="30" fillId="0" borderId="23" xfId="337" applyNumberFormat="1" applyFont="1" applyFill="1" applyBorder="1" applyAlignment="1">
      <alignment horizontal="left" vertical="center"/>
    </xf>
    <xf numFmtId="169" fontId="30" fillId="0" borderId="23" xfId="337" applyNumberFormat="1" applyFont="1" applyFill="1" applyBorder="1" applyAlignment="1">
      <alignment horizontal="center" vertical="center" wrapText="1"/>
    </xf>
    <xf numFmtId="169" fontId="30" fillId="0" borderId="23" xfId="337" quotePrefix="1" applyNumberFormat="1" applyFont="1" applyFill="1" applyBorder="1" applyAlignment="1">
      <alignment horizontal="center" vertical="center" wrapText="1"/>
    </xf>
    <xf numFmtId="169" fontId="30" fillId="26" borderId="23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43" fontId="30" fillId="0" borderId="0" xfId="337" applyNumberFormat="1" applyFont="1" applyAlignment="1">
      <alignment vertical="center" wrapText="1"/>
    </xf>
    <xf numFmtId="169" fontId="100" fillId="0" borderId="0" xfId="0" applyNumberFormat="1" applyFont="1" applyFill="1" applyBorder="1" applyAlignment="1">
      <alignment horizontal="center" vertical="center"/>
    </xf>
    <xf numFmtId="236" fontId="98" fillId="26" borderId="31" xfId="0" applyNumberFormat="1" applyFont="1" applyFill="1" applyBorder="1" applyAlignment="1">
      <alignment horizontal="center" vertical="center"/>
    </xf>
    <xf numFmtId="168" fontId="99" fillId="0" borderId="14" xfId="341" applyNumberFormat="1" applyFont="1" applyFill="1" applyBorder="1" applyAlignment="1">
      <alignment horizontal="center" vertical="center"/>
    </xf>
    <xf numFmtId="168" fontId="99" fillId="0" borderId="28" xfId="341" applyNumberFormat="1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119" fillId="0" borderId="2" xfId="0" applyFont="1" applyFill="1" applyBorder="1" applyAlignment="1">
      <alignment horizontal="left" vertical="center" wrapText="1"/>
    </xf>
    <xf numFmtId="0" fontId="30" fillId="0" borderId="0" xfId="0" applyFont="1" applyAlignment="1">
      <alignment horizontal="center"/>
    </xf>
    <xf numFmtId="0" fontId="102" fillId="0" borderId="31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4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0" fontId="106" fillId="0" borderId="0" xfId="0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0" fontId="77" fillId="26" borderId="12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0" fontId="100" fillId="26" borderId="14" xfId="0" applyFont="1" applyFill="1" applyBorder="1" applyAlignment="1">
      <alignment horizontal="center" vertical="center"/>
    </xf>
    <xf numFmtId="0" fontId="100" fillId="26" borderId="23" xfId="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0" fontId="100" fillId="26" borderId="31" xfId="0" applyFont="1" applyFill="1" applyBorder="1" applyAlignment="1">
      <alignment horizontal="center" vertical="center"/>
    </xf>
    <xf numFmtId="0" fontId="100" fillId="26" borderId="25" xfId="0" applyFont="1" applyFill="1" applyBorder="1" applyAlignment="1">
      <alignment horizontal="center" vertical="center"/>
    </xf>
    <xf numFmtId="0" fontId="100" fillId="26" borderId="32" xfId="0" applyFont="1" applyFill="1" applyBorder="1" applyAlignment="1">
      <alignment horizontal="center" vertical="center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0" fontId="98" fillId="0" borderId="14" xfId="421" applyNumberFormat="1" applyFont="1" applyFill="1" applyBorder="1" applyAlignment="1">
      <alignment horizontal="left" vertical="center"/>
    </xf>
    <xf numFmtId="0" fontId="98" fillId="0" borderId="28" xfId="421" applyNumberFormat="1" applyFont="1" applyFill="1" applyBorder="1" applyAlignment="1">
      <alignment horizontal="left" vertical="center"/>
    </xf>
    <xf numFmtId="0" fontId="98" fillId="0" borderId="14" xfId="421" applyNumberFormat="1" applyFont="1" applyFill="1" applyBorder="1" applyAlignment="1">
      <alignment horizontal="center" vertical="center" wrapText="1"/>
    </xf>
    <xf numFmtId="0" fontId="98" fillId="0" borderId="28" xfId="421" applyNumberFormat="1" applyFont="1" applyFill="1" applyBorder="1" applyAlignment="1">
      <alignment horizontal="center" vertical="center" wrapText="1"/>
    </xf>
    <xf numFmtId="237" fontId="99" fillId="28" borderId="14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43" fontId="98" fillId="0" borderId="14" xfId="337" applyFont="1" applyBorder="1" applyAlignment="1">
      <alignment horizontal="center" vertical="center"/>
    </xf>
    <xf numFmtId="43" fontId="98" fillId="0" borderId="28" xfId="337" applyFont="1" applyBorder="1" applyAlignment="1">
      <alignment horizontal="center" vertical="center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105" fillId="0" borderId="33" xfId="0" applyFont="1" applyFill="1" applyBorder="1" applyAlignment="1">
      <alignment horizontal="center" vertical="center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0" fontId="77" fillId="26" borderId="28" xfId="0" applyFont="1" applyFill="1" applyBorder="1" applyAlignment="1">
      <alignment horizontal="center" vertical="center" wrapText="1"/>
    </xf>
    <xf numFmtId="0" fontId="100" fillId="0" borderId="12" xfId="0" applyFont="1" applyFill="1" applyBorder="1" applyAlignment="1">
      <alignment horizontal="center" vertical="center" wrapText="1"/>
    </xf>
    <xf numFmtId="43" fontId="77" fillId="26" borderId="14" xfId="337" applyFont="1" applyFill="1" applyBorder="1" applyAlignment="1">
      <alignment horizontal="center" vertical="center" wrapText="1"/>
    </xf>
    <xf numFmtId="43" fontId="77" fillId="26" borderId="23" xfId="337" applyFont="1" applyFill="1" applyBorder="1" applyAlignment="1">
      <alignment horizontal="center" vertical="center" wrapText="1"/>
    </xf>
    <xf numFmtId="0" fontId="77" fillId="26" borderId="31" xfId="0" applyFont="1" applyFill="1" applyBorder="1" applyAlignment="1">
      <alignment horizontal="center" vertical="center" wrapText="1"/>
    </xf>
    <xf numFmtId="0" fontId="77" fillId="26" borderId="6" xfId="0" applyFont="1" applyFill="1" applyBorder="1" applyAlignment="1">
      <alignment horizontal="center" vertical="center" wrapText="1"/>
    </xf>
  </cellXfs>
  <cellStyles count="607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zerodec" xfId="344"/>
    <cellStyle name="Comma0" xfId="345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2" xfId="382" builtinId="17" customBuiltin="1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i·0" xfId="388"/>
    <cellStyle name="Îáû÷íûé_ÏÄÍÃ" xfId="389"/>
    <cellStyle name="Input" xfId="390" builtinId="20" customBuiltin="1"/>
    <cellStyle name="Input [yellow]" xfId="391"/>
    <cellStyle name="k" xfId="392"/>
    <cellStyle name="khanh" xfId="393"/>
    <cellStyle name="khoa2" xfId="394"/>
    <cellStyle name="kien1" xfId="395"/>
    <cellStyle name="Link Currency (0)" xfId="396"/>
    <cellStyle name="Link Currency (2)" xfId="397"/>
    <cellStyle name="Link Units (0)" xfId="398"/>
    <cellStyle name="Link Units (1)" xfId="399"/>
    <cellStyle name="Link Units (2)" xfId="400"/>
    <cellStyle name="Linked Cell" xfId="401" builtinId="24" customBuiltin="1"/>
    <cellStyle name="luc" xfId="402"/>
    <cellStyle name="luc2" xfId="403"/>
    <cellStyle name="Millares [0]_Well Timing" xfId="404"/>
    <cellStyle name="Millares_Well Timing" xfId="405"/>
    <cellStyle name="Môc" xfId="406"/>
    <cellStyle name="Model" xfId="407"/>
    <cellStyle name="Moneda [0]_Well Timing" xfId="408"/>
    <cellStyle name="Moneda_Well Timing" xfId="409"/>
    <cellStyle name="Monétaire [0]_TARIFFS DB" xfId="410"/>
    <cellStyle name="Monétaire_TARIFFS DB" xfId="411"/>
    <cellStyle name="n" xfId="412"/>
    <cellStyle name="n1" xfId="413"/>
    <cellStyle name="Neutral" xfId="414" builtinId="28" customBuiltin="1"/>
    <cellStyle name="New Times Roman" xfId="415"/>
    <cellStyle name="no dec" xfId="416"/>
    <cellStyle name="Non défini" xfId="417"/>
    <cellStyle name="Normal" xfId="0" builtinId="0"/>
    <cellStyle name="Normal - Style1" xfId="418"/>
    <cellStyle name="Normal 2" xfId="419"/>
    <cellStyle name="Normal_Book1" xfId="420"/>
    <cellStyle name="Normal_Sheet1" xfId="421"/>
    <cellStyle name="Normal1" xfId="422"/>
    <cellStyle name="Note" xfId="423" builtinId="10" customBuiltin="1"/>
    <cellStyle name="omma [0]_Mktg Prog" xfId="424"/>
    <cellStyle name="ormal_Sheet1_1" xfId="425"/>
    <cellStyle name="Output" xfId="426" builtinId="21" customBuiltin="1"/>
    <cellStyle name="Percent [0]" xfId="427"/>
    <cellStyle name="Percent [00]" xfId="428"/>
    <cellStyle name="Percent [2]" xfId="429"/>
    <cellStyle name="PrePop Currency (0)" xfId="430"/>
    <cellStyle name="PrePop Currency (2)" xfId="431"/>
    <cellStyle name="PrePop Units (0)" xfId="432"/>
    <cellStyle name="PrePop Units (1)" xfId="433"/>
    <cellStyle name="PrePop Units (2)" xfId="434"/>
    <cellStyle name="S—_x0008_" xfId="435"/>
    <cellStyle name="s1" xfId="436"/>
    <cellStyle name="Style 1" xfId="437"/>
    <cellStyle name="Style 10" xfId="438"/>
    <cellStyle name="Style 11" xfId="439"/>
    <cellStyle name="Style 12" xfId="440"/>
    <cellStyle name="Style 13" xfId="441"/>
    <cellStyle name="Style 14" xfId="442"/>
    <cellStyle name="Style 15" xfId="443"/>
    <cellStyle name="Style 16" xfId="444"/>
    <cellStyle name="Style 17" xfId="445"/>
    <cellStyle name="Style 18" xfId="446"/>
    <cellStyle name="Style 19" xfId="447"/>
    <cellStyle name="Style 2" xfId="448"/>
    <cellStyle name="Style 20" xfId="449"/>
    <cellStyle name="Style 21" xfId="450"/>
    <cellStyle name="Style 22" xfId="451"/>
    <cellStyle name="Style 23" xfId="452"/>
    <cellStyle name="Style 24" xfId="453"/>
    <cellStyle name="Style 25" xfId="454"/>
    <cellStyle name="Style 26" xfId="455"/>
    <cellStyle name="Style 27" xfId="456"/>
    <cellStyle name="Style 28" xfId="457"/>
    <cellStyle name="Style 29" xfId="458"/>
    <cellStyle name="Style 3" xfId="459"/>
    <cellStyle name="Style 30" xfId="460"/>
    <cellStyle name="Style 31" xfId="461"/>
    <cellStyle name="Style 32" xfId="462"/>
    <cellStyle name="Style 33" xfId="463"/>
    <cellStyle name="Style 34" xfId="464"/>
    <cellStyle name="Style 35" xfId="465"/>
    <cellStyle name="Style 36" xfId="466"/>
    <cellStyle name="Style 37" xfId="467"/>
    <cellStyle name="Style 38" xfId="468"/>
    <cellStyle name="Style 39" xfId="469"/>
    <cellStyle name="Style 4" xfId="470"/>
    <cellStyle name="Style 40" xfId="471"/>
    <cellStyle name="Style 41" xfId="472"/>
    <cellStyle name="Style 42" xfId="473"/>
    <cellStyle name="Style 43" xfId="474"/>
    <cellStyle name="Style 5" xfId="475"/>
    <cellStyle name="Style 6" xfId="476"/>
    <cellStyle name="Style 7" xfId="477"/>
    <cellStyle name="Style 8" xfId="478"/>
    <cellStyle name="Style 9" xfId="479"/>
    <cellStyle name="subhead" xfId="480"/>
    <cellStyle name="T" xfId="481"/>
    <cellStyle name="T_01 DUNGTIEN BIEU SX KINH DOANH" xfId="482"/>
    <cellStyle name="T_01 modul tvql 06 08 09" xfId="483"/>
    <cellStyle name="T_01 modul tvql 06 08 09_J&amp;J BCC+BL 082011 v2" xfId="484"/>
    <cellStyle name="T_01 modul tvql 06 08 09_thaotuan luong 102011 v2" xfId="485"/>
    <cellStyle name="T_Book1" xfId="486"/>
    <cellStyle name="T_Book1_01 DUNGTIEN BIEU SX KINH DOANH" xfId="487"/>
    <cellStyle name="T_Book1_01 modul tvql 06 08 09" xfId="488"/>
    <cellStyle name="T_Book1_01 modul tvql 06 08 09_DA - BL 062011 (new)" xfId="489"/>
    <cellStyle name="T_Book1_01 modul tvql 06 08 09_thaotuan luong 102011" xfId="490"/>
    <cellStyle name="T_Book1_01 modul tvql 06 08 09_thaotuan luong 102011 v2" xfId="491"/>
    <cellStyle name="T_Book1_DA - BL 062011 (new)" xfId="492"/>
    <cellStyle name="T_Book1_DAINAM" xfId="493"/>
    <cellStyle name="T_Book1_DAINAM_DA - BL 062011 (new)" xfId="494"/>
    <cellStyle name="T_Book1_DAINAM_thaotuan luong 102011" xfId="495"/>
    <cellStyle name="T_Book1_DAINAM_thaotuan luong 102011 v2" xfId="496"/>
    <cellStyle name="T_Book1_DSKH" xfId="497"/>
    <cellStyle name="T_Book1_DSKH_J&amp;J BCC+BL 082011 v2" xfId="498"/>
    <cellStyle name="T_Book1_DSKH_thaotuan luong 102011 v2" xfId="499"/>
    <cellStyle name="T_Book1_DUNG TIEN" xfId="500"/>
    <cellStyle name="T_Book1_DUNG TIEN MAUKETOAN" xfId="501"/>
    <cellStyle name="T_Book1_DUNG TIEN MAUKETOAN_J&amp;J BCC+BL 082011 v2" xfId="502"/>
    <cellStyle name="T_Book1_DUNG TIEN MAUKETOAN_thaotuan luong 102011 v2" xfId="503"/>
    <cellStyle name="T_Book1_DUNG TIEN_DA - BL 062011 (new)" xfId="504"/>
    <cellStyle name="T_Book1_DUNG TIEN_thaotuan luong 102011" xfId="505"/>
    <cellStyle name="T_Book1_DUNG TIEN_thaotuan luong 102011 v2" xfId="506"/>
    <cellStyle name="T_Book1_hiep thanh bao gia thang 2008" xfId="507"/>
    <cellStyle name="T_Book1_hiep thanh bao gia thang 2008_DA - BL 062011 (new)" xfId="508"/>
    <cellStyle name="T_Book1_hiep thanh bao gia thang 2008_thaotuan luong 102011" xfId="509"/>
    <cellStyle name="T_Book1_hiep thanh bao gia thang 2008_thaotuan luong 102011 v2" xfId="510"/>
    <cellStyle name="T_Book1_NS DANH MUC  CONGVIEC" xfId="511"/>
    <cellStyle name="T_Book1_NS DANH MUC  CONGVIEC_DA - BL 062011 (new)" xfId="512"/>
    <cellStyle name="T_Book1_NS DANH MUC  CONGVIEC_thaotuan luong 102011" xfId="513"/>
    <cellStyle name="T_Book1_NS DANH MUC  CONGVIEC_thaotuan luong 102011 v2" xfId="514"/>
    <cellStyle name="T_Book1_thaotuan luong 102011" xfId="515"/>
    <cellStyle name="T_Book1_thaotuan luong 102011 v2" xfId="516"/>
    <cellStyle name="T_Book1_VIVA SO QUY 2009" xfId="517"/>
    <cellStyle name="T_Book1_VIVA SO QUY 2009_J&amp;J BCC+BL 082011 v2" xfId="518"/>
    <cellStyle name="T_Book1_VIVA SO QUY 2009_thaotuan luong 102011 v2" xfId="519"/>
    <cellStyle name="T_Copy of VT - BHXH-Q.Phu Nhuan" xfId="520"/>
    <cellStyle name="T_Copy of VT - BHXH-Q.Phu Nhuan_DA - BL 062011 (new)" xfId="521"/>
    <cellStyle name="T_Copy of VT - BHXH-Q.Phu Nhuan_thaotuan luong 102011" xfId="522"/>
    <cellStyle name="T_Copy of VT - BHXH-Q.Phu Nhuan_thaotuan luong 102011 v2" xfId="523"/>
    <cellStyle name="T_DAINAM" xfId="524"/>
    <cellStyle name="T_DAINAM_J&amp;J BCC+BL 082011 v2" xfId="525"/>
    <cellStyle name="T_DAINAM_thaotuan luong 102011 v2" xfId="526"/>
    <cellStyle name="T_DSKH" xfId="527"/>
    <cellStyle name="T_DSKH_DA - BL 062011 (new)" xfId="528"/>
    <cellStyle name="T_DSKH_thaotuan luong 102011" xfId="529"/>
    <cellStyle name="T_DSKH_thaotuan luong 102011 v2" xfId="530"/>
    <cellStyle name="T_DUNG TIEN" xfId="531"/>
    <cellStyle name="T_DUNG TIEN MAUKETOAN" xfId="532"/>
    <cellStyle name="T_DUNG TIEN MAUKETOAN_DA - BL 062011 (new)" xfId="533"/>
    <cellStyle name="T_DUNG TIEN MAUKETOAN_thaotuan luong 102011" xfId="534"/>
    <cellStyle name="T_DUNG TIEN MAUKETOAN_thaotuan luong 102011 v2" xfId="535"/>
    <cellStyle name="T_DUNG TIEN_J&amp;J BCC+BL 082011 v2" xfId="536"/>
    <cellStyle name="T_DUNG TIEN_thaotuan luong 102011 v2" xfId="537"/>
    <cellStyle name="T_hiep thanh bao gia thang 2008" xfId="538"/>
    <cellStyle name="T_hiep thanh bao gia thang 2008_J&amp;J BCC+BL 082011 v2" xfId="539"/>
    <cellStyle name="T_hiep thanh bao gia thang 2008_thaotuan luong 102011 v2" xfId="540"/>
    <cellStyle name="T_HNC- BHXH quy 4-07" xfId="541"/>
    <cellStyle name="T_HNC- BHXH quy 4-07_DA - BL 062011 (new)" xfId="542"/>
    <cellStyle name="T_HNC- BHXH quy 4-07_thaotuan luong 102011" xfId="543"/>
    <cellStyle name="T_HNC- BHXH quy 4-07_thaotuan luong 102011 v2" xfId="544"/>
    <cellStyle name="T_J&amp;J BCC+BL 082011 v2" xfId="545"/>
    <cellStyle name="T_NS DANH MUC  CONGVIEC" xfId="546"/>
    <cellStyle name="T_NS DANH MUC  CONGVIEC_J&amp;J BCC+BL 082011 v2" xfId="547"/>
    <cellStyle name="T_NS DANH MUC  CONGVIEC_thaotuan luong 102011 v2" xfId="548"/>
    <cellStyle name="T_thaotuan luong 102011 v2" xfId="549"/>
    <cellStyle name="T_VIVA SO QUY 2009" xfId="550"/>
    <cellStyle name="T_VIVA SO QUY 2009_DA - BL 062011 (new)" xfId="551"/>
    <cellStyle name="T_VIVA SO QUY 2009_thaotuan luong 102011" xfId="552"/>
    <cellStyle name="T_VIVA SO QUY 2009_thaotuan luong 102011 v2" xfId="553"/>
    <cellStyle name="tde" xfId="554"/>
    <cellStyle name="Text Indent A" xfId="555"/>
    <cellStyle name="Text Indent B" xfId="556"/>
    <cellStyle name="Text Indent C" xfId="557"/>
    <cellStyle name="th" xfId="558"/>
    <cellStyle name="þ_x001d_ð¤_x000c_¯þ_x0014__x000d_¨þU_x0001_À_x0004_ _x0015__x000f__x0001__x0001_" xfId="559"/>
    <cellStyle name="Tiªu ®Ì" xfId="560"/>
    <cellStyle name="Times New Roman" xfId="561"/>
    <cellStyle name="TiÓu môc" xfId="562"/>
    <cellStyle name="Title" xfId="563" builtinId="15" customBuiltin="1"/>
    <cellStyle name="Total" xfId="564" builtinId="25" customBuiltin="1"/>
    <cellStyle name="Tusental (0)_pldt" xfId="565"/>
    <cellStyle name="Tusental_pldt" xfId="566"/>
    <cellStyle name="Valuta (0)_pldt" xfId="567"/>
    <cellStyle name="Valuta_pldt" xfId="568"/>
    <cellStyle name="viet" xfId="569"/>
    <cellStyle name="viet2" xfId="570"/>
    <cellStyle name="vntxt2" xfId="571"/>
    <cellStyle name="Währung [0]_UXO VII" xfId="572"/>
    <cellStyle name="Währung_UXO VII" xfId="573"/>
    <cellStyle name="Warning Text" xfId="574" builtinId="11" customBuiltin="1"/>
    <cellStyle name="xuan" xfId="575"/>
    <cellStyle name="Обычный_Elec-12 Fin" xfId="576"/>
    <cellStyle name="เครื่องหมายสกุลเงิน [0]_FTC_OFFER" xfId="577"/>
    <cellStyle name="เครื่องหมายสกุลเงิน_FTC_OFFER" xfId="578"/>
    <cellStyle name="ปกติ_FTC_OFFER" xfId="579"/>
    <cellStyle name=" [0.00]_ Att. 1- Cover" xfId="604"/>
    <cellStyle name="_ Att. 1- Cover" xfId="605"/>
    <cellStyle name="?_ Att. 1- Cover" xfId="606"/>
    <cellStyle name="똿뗦먛귟 [0.00]_PRODUCT DETAIL Q1" xfId="580"/>
    <cellStyle name="똿뗦먛귟_PRODUCT DETAIL Q1" xfId="581"/>
    <cellStyle name="믅됞 [0.00]_PRODUCT DETAIL Q1" xfId="582"/>
    <cellStyle name="믅됞_PRODUCT DETAIL Q1" xfId="583"/>
    <cellStyle name="백분율_95" xfId="584"/>
    <cellStyle name="뷭?_BOOKSHIP" xfId="585"/>
    <cellStyle name="쉼표 [0]_PCS-3~1" xfId="586"/>
    <cellStyle name="쉼표_EQ_ROOM cost" xfId="587"/>
    <cellStyle name="콤마 [0]_ 비목별 월별기술 " xfId="591"/>
    <cellStyle name="콤마_ 비목별 월별기술 " xfId="592"/>
    <cellStyle name="통화 [0]_1202" xfId="593"/>
    <cellStyle name="통화_1202" xfId="594"/>
    <cellStyle name="표준_(정보부문)월별인원계획" xfId="595"/>
    <cellStyle name="一般_00Q3902REV.1" xfId="588"/>
    <cellStyle name="千分位[0]_00Q3902REV.1" xfId="589"/>
    <cellStyle name="千分位_00Q3902REV.1" xfId="590"/>
    <cellStyle name="桁区切り [0.00]_List-dwg瑩畳䵜楡" xfId="596"/>
    <cellStyle name="桁区切り_List-dwgist-" xfId="597"/>
    <cellStyle name="標準_List-dwgis" xfId="598"/>
    <cellStyle name="貨幣 [0]_00Q3902REV.1" xfId="599"/>
    <cellStyle name="貨幣[0]_BRE" xfId="600"/>
    <cellStyle name="貨幣_00Q3902REV.1" xfId="601"/>
    <cellStyle name="通貨 [0.00]_List-dwgwg" xfId="602"/>
    <cellStyle name="通貨_List-dwgis" xfId="603"/>
  </cellStyles>
  <dxfs count="181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indexed="33"/>
  </sheetPr>
  <dimension ref="A1:Z110"/>
  <sheetViews>
    <sheetView tabSelected="1" topLeftCell="A8" workbookViewId="0">
      <pane ySplit="3" topLeftCell="A11" activePane="bottomLeft" state="frozen"/>
      <selection activeCell="A8" sqref="A8"/>
      <selection pane="bottomLeft" activeCell="E18" sqref="E18:E20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11.42578125" style="2" customWidth="1"/>
    <col min="5" max="5" width="10.85546875" style="47" customWidth="1"/>
    <col min="6" max="6" width="10.85546875" style="30" customWidth="1"/>
    <col min="7" max="8" width="9.7109375" style="30" hidden="1" customWidth="1"/>
    <col min="9" max="9" width="10.5703125" style="2" hidden="1" customWidth="1"/>
    <col min="10" max="22" width="10.5703125" style="2" customWidth="1"/>
    <col min="23" max="23" width="10.85546875" style="47" customWidth="1"/>
    <col min="24" max="24" width="13.28515625" style="47" customWidth="1"/>
    <col min="25" max="26" width="11.85546875" style="47" customWidth="1"/>
    <col min="27" max="16384" width="9.140625" style="2"/>
  </cols>
  <sheetData>
    <row r="1" spans="1:26" ht="15">
      <c r="A1" s="1" t="s">
        <v>152</v>
      </c>
    </row>
    <row r="2" spans="1:26" ht="15">
      <c r="A2" s="1" t="s">
        <v>153</v>
      </c>
    </row>
    <row r="3" spans="1:26" ht="15">
      <c r="A3" s="1"/>
    </row>
    <row r="4" spans="1:26">
      <c r="A4" s="107"/>
      <c r="B4" s="107"/>
    </row>
    <row r="5" spans="1:26" ht="23.25" customHeight="1">
      <c r="A5" s="236" t="s">
        <v>35</v>
      </c>
      <c r="B5" s="236"/>
      <c r="C5" s="236"/>
      <c r="D5" s="236"/>
      <c r="E5" s="236"/>
      <c r="F5" s="236"/>
      <c r="G5" s="236"/>
      <c r="H5" s="236"/>
      <c r="I5" s="236"/>
      <c r="J5" s="236"/>
      <c r="K5" s="236"/>
      <c r="L5" s="236"/>
      <c r="M5" s="236"/>
      <c r="N5" s="236"/>
      <c r="O5" s="236"/>
      <c r="P5" s="236"/>
      <c r="Q5" s="236"/>
      <c r="R5" s="236"/>
      <c r="S5" s="236"/>
      <c r="T5" s="236"/>
      <c r="U5" s="236"/>
      <c r="V5" s="236"/>
      <c r="W5" s="236"/>
      <c r="X5" s="236"/>
    </row>
    <row r="6" spans="1:26" ht="23.25" customHeight="1">
      <c r="A6" s="237" t="str">
        <f>"Tháng "&amp;'CC -5'!C4&amp;" năm 2011"</f>
        <v>Tháng  năm 2011</v>
      </c>
      <c r="B6" s="237"/>
      <c r="C6" s="237"/>
      <c r="D6" s="237"/>
      <c r="E6" s="237"/>
      <c r="F6" s="237"/>
      <c r="G6" s="237"/>
      <c r="H6" s="237"/>
      <c r="I6" s="237"/>
      <c r="J6" s="237"/>
      <c r="K6" s="237"/>
      <c r="L6" s="237"/>
      <c r="M6" s="237"/>
      <c r="N6" s="237"/>
      <c r="O6" s="237"/>
      <c r="P6" s="237"/>
      <c r="Q6" s="237"/>
      <c r="R6" s="237"/>
      <c r="S6" s="237"/>
      <c r="T6" s="237"/>
      <c r="U6" s="237"/>
      <c r="V6" s="237"/>
      <c r="W6" s="237"/>
      <c r="X6" s="237"/>
    </row>
    <row r="7" spans="1:26" s="125" customFormat="1" ht="19.5" customHeight="1">
      <c r="A7" s="123"/>
      <c r="B7" s="123"/>
      <c r="C7" s="123"/>
      <c r="D7" s="123"/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4"/>
      <c r="Z7" s="124"/>
    </row>
    <row r="8" spans="1:26" s="1" customFormat="1" ht="20.25" customHeight="1">
      <c r="A8" s="238" t="s">
        <v>19</v>
      </c>
      <c r="B8" s="238" t="s">
        <v>3</v>
      </c>
      <c r="C8" s="238" t="s">
        <v>1</v>
      </c>
      <c r="D8" s="238" t="s">
        <v>2</v>
      </c>
      <c r="E8" s="241" t="s">
        <v>56</v>
      </c>
      <c r="F8" s="241"/>
      <c r="G8" s="241" t="s">
        <v>36</v>
      </c>
      <c r="H8" s="241"/>
      <c r="I8" s="241" t="s">
        <v>24</v>
      </c>
      <c r="J8" s="241" t="s">
        <v>33</v>
      </c>
      <c r="K8" s="241"/>
      <c r="L8" s="241"/>
      <c r="M8" s="241"/>
      <c r="N8" s="241"/>
      <c r="O8" s="241"/>
      <c r="P8" s="241"/>
      <c r="Q8" s="241"/>
      <c r="R8" s="241"/>
      <c r="S8" s="241"/>
      <c r="T8" s="241"/>
      <c r="U8" s="241"/>
      <c r="V8" s="239" t="s">
        <v>39</v>
      </c>
      <c r="W8" s="239" t="s">
        <v>23</v>
      </c>
      <c r="X8" s="239" t="s">
        <v>11</v>
      </c>
      <c r="Y8" s="105"/>
      <c r="Z8" s="105"/>
    </row>
    <row r="9" spans="1:26" s="1" customFormat="1" ht="20.25" customHeight="1">
      <c r="A9" s="238"/>
      <c r="B9" s="238"/>
      <c r="C9" s="238"/>
      <c r="D9" s="238"/>
      <c r="E9" s="170" t="s">
        <v>189</v>
      </c>
      <c r="F9" s="170" t="s">
        <v>188</v>
      </c>
      <c r="G9" s="169" t="s">
        <v>57</v>
      </c>
      <c r="H9" s="169" t="s">
        <v>38</v>
      </c>
      <c r="I9" s="241"/>
      <c r="J9" s="169" t="s">
        <v>104</v>
      </c>
      <c r="K9" s="169" t="s">
        <v>105</v>
      </c>
      <c r="L9" s="169" t="s">
        <v>106</v>
      </c>
      <c r="M9" s="169" t="s">
        <v>107</v>
      </c>
      <c r="N9" s="169" t="s">
        <v>108</v>
      </c>
      <c r="O9" s="169" t="s">
        <v>109</v>
      </c>
      <c r="P9" s="169" t="s">
        <v>110</v>
      </c>
      <c r="Q9" s="169" t="s">
        <v>111</v>
      </c>
      <c r="R9" s="169" t="s">
        <v>112</v>
      </c>
      <c r="S9" s="169" t="s">
        <v>113</v>
      </c>
      <c r="T9" s="169" t="s">
        <v>114</v>
      </c>
      <c r="U9" s="169" t="s">
        <v>115</v>
      </c>
      <c r="V9" s="240"/>
      <c r="W9" s="240"/>
      <c r="X9" s="240"/>
      <c r="Y9" s="105"/>
      <c r="Z9" s="105"/>
    </row>
    <row r="10" spans="1:26" ht="14.25" customHeight="1">
      <c r="A10" s="127">
        <v>1</v>
      </c>
      <c r="B10" s="127">
        <v>1</v>
      </c>
      <c r="C10" s="127">
        <v>2</v>
      </c>
      <c r="D10" s="127">
        <v>3</v>
      </c>
      <c r="E10" s="127">
        <v>4</v>
      </c>
      <c r="F10" s="127">
        <v>5</v>
      </c>
      <c r="G10" s="127">
        <v>6</v>
      </c>
      <c r="H10" s="127">
        <v>7</v>
      </c>
      <c r="I10" s="127">
        <v>8</v>
      </c>
      <c r="J10" s="127">
        <v>9</v>
      </c>
      <c r="K10" s="127">
        <v>10</v>
      </c>
      <c r="L10" s="127">
        <v>11</v>
      </c>
      <c r="M10" s="127">
        <v>12</v>
      </c>
      <c r="N10" s="127">
        <v>13</v>
      </c>
      <c r="O10" s="127">
        <v>14</v>
      </c>
      <c r="P10" s="127">
        <v>15</v>
      </c>
      <c r="Q10" s="127">
        <v>16</v>
      </c>
      <c r="R10" s="127">
        <v>17</v>
      </c>
      <c r="S10" s="127">
        <v>18</v>
      </c>
      <c r="T10" s="127">
        <v>19</v>
      </c>
      <c r="U10" s="127">
        <v>20</v>
      </c>
      <c r="V10" s="127">
        <v>21</v>
      </c>
      <c r="W10" s="127">
        <v>22</v>
      </c>
      <c r="X10" s="127">
        <v>23</v>
      </c>
    </row>
    <row r="11" spans="1:26" s="158" customFormat="1" ht="21.75" customHeight="1">
      <c r="A11" s="155">
        <f>IF(B11&lt;&gt;"",ROW()-10,"")</f>
        <v>1</v>
      </c>
      <c r="B11" s="155" t="s">
        <v>159</v>
      </c>
      <c r="C11" s="159" t="s">
        <v>164</v>
      </c>
      <c r="D11" s="155" t="s">
        <v>165</v>
      </c>
      <c r="E11" s="188">
        <v>5000000</v>
      </c>
      <c r="F11" s="188">
        <v>4500000</v>
      </c>
      <c r="G11" s="150">
        <v>390000</v>
      </c>
      <c r="H11" s="150"/>
      <c r="I11" s="150"/>
      <c r="J11" s="150"/>
      <c r="K11" s="150"/>
      <c r="L11" s="150"/>
      <c r="M11" s="150"/>
      <c r="N11" s="150"/>
      <c r="O11" s="150"/>
      <c r="P11" s="150"/>
      <c r="Q11" s="150"/>
      <c r="R11" s="150"/>
      <c r="S11" s="150"/>
      <c r="T11" s="150"/>
      <c r="U11" s="150"/>
      <c r="V11" s="150"/>
      <c r="W11" s="150"/>
      <c r="X11" s="150"/>
      <c r="Y11" s="156"/>
      <c r="Z11" s="157"/>
    </row>
    <row r="12" spans="1:26" s="158" customFormat="1" ht="21.75" customHeight="1">
      <c r="A12" s="155">
        <f t="shared" ref="A12:A21" si="0">IF(B12&lt;&gt;"",ROW()-10,"")</f>
        <v>2</v>
      </c>
      <c r="B12" s="155" t="s">
        <v>160</v>
      </c>
      <c r="C12" s="159" t="s">
        <v>172</v>
      </c>
      <c r="D12" s="155" t="s">
        <v>173</v>
      </c>
      <c r="E12" s="188">
        <v>5000000</v>
      </c>
      <c r="F12" s="188">
        <v>4500000</v>
      </c>
      <c r="G12" s="150">
        <v>390000</v>
      </c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6"/>
      <c r="Z12" s="157"/>
    </row>
    <row r="13" spans="1:26" s="158" customFormat="1" ht="21.75" customHeight="1">
      <c r="A13" s="155">
        <f t="shared" si="0"/>
        <v>3</v>
      </c>
      <c r="B13" s="155" t="s">
        <v>168</v>
      </c>
      <c r="C13" s="159" t="s">
        <v>174</v>
      </c>
      <c r="D13" s="155" t="s">
        <v>175</v>
      </c>
      <c r="E13" s="188">
        <v>5500000</v>
      </c>
      <c r="F13" s="188">
        <v>5000000</v>
      </c>
      <c r="G13" s="150">
        <v>390000</v>
      </c>
      <c r="H13" s="150"/>
      <c r="I13" s="150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0"/>
      <c r="Y13" s="156"/>
      <c r="Z13" s="157"/>
    </row>
    <row r="14" spans="1:26" s="167" customFormat="1" ht="21.75" customHeight="1">
      <c r="A14" s="161">
        <f t="shared" si="0"/>
        <v>4</v>
      </c>
      <c r="B14" s="162" t="s">
        <v>161</v>
      </c>
      <c r="C14" s="163" t="s">
        <v>166</v>
      </c>
      <c r="D14" s="161" t="s">
        <v>167</v>
      </c>
      <c r="E14" s="164">
        <v>5000000</v>
      </c>
      <c r="F14" s="164">
        <v>4500000</v>
      </c>
      <c r="G14" s="164">
        <v>390000</v>
      </c>
      <c r="H14" s="164"/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5"/>
      <c r="Z14" s="166"/>
    </row>
    <row r="15" spans="1:26" s="167" customFormat="1" ht="21.75" customHeight="1">
      <c r="A15" s="161">
        <f t="shared" ref="A15:A20" si="1">IF(B15&lt;&gt;"",ROW()-10,"")</f>
        <v>5</v>
      </c>
      <c r="B15" s="162" t="s">
        <v>162</v>
      </c>
      <c r="C15" s="163" t="s">
        <v>180</v>
      </c>
      <c r="D15" s="161" t="s">
        <v>181</v>
      </c>
      <c r="E15" s="164">
        <v>5000000</v>
      </c>
      <c r="F15" s="164">
        <v>4500000</v>
      </c>
      <c r="G15" s="164">
        <v>390000</v>
      </c>
      <c r="H15" s="164"/>
      <c r="I15" s="164"/>
      <c r="J15" s="164"/>
      <c r="K15" s="164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5"/>
      <c r="Z15" s="166"/>
    </row>
    <row r="16" spans="1:26" s="167" customFormat="1" ht="21.75" customHeight="1">
      <c r="A16" s="161">
        <f t="shared" si="1"/>
        <v>6</v>
      </c>
      <c r="B16" s="162" t="s">
        <v>163</v>
      </c>
      <c r="C16" s="163" t="s">
        <v>182</v>
      </c>
      <c r="D16" s="161" t="s">
        <v>181</v>
      </c>
      <c r="E16" s="164">
        <v>4200000</v>
      </c>
      <c r="F16" s="164">
        <v>3700000</v>
      </c>
      <c r="G16" s="164">
        <v>390000</v>
      </c>
      <c r="H16" s="164"/>
      <c r="I16" s="164"/>
      <c r="J16" s="164"/>
      <c r="K16" s="164"/>
      <c r="L16" s="164"/>
      <c r="M16" s="164"/>
      <c r="N16" s="164"/>
      <c r="O16" s="164"/>
      <c r="P16" s="164"/>
      <c r="Q16" s="164"/>
      <c r="R16" s="164"/>
      <c r="S16" s="164"/>
      <c r="T16" s="164"/>
      <c r="U16" s="164"/>
      <c r="V16" s="164"/>
      <c r="W16" s="164"/>
      <c r="X16" s="164"/>
      <c r="Y16" s="165"/>
      <c r="Z16" s="166"/>
    </row>
    <row r="17" spans="1:26" ht="21.75" customHeight="1">
      <c r="A17" s="161">
        <f t="shared" si="1"/>
        <v>7</v>
      </c>
      <c r="B17" s="162" t="s">
        <v>176</v>
      </c>
      <c r="C17" s="228" t="s">
        <v>183</v>
      </c>
      <c r="D17" s="162" t="s">
        <v>181</v>
      </c>
      <c r="E17" s="164">
        <v>4200000</v>
      </c>
      <c r="F17" s="164">
        <v>3700000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05"/>
    </row>
    <row r="18" spans="1:26" s="167" customFormat="1" ht="21.75" customHeight="1">
      <c r="A18" s="161">
        <f t="shared" si="1"/>
        <v>8</v>
      </c>
      <c r="B18" s="162" t="s">
        <v>177</v>
      </c>
      <c r="C18" s="163" t="s">
        <v>184</v>
      </c>
      <c r="D18" s="161" t="s">
        <v>185</v>
      </c>
      <c r="E18" s="164">
        <v>5000000</v>
      </c>
      <c r="F18" s="164">
        <v>4500000</v>
      </c>
      <c r="G18" s="164">
        <v>390000</v>
      </c>
      <c r="H18" s="164"/>
      <c r="I18" s="164"/>
      <c r="J18" s="164"/>
      <c r="K18" s="164"/>
      <c r="L18" s="164"/>
      <c r="M18" s="164"/>
      <c r="N18" s="164"/>
      <c r="O18" s="164"/>
      <c r="P18" s="164"/>
      <c r="Q18" s="164"/>
      <c r="R18" s="164"/>
      <c r="S18" s="164"/>
      <c r="T18" s="164"/>
      <c r="U18" s="164"/>
      <c r="V18" s="164"/>
      <c r="W18" s="164"/>
      <c r="X18" s="164"/>
      <c r="Y18" s="165"/>
      <c r="Z18" s="166"/>
    </row>
    <row r="19" spans="1:26" s="167" customFormat="1" ht="21.75" customHeight="1">
      <c r="A19" s="161">
        <f t="shared" si="1"/>
        <v>9</v>
      </c>
      <c r="B19" s="162" t="s">
        <v>178</v>
      </c>
      <c r="C19" s="163" t="s">
        <v>186</v>
      </c>
      <c r="D19" s="161" t="s">
        <v>185</v>
      </c>
      <c r="E19" s="164">
        <v>4200000</v>
      </c>
      <c r="F19" s="164">
        <v>3700000</v>
      </c>
      <c r="G19" s="164">
        <v>390000</v>
      </c>
      <c r="H19" s="164"/>
      <c r="I19" s="164"/>
      <c r="J19" s="164"/>
      <c r="K19" s="164"/>
      <c r="L19" s="164"/>
      <c r="M19" s="164"/>
      <c r="N19" s="164"/>
      <c r="O19" s="164"/>
      <c r="P19" s="164"/>
      <c r="Q19" s="164"/>
      <c r="R19" s="164"/>
      <c r="S19" s="164"/>
      <c r="T19" s="164"/>
      <c r="U19" s="164"/>
      <c r="V19" s="164"/>
      <c r="W19" s="164"/>
      <c r="X19" s="164"/>
      <c r="Y19" s="165"/>
      <c r="Z19" s="166"/>
    </row>
    <row r="20" spans="1:26" ht="21.75" customHeight="1">
      <c r="A20" s="161">
        <f t="shared" si="1"/>
        <v>10</v>
      </c>
      <c r="B20" s="162" t="s">
        <v>179</v>
      </c>
      <c r="C20" s="228" t="s">
        <v>187</v>
      </c>
      <c r="D20" s="162" t="s">
        <v>185</v>
      </c>
      <c r="E20" s="164">
        <v>4200000</v>
      </c>
      <c r="F20" s="164">
        <v>3700000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05"/>
    </row>
    <row r="21" spans="1:26" ht="21.75" customHeight="1">
      <c r="A21" s="155" t="str">
        <f t="shared" si="0"/>
        <v/>
      </c>
      <c r="B21" s="140"/>
      <c r="C21" s="147"/>
      <c r="D21" s="146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05"/>
    </row>
    <row r="22" spans="1:26" ht="21.75" customHeight="1">
      <c r="A22" s="230" t="s">
        <v>25</v>
      </c>
      <c r="B22" s="231"/>
      <c r="C22" s="231"/>
      <c r="D22" s="152" t="s">
        <v>134</v>
      </c>
      <c r="E22" s="149">
        <f>SUM(E11:E21)</f>
        <v>47300000</v>
      </c>
      <c r="F22" s="149">
        <f>SUM(F11:F21)</f>
        <v>42300000</v>
      </c>
      <c r="G22" s="149">
        <f>SUM(G11:G21)</f>
        <v>3120000</v>
      </c>
      <c r="H22" s="149">
        <f>SUM(H11:H21)</f>
        <v>0</v>
      </c>
      <c r="I22" s="149"/>
      <c r="J22" s="149">
        <f t="shared" ref="J22:U22" si="2">SUMIF(J$11:J$21,"x",$E$11:$E$21)</f>
        <v>0</v>
      </c>
      <c r="K22" s="149">
        <f t="shared" si="2"/>
        <v>0</v>
      </c>
      <c r="L22" s="149">
        <f t="shared" si="2"/>
        <v>0</v>
      </c>
      <c r="M22" s="149">
        <f t="shared" si="2"/>
        <v>0</v>
      </c>
      <c r="N22" s="149">
        <f t="shared" si="2"/>
        <v>0</v>
      </c>
      <c r="O22" s="149">
        <f t="shared" si="2"/>
        <v>0</v>
      </c>
      <c r="P22" s="149">
        <f t="shared" si="2"/>
        <v>0</v>
      </c>
      <c r="Q22" s="149">
        <f t="shared" si="2"/>
        <v>0</v>
      </c>
      <c r="R22" s="149">
        <f t="shared" si="2"/>
        <v>0</v>
      </c>
      <c r="S22" s="149">
        <f t="shared" si="2"/>
        <v>0</v>
      </c>
      <c r="T22" s="149">
        <f t="shared" si="2"/>
        <v>0</v>
      </c>
      <c r="U22" s="149">
        <f t="shared" si="2"/>
        <v>0</v>
      </c>
      <c r="V22" s="149"/>
      <c r="W22" s="149"/>
      <c r="X22" s="149"/>
      <c r="Y22" s="105"/>
    </row>
    <row r="23" spans="1:26" ht="21.75" customHeight="1">
      <c r="A23" s="232"/>
      <c r="B23" s="233"/>
      <c r="C23" s="233"/>
      <c r="D23" s="152" t="s">
        <v>135</v>
      </c>
      <c r="E23" s="149"/>
      <c r="F23" s="149"/>
      <c r="G23" s="149"/>
      <c r="H23" s="149"/>
      <c r="I23" s="149"/>
      <c r="J23" s="149">
        <f t="array" ref="J23">SUM((J$11:J$21="x")*1)</f>
        <v>0</v>
      </c>
      <c r="K23" s="149">
        <f t="array" ref="K23">SUM((K$11:K$21="x")*1)</f>
        <v>0</v>
      </c>
      <c r="L23" s="149">
        <f t="array" ref="L23">SUM((L$11:L$21="x")*1)</f>
        <v>0</v>
      </c>
      <c r="M23" s="149">
        <f t="array" ref="M23">SUM((M$11:M$21="x")*1)</f>
        <v>0</v>
      </c>
      <c r="N23" s="149">
        <f t="array" ref="N23">SUM((N$11:N$21="x")*1)</f>
        <v>0</v>
      </c>
      <c r="O23" s="149">
        <f t="array" ref="O23">SUM((O$11:O$21="x")*1)</f>
        <v>0</v>
      </c>
      <c r="P23" s="149">
        <f t="array" ref="P23">SUM((P$11:P$21="x")*1)</f>
        <v>0</v>
      </c>
      <c r="Q23" s="149">
        <f t="array" ref="Q23">SUM((Q$11:Q$21="x")*1)</f>
        <v>0</v>
      </c>
      <c r="R23" s="149">
        <f t="array" ref="R23">SUM((R$11:R$21="x")*1)</f>
        <v>0</v>
      </c>
      <c r="S23" s="149">
        <f t="array" ref="S23">SUM((S$11:S$21="x")*1)</f>
        <v>0</v>
      </c>
      <c r="T23" s="149">
        <f t="array" ref="T23">SUM((T$11:T$21="x")*1)</f>
        <v>0</v>
      </c>
      <c r="U23" s="149">
        <f t="array" ref="U23">SUM((U$11:U$21="x")*1)</f>
        <v>0</v>
      </c>
      <c r="V23" s="149"/>
      <c r="W23" s="149"/>
      <c r="X23" s="149"/>
      <c r="Y23" s="105"/>
    </row>
    <row r="24" spans="1:26" ht="21.75" customHeight="1">
      <c r="A24" s="234"/>
      <c r="B24" s="235"/>
      <c r="C24" s="235"/>
      <c r="D24" s="152" t="s">
        <v>136</v>
      </c>
      <c r="E24" s="149"/>
      <c r="F24" s="149"/>
      <c r="G24" s="149"/>
      <c r="H24" s="149"/>
      <c r="I24" s="149"/>
      <c r="J24" s="149"/>
      <c r="K24" s="149"/>
      <c r="L24" s="149"/>
      <c r="M24" s="149"/>
      <c r="N24" s="149"/>
      <c r="O24" s="149"/>
      <c r="P24" s="149"/>
      <c r="Q24" s="149"/>
      <c r="R24" s="149"/>
      <c r="S24" s="149"/>
      <c r="T24" s="149"/>
      <c r="U24" s="149"/>
      <c r="V24" s="149"/>
      <c r="W24" s="149"/>
      <c r="X24" s="149"/>
      <c r="Y24" s="105"/>
    </row>
    <row r="25" spans="1:26" ht="11.25" customHeight="1">
      <c r="A25" s="18"/>
      <c r="B25" s="18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</row>
    <row r="26" spans="1:26" ht="11.25" customHeight="1">
      <c r="A26" s="18"/>
      <c r="B26" s="18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106" t="s">
        <v>55</v>
      </c>
      <c r="X26" s="76"/>
    </row>
    <row r="27" spans="1:26" ht="16.5" customHeight="1">
      <c r="A27" s="18"/>
      <c r="B27" s="18"/>
      <c r="C27" s="19" t="s">
        <v>14</v>
      </c>
      <c r="D27" s="20"/>
      <c r="E27" s="21"/>
      <c r="F27" s="29"/>
      <c r="G27" s="29"/>
      <c r="H27" s="29"/>
      <c r="I27" s="22"/>
      <c r="J27" s="22">
        <v>8278</v>
      </c>
      <c r="K27" s="222">
        <f>E13/27/8</f>
        <v>25462.962962962964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48" t="s">
        <v>22</v>
      </c>
      <c r="X27" s="48"/>
    </row>
    <row r="28" spans="1:26" ht="11.25" customHeight="1">
      <c r="A28" s="18"/>
      <c r="B28" s="18"/>
      <c r="C28" s="19"/>
      <c r="D28" s="20"/>
      <c r="E28" s="21"/>
      <c r="F28" s="29"/>
      <c r="G28" s="29"/>
      <c r="H28" s="29"/>
      <c r="I28" s="22"/>
      <c r="J28" s="22"/>
      <c r="K28" s="22">
        <f>J27/K27</f>
        <v>0.32509963636363637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48"/>
      <c r="X28" s="48"/>
    </row>
    <row r="29" spans="1:26" ht="11.25" customHeight="1">
      <c r="A29" s="18"/>
      <c r="B29" s="18"/>
      <c r="C29" s="19"/>
      <c r="D29" s="20"/>
      <c r="E29" s="21"/>
      <c r="F29" s="29"/>
      <c r="G29" s="29"/>
      <c r="H29" s="29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48"/>
      <c r="X29" s="48"/>
    </row>
    <row r="30" spans="1:26" ht="11.25" customHeight="1">
      <c r="A30" s="18"/>
      <c r="B30" s="18"/>
      <c r="C30" s="19"/>
      <c r="D30" s="20"/>
      <c r="E30" s="21"/>
      <c r="F30" s="29"/>
      <c r="G30" s="29"/>
      <c r="H30" s="29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48"/>
      <c r="X30" s="48"/>
    </row>
    <row r="31" spans="1:26" ht="11.25" customHeight="1">
      <c r="A31" s="18"/>
      <c r="B31" s="18"/>
      <c r="C31" s="19"/>
      <c r="D31" s="20"/>
      <c r="E31" s="21"/>
      <c r="F31" s="29"/>
      <c r="G31" s="29"/>
      <c r="H31" s="29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48"/>
      <c r="X31" s="48"/>
    </row>
    <row r="32" spans="1:26" ht="11.25" customHeight="1">
      <c r="A32" s="18"/>
      <c r="B32" s="18"/>
      <c r="C32" s="19"/>
      <c r="D32" s="20"/>
      <c r="E32" s="21"/>
      <c r="F32" s="29"/>
      <c r="G32" s="29"/>
      <c r="H32" s="29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48"/>
      <c r="X32" s="48"/>
    </row>
    <row r="33" spans="1:24">
      <c r="A33" s="23"/>
      <c r="B33" s="23"/>
      <c r="C33" s="28" t="s">
        <v>21</v>
      </c>
      <c r="D33" s="20"/>
      <c r="E33" s="21"/>
      <c r="F33" s="29"/>
      <c r="G33" s="29"/>
      <c r="H33" s="29"/>
      <c r="I33" s="22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77"/>
      <c r="X33" s="49"/>
    </row>
    <row r="34" spans="1:24" ht="9" customHeight="1">
      <c r="C34" s="45"/>
      <c r="D34" s="45"/>
      <c r="E34" s="21"/>
      <c r="F34" s="50"/>
      <c r="G34" s="50"/>
      <c r="H34" s="50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51"/>
      <c r="X34" s="51"/>
    </row>
    <row r="35" spans="1:24">
      <c r="E35" s="21"/>
    </row>
    <row r="36" spans="1:24">
      <c r="E36" s="21"/>
    </row>
    <row r="49" spans="3:14">
      <c r="C49" s="151"/>
      <c r="G49" s="163" t="s">
        <v>116</v>
      </c>
      <c r="J49" s="2" t="s">
        <v>61</v>
      </c>
      <c r="K49" s="2" t="s">
        <v>116</v>
      </c>
      <c r="M49" s="2" t="str">
        <f>VLOOKUP(K49,$G$49:$J$108,4,0)</f>
        <v>ALTP001</v>
      </c>
      <c r="N49" s="229" t="str">
        <f>M49</f>
        <v>ALTP001</v>
      </c>
    </row>
    <row r="50" spans="3:14">
      <c r="C50" s="151"/>
      <c r="G50" s="163" t="s">
        <v>117</v>
      </c>
      <c r="J50" s="2" t="s">
        <v>62</v>
      </c>
      <c r="K50" s="2" t="s">
        <v>117</v>
      </c>
      <c r="M50" s="2" t="str">
        <f t="shared" ref="M50:M79" si="3">VLOOKUP(K50,$G$49:$J$108,4,0)</f>
        <v>ALTP002</v>
      </c>
      <c r="N50" s="229"/>
    </row>
    <row r="51" spans="3:14">
      <c r="C51" s="151"/>
      <c r="G51" s="163" t="s">
        <v>118</v>
      </c>
      <c r="J51" s="2" t="s">
        <v>63</v>
      </c>
      <c r="K51" s="2" t="s">
        <v>118</v>
      </c>
      <c r="M51" s="2" t="str">
        <f t="shared" si="3"/>
        <v>ALTP003</v>
      </c>
      <c r="N51" s="229" t="str">
        <f>M50</f>
        <v>ALTP002</v>
      </c>
    </row>
    <row r="52" spans="3:14">
      <c r="C52" s="151"/>
      <c r="G52" s="163" t="s">
        <v>119</v>
      </c>
      <c r="J52" s="2" t="s">
        <v>64</v>
      </c>
      <c r="K52" s="2" t="s">
        <v>119</v>
      </c>
      <c r="M52" s="2" t="str">
        <f t="shared" si="3"/>
        <v>ALTP004</v>
      </c>
      <c r="N52" s="229"/>
    </row>
    <row r="53" spans="3:14">
      <c r="C53" s="151"/>
      <c r="G53" s="163" t="s">
        <v>120</v>
      </c>
      <c r="J53" s="2" t="s">
        <v>65</v>
      </c>
      <c r="K53" s="2" t="s">
        <v>120</v>
      </c>
      <c r="M53" s="2" t="str">
        <f t="shared" si="3"/>
        <v>ALTP005</v>
      </c>
      <c r="N53" s="229" t="str">
        <f>M51</f>
        <v>ALTP003</v>
      </c>
    </row>
    <row r="54" spans="3:14">
      <c r="C54" s="151"/>
      <c r="G54" s="163" t="s">
        <v>121</v>
      </c>
      <c r="J54" s="2" t="s">
        <v>66</v>
      </c>
      <c r="K54" s="2" t="s">
        <v>121</v>
      </c>
      <c r="M54" s="2" t="str">
        <f t="shared" si="3"/>
        <v>ALTP006</v>
      </c>
      <c r="N54" s="229"/>
    </row>
    <row r="55" spans="3:14">
      <c r="C55" s="151"/>
      <c r="G55" s="163" t="s">
        <v>122</v>
      </c>
      <c r="J55" s="2" t="s">
        <v>67</v>
      </c>
      <c r="K55" s="2" t="s">
        <v>122</v>
      </c>
      <c r="M55" s="2" t="str">
        <f t="shared" si="3"/>
        <v>ALTP007</v>
      </c>
      <c r="N55" s="229" t="str">
        <f>M52</f>
        <v>ALTP004</v>
      </c>
    </row>
    <row r="56" spans="3:14">
      <c r="C56" s="151"/>
      <c r="G56" s="163" t="s">
        <v>123</v>
      </c>
      <c r="J56" s="2" t="s">
        <v>68</v>
      </c>
      <c r="K56" s="2" t="s">
        <v>123</v>
      </c>
      <c r="M56" s="2" t="str">
        <f t="shared" si="3"/>
        <v>ALTP008</v>
      </c>
      <c r="N56" s="229"/>
    </row>
    <row r="57" spans="3:14">
      <c r="C57" s="151"/>
      <c r="G57" s="163" t="s">
        <v>124</v>
      </c>
      <c r="J57" s="2" t="s">
        <v>69</v>
      </c>
      <c r="K57" s="2" t="s">
        <v>124</v>
      </c>
      <c r="M57" s="2" t="str">
        <f t="shared" si="3"/>
        <v>ALTP009</v>
      </c>
      <c r="N57" s="229" t="str">
        <f>M53</f>
        <v>ALTP005</v>
      </c>
    </row>
    <row r="58" spans="3:14">
      <c r="C58" s="151"/>
      <c r="G58" s="163" t="s">
        <v>125</v>
      </c>
      <c r="J58" s="2" t="s">
        <v>70</v>
      </c>
      <c r="K58" s="2" t="s">
        <v>125</v>
      </c>
      <c r="M58" s="2" t="str">
        <f t="shared" si="3"/>
        <v>ALTP010</v>
      </c>
      <c r="N58" s="229"/>
    </row>
    <row r="59" spans="3:14">
      <c r="C59" s="151"/>
      <c r="G59" s="163" t="s">
        <v>126</v>
      </c>
      <c r="J59" s="2" t="s">
        <v>71</v>
      </c>
      <c r="K59" s="2" t="s">
        <v>126</v>
      </c>
      <c r="M59" s="2" t="str">
        <f t="shared" si="3"/>
        <v>ALTP011</v>
      </c>
      <c r="N59" s="229" t="str">
        <f>M54</f>
        <v>ALTP006</v>
      </c>
    </row>
    <row r="60" spans="3:14">
      <c r="C60" s="151"/>
      <c r="G60" s="163" t="s">
        <v>127</v>
      </c>
      <c r="J60" s="2" t="s">
        <v>72</v>
      </c>
      <c r="K60" s="2" t="s">
        <v>128</v>
      </c>
      <c r="M60" s="2" t="str">
        <f t="shared" si="3"/>
        <v>ALTP013</v>
      </c>
      <c r="N60" s="229"/>
    </row>
    <row r="61" spans="3:14">
      <c r="C61" s="151"/>
      <c r="G61" s="163" t="s">
        <v>128</v>
      </c>
      <c r="J61" s="2" t="s">
        <v>73</v>
      </c>
      <c r="K61" s="2" t="s">
        <v>129</v>
      </c>
      <c r="M61" s="2" t="str">
        <f t="shared" si="3"/>
        <v>ALTP014</v>
      </c>
      <c r="N61" s="229" t="str">
        <f>M55</f>
        <v>ALTP007</v>
      </c>
    </row>
    <row r="62" spans="3:14">
      <c r="C62" s="151"/>
      <c r="G62" s="163" t="s">
        <v>129</v>
      </c>
      <c r="J62" s="2" t="s">
        <v>74</v>
      </c>
      <c r="K62" s="2" t="s">
        <v>130</v>
      </c>
      <c r="M62" s="2" t="str">
        <f t="shared" si="3"/>
        <v>ALTP015</v>
      </c>
      <c r="N62" s="229"/>
    </row>
    <row r="63" spans="3:14">
      <c r="C63" s="151"/>
      <c r="G63" s="163" t="s">
        <v>130</v>
      </c>
      <c r="J63" s="2" t="s">
        <v>75</v>
      </c>
      <c r="K63" s="2" t="s">
        <v>131</v>
      </c>
      <c r="M63" s="2" t="str">
        <f t="shared" si="3"/>
        <v>ALTP016</v>
      </c>
      <c r="N63" s="229" t="str">
        <f>M56</f>
        <v>ALTP008</v>
      </c>
    </row>
    <row r="64" spans="3:14">
      <c r="C64" s="151"/>
      <c r="G64" s="163" t="s">
        <v>131</v>
      </c>
      <c r="J64" s="2" t="s">
        <v>76</v>
      </c>
      <c r="K64" s="2" t="s">
        <v>132</v>
      </c>
      <c r="M64" s="2" t="str">
        <f t="shared" si="3"/>
        <v>ALTP017</v>
      </c>
      <c r="N64" s="229"/>
    </row>
    <row r="65" spans="3:14">
      <c r="C65" s="151"/>
      <c r="G65" s="163" t="s">
        <v>132</v>
      </c>
      <c r="J65" s="2" t="s">
        <v>77</v>
      </c>
      <c r="K65" s="2" t="s">
        <v>133</v>
      </c>
      <c r="M65" s="2" t="str">
        <f t="shared" si="3"/>
        <v>ALTP018</v>
      </c>
      <c r="N65" s="229" t="str">
        <f>M57</f>
        <v>ALTP009</v>
      </c>
    </row>
    <row r="66" spans="3:14">
      <c r="C66" s="151"/>
      <c r="G66" s="163" t="s">
        <v>133</v>
      </c>
      <c r="J66" s="2" t="s">
        <v>78</v>
      </c>
      <c r="K66" s="2" t="s">
        <v>137</v>
      </c>
      <c r="M66" s="2" t="str">
        <f t="shared" si="3"/>
        <v>ALTP019</v>
      </c>
      <c r="N66" s="229"/>
    </row>
    <row r="67" spans="3:14">
      <c r="C67" s="151"/>
      <c r="G67" s="163" t="s">
        <v>137</v>
      </c>
      <c r="J67" s="2" t="s">
        <v>79</v>
      </c>
      <c r="K67" s="2" t="s">
        <v>139</v>
      </c>
      <c r="M67" s="2" t="str">
        <f t="shared" si="3"/>
        <v>ALTP020</v>
      </c>
      <c r="N67" s="229" t="str">
        <f>M58</f>
        <v>ALTP010</v>
      </c>
    </row>
    <row r="68" spans="3:14">
      <c r="C68" s="151"/>
      <c r="G68" s="163" t="s">
        <v>139</v>
      </c>
      <c r="J68" s="2" t="s">
        <v>80</v>
      </c>
      <c r="K68" s="2" t="s">
        <v>144</v>
      </c>
      <c r="M68" s="2" t="str">
        <f t="shared" si="3"/>
        <v>ALTP025</v>
      </c>
      <c r="N68" s="229"/>
    </row>
    <row r="69" spans="3:14">
      <c r="C69" s="151"/>
      <c r="G69" s="163" t="s">
        <v>140</v>
      </c>
      <c r="J69" s="2" t="s">
        <v>81</v>
      </c>
      <c r="K69" s="2" t="s">
        <v>151</v>
      </c>
      <c r="M69" s="2" t="str">
        <f t="shared" si="3"/>
        <v>ALTP027</v>
      </c>
      <c r="N69" s="229" t="str">
        <f>M59</f>
        <v>ALTP011</v>
      </c>
    </row>
    <row r="70" spans="3:14">
      <c r="C70" s="151"/>
      <c r="G70" s="163" t="s">
        <v>141</v>
      </c>
      <c r="J70" s="2" t="s">
        <v>82</v>
      </c>
      <c r="K70" s="2" t="s">
        <v>99</v>
      </c>
      <c r="M70" s="2" t="str">
        <f t="shared" si="3"/>
        <v>ALTN001</v>
      </c>
      <c r="N70" s="229"/>
    </row>
    <row r="71" spans="3:14">
      <c r="C71" s="151"/>
      <c r="G71" s="163" t="s">
        <v>151</v>
      </c>
      <c r="J71" s="2" t="s">
        <v>87</v>
      </c>
      <c r="K71" s="2" t="s">
        <v>100</v>
      </c>
      <c r="M71" s="2" t="str">
        <f t="shared" si="3"/>
        <v>ALTN002</v>
      </c>
      <c r="N71" s="229" t="str">
        <f>M60</f>
        <v>ALTP013</v>
      </c>
    </row>
    <row r="72" spans="3:14">
      <c r="C72" s="151"/>
      <c r="G72" s="2" t="s">
        <v>142</v>
      </c>
      <c r="J72" s="2" t="s">
        <v>83</v>
      </c>
      <c r="K72" s="2" t="s">
        <v>101</v>
      </c>
      <c r="M72" s="2" t="str">
        <f t="shared" si="3"/>
        <v>ALTN003</v>
      </c>
      <c r="N72" s="229"/>
    </row>
    <row r="73" spans="3:14">
      <c r="C73" s="151"/>
      <c r="G73" s="2" t="s">
        <v>143</v>
      </c>
      <c r="J73" s="2" t="s">
        <v>84</v>
      </c>
      <c r="K73" s="2" t="s">
        <v>150</v>
      </c>
      <c r="M73" s="2" t="str">
        <f t="shared" si="3"/>
        <v>ALTN004</v>
      </c>
      <c r="N73" s="229" t="str">
        <f>M61</f>
        <v>ALTP014</v>
      </c>
    </row>
    <row r="74" spans="3:14">
      <c r="C74" s="151"/>
      <c r="G74" s="2" t="s">
        <v>144</v>
      </c>
      <c r="J74" s="2" t="s">
        <v>85</v>
      </c>
      <c r="K74" s="2" t="s">
        <v>103</v>
      </c>
      <c r="M74" s="2" t="str">
        <f t="shared" si="3"/>
        <v>ALTN006</v>
      </c>
      <c r="N74" s="229"/>
    </row>
    <row r="75" spans="3:14">
      <c r="C75" s="151"/>
      <c r="G75" s="2" t="s">
        <v>149</v>
      </c>
      <c r="J75" s="2" t="s">
        <v>86</v>
      </c>
      <c r="K75" s="2" t="s">
        <v>138</v>
      </c>
      <c r="M75" s="2" t="str">
        <f t="shared" si="3"/>
        <v>ALTN007</v>
      </c>
      <c r="N75" s="229" t="str">
        <f>M62</f>
        <v>ALTP015</v>
      </c>
    </row>
    <row r="76" spans="3:14">
      <c r="C76" s="151"/>
      <c r="G76" s="2" t="s">
        <v>99</v>
      </c>
      <c r="J76" s="2" t="s">
        <v>88</v>
      </c>
      <c r="K76" s="2" t="s">
        <v>145</v>
      </c>
      <c r="M76" s="2" t="str">
        <f t="shared" si="3"/>
        <v>ALTN008</v>
      </c>
      <c r="N76" s="229"/>
    </row>
    <row r="77" spans="3:14">
      <c r="C77" s="151"/>
      <c r="G77" s="2" t="s">
        <v>100</v>
      </c>
      <c r="J77" s="2" t="s">
        <v>89</v>
      </c>
      <c r="K77" s="2" t="s">
        <v>146</v>
      </c>
      <c r="M77" s="2" t="str">
        <f t="shared" si="3"/>
        <v>ALTN009</v>
      </c>
      <c r="N77" s="229" t="str">
        <f>M63</f>
        <v>ALTP016</v>
      </c>
    </row>
    <row r="78" spans="3:14">
      <c r="C78" s="151"/>
      <c r="G78" s="2" t="s">
        <v>101</v>
      </c>
      <c r="J78" s="2" t="s">
        <v>90</v>
      </c>
      <c r="K78" s="2" t="s">
        <v>147</v>
      </c>
      <c r="M78" s="2" t="str">
        <f t="shared" si="3"/>
        <v>ALTN010</v>
      </c>
      <c r="N78" s="229"/>
    </row>
    <row r="79" spans="3:14">
      <c r="C79" s="151"/>
      <c r="G79" s="2" t="s">
        <v>150</v>
      </c>
      <c r="J79" s="2" t="s">
        <v>91</v>
      </c>
      <c r="K79" s="2" t="s">
        <v>148</v>
      </c>
      <c r="M79" s="2" t="str">
        <f t="shared" si="3"/>
        <v>ALTN011</v>
      </c>
      <c r="N79" s="229" t="str">
        <f>M64</f>
        <v>ALTP017</v>
      </c>
    </row>
    <row r="80" spans="3:14">
      <c r="C80" s="151"/>
      <c r="G80" s="2" t="s">
        <v>102</v>
      </c>
      <c r="J80" s="2" t="s">
        <v>92</v>
      </c>
      <c r="N80" s="229"/>
    </row>
    <row r="81" spans="3:14">
      <c r="C81" s="151"/>
      <c r="G81" s="30" t="s">
        <v>103</v>
      </c>
      <c r="J81" s="2" t="s">
        <v>93</v>
      </c>
      <c r="N81" s="229" t="str">
        <f>M65</f>
        <v>ALTP018</v>
      </c>
    </row>
    <row r="82" spans="3:14">
      <c r="C82" s="151"/>
      <c r="G82" s="30" t="s">
        <v>138</v>
      </c>
      <c r="J82" s="2" t="s">
        <v>94</v>
      </c>
      <c r="N82" s="229"/>
    </row>
    <row r="83" spans="3:14">
      <c r="C83" s="151"/>
      <c r="G83" s="30" t="s">
        <v>145</v>
      </c>
      <c r="J83" s="2" t="s">
        <v>95</v>
      </c>
      <c r="N83" s="229" t="str">
        <f>M66</f>
        <v>ALTP019</v>
      </c>
    </row>
    <row r="84" spans="3:14">
      <c r="C84" s="151"/>
      <c r="G84" s="30" t="s">
        <v>146</v>
      </c>
      <c r="J84" s="2" t="s">
        <v>96</v>
      </c>
      <c r="N84" s="229"/>
    </row>
    <row r="85" spans="3:14">
      <c r="C85" s="151"/>
      <c r="G85" s="30" t="s">
        <v>147</v>
      </c>
      <c r="J85" s="2" t="s">
        <v>97</v>
      </c>
      <c r="N85" s="229" t="str">
        <f>M67</f>
        <v>ALTP020</v>
      </c>
    </row>
    <row r="86" spans="3:14">
      <c r="C86" s="151"/>
      <c r="G86" s="30" t="s">
        <v>148</v>
      </c>
      <c r="J86" s="2" t="s">
        <v>98</v>
      </c>
      <c r="N86" s="229"/>
    </row>
    <row r="87" spans="3:14">
      <c r="C87" s="151"/>
      <c r="N87" s="229" t="str">
        <f>M68</f>
        <v>ALTP025</v>
      </c>
    </row>
    <row r="88" spans="3:14">
      <c r="C88" s="151"/>
      <c r="N88" s="229"/>
    </row>
    <row r="89" spans="3:14">
      <c r="C89" s="151"/>
      <c r="N89" s="229" t="str">
        <f>M69</f>
        <v>ALTP027</v>
      </c>
    </row>
    <row r="90" spans="3:14">
      <c r="C90" s="151"/>
      <c r="N90" s="229"/>
    </row>
    <row r="91" spans="3:14">
      <c r="C91" s="151"/>
      <c r="N91" s="229" t="str">
        <f>M70</f>
        <v>ALTN001</v>
      </c>
    </row>
    <row r="92" spans="3:14">
      <c r="C92" s="151"/>
      <c r="N92" s="229"/>
    </row>
    <row r="93" spans="3:14">
      <c r="C93" s="151"/>
      <c r="N93" s="229" t="str">
        <f>M71</f>
        <v>ALTN002</v>
      </c>
    </row>
    <row r="94" spans="3:14">
      <c r="C94" s="151"/>
      <c r="N94" s="229"/>
    </row>
    <row r="95" spans="3:14">
      <c r="C95" s="151"/>
      <c r="N95" s="229" t="str">
        <f>M72</f>
        <v>ALTN003</v>
      </c>
    </row>
    <row r="96" spans="3:14">
      <c r="C96" s="151"/>
      <c r="N96" s="229"/>
    </row>
    <row r="97" spans="3:14">
      <c r="C97" s="151"/>
      <c r="N97" s="229" t="str">
        <f>M73</f>
        <v>ALTN004</v>
      </c>
    </row>
    <row r="98" spans="3:14">
      <c r="C98" s="151"/>
      <c r="N98" s="229"/>
    </row>
    <row r="99" spans="3:14">
      <c r="C99" s="151"/>
      <c r="N99" s="229" t="str">
        <f>M74</f>
        <v>ALTN006</v>
      </c>
    </row>
    <row r="100" spans="3:14">
      <c r="C100" s="151"/>
      <c r="N100" s="229"/>
    </row>
    <row r="101" spans="3:14">
      <c r="C101" s="151"/>
      <c r="N101" s="229" t="str">
        <f>M75</f>
        <v>ALTN007</v>
      </c>
    </row>
    <row r="102" spans="3:14">
      <c r="C102" s="151"/>
      <c r="N102" s="229"/>
    </row>
    <row r="103" spans="3:14">
      <c r="C103" s="151"/>
      <c r="N103" s="229" t="str">
        <f>M76</f>
        <v>ALTN008</v>
      </c>
    </row>
    <row r="104" spans="3:14">
      <c r="C104" s="151"/>
      <c r="N104" s="229"/>
    </row>
    <row r="105" spans="3:14">
      <c r="C105" s="151"/>
      <c r="N105" s="229" t="str">
        <f>M77</f>
        <v>ALTN009</v>
      </c>
    </row>
    <row r="106" spans="3:14">
      <c r="C106" s="151"/>
      <c r="N106" s="229"/>
    </row>
    <row r="107" spans="3:14">
      <c r="C107" s="151"/>
      <c r="N107" s="229" t="str">
        <f>M78</f>
        <v>ALTN010</v>
      </c>
    </row>
    <row r="108" spans="3:14">
      <c r="C108" s="151"/>
      <c r="N108" s="229"/>
    </row>
    <row r="109" spans="3:14">
      <c r="C109" s="151"/>
      <c r="N109" s="229" t="str">
        <f>M79</f>
        <v>ALTN011</v>
      </c>
    </row>
    <row r="110" spans="3:14">
      <c r="C110" s="151"/>
      <c r="N110" s="229"/>
    </row>
  </sheetData>
  <protectedRanges>
    <protectedRange password="CC78" sqref="E37:E65338 B8:D9 W8:W9 B25:B65338 C34:D65338 F34:JG48 F100:M100 Y8:JG12 F49 H49:J49 L49:JG49 L50:L76 F87:L99 N50:JG100 M50:M79 F101:JG65338 K77:L86 F50:J70 F72:J86 F71 H71:J71 F8:H8 J20:JG24 C21:H24 B10:X10 J11:X12 J13:JG13 V18:JG19 J17:JG17 C17:D17 V14:JG16 A8:A65338 C20:D20 G11:H13 E11:E13 E14:H20" name="Range1"/>
    <protectedRange password="CC78" sqref="C27:C32 E34:E36 W27:JG32 D27:H33" name="Range1_1_1"/>
    <protectedRange password="CC78" sqref="C33 W33:JG33" name="Range1_3_1"/>
    <protectedRange password="CC78" sqref="A5:JG7" name="Range1_2"/>
    <protectedRange password="CC78" sqref="I8:V9 I11:I24" name="Range1_3"/>
    <protectedRange password="CC78" sqref="B21:B24" name="Range1_1"/>
    <protectedRange password="CC78" sqref="E8:E9 F9" name="Range1_4"/>
    <protectedRange password="CC78" sqref="B14:B20" name="Range1_6"/>
    <protectedRange password="CC78" sqref="D18:D19 D14:D16" name="Range1_7"/>
    <protectedRange password="CC78" sqref="J18:U19 J11:U16" name="Range1_11"/>
    <protectedRange password="CC78" sqref="F11:F13" name="Range1_5"/>
  </protectedRanges>
  <autoFilter ref="A10:Z19"/>
  <mergeCells count="45">
    <mergeCell ref="N105:N106"/>
    <mergeCell ref="N107:N108"/>
    <mergeCell ref="N109:N110"/>
    <mergeCell ref="J8:U8"/>
    <mergeCell ref="V8:V9"/>
    <mergeCell ref="N77:N78"/>
    <mergeCell ref="N79:N80"/>
    <mergeCell ref="N81:N82"/>
    <mergeCell ref="N83:N84"/>
    <mergeCell ref="N85:N86"/>
    <mergeCell ref="N87:N88"/>
    <mergeCell ref="N101:N102"/>
    <mergeCell ref="N103:N104"/>
    <mergeCell ref="N99:N100"/>
    <mergeCell ref="N89:N90"/>
    <mergeCell ref="N91:N92"/>
    <mergeCell ref="N65:N66"/>
    <mergeCell ref="N67:N68"/>
    <mergeCell ref="A5:X5"/>
    <mergeCell ref="A6:X6"/>
    <mergeCell ref="B8:B9"/>
    <mergeCell ref="A8:A9"/>
    <mergeCell ref="C8:C9"/>
    <mergeCell ref="X8:X9"/>
    <mergeCell ref="W8:W9"/>
    <mergeCell ref="I8:I9"/>
    <mergeCell ref="D8:D9"/>
    <mergeCell ref="G8:H8"/>
    <mergeCell ref="E8:F8"/>
    <mergeCell ref="N93:N94"/>
    <mergeCell ref="N95:N96"/>
    <mergeCell ref="N97:N98"/>
    <mergeCell ref="A22:C24"/>
    <mergeCell ref="N69:N70"/>
    <mergeCell ref="N71:N72"/>
    <mergeCell ref="N73:N74"/>
    <mergeCell ref="N75:N76"/>
    <mergeCell ref="N49:N50"/>
    <mergeCell ref="N51:N52"/>
    <mergeCell ref="N53:N54"/>
    <mergeCell ref="N55:N56"/>
    <mergeCell ref="N57:N58"/>
    <mergeCell ref="N59:N60"/>
    <mergeCell ref="N61:N62"/>
    <mergeCell ref="N63:N64"/>
  </mergeCells>
  <phoneticPr fontId="47" type="noConversion"/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6"/>
  <sheetViews>
    <sheetView zoomScaleNormal="115" workbookViewId="0">
      <pane xSplit="3" ySplit="6" topLeftCell="D14" activePane="bottomRight" state="frozen"/>
      <selection activeCell="A2" sqref="A2:A3"/>
      <selection pane="topRight" activeCell="A2" sqref="A2:A3"/>
      <selection pane="bottomLeft" activeCell="A2" sqref="A2:A3"/>
      <selection pane="bottomRight" activeCell="A16" sqref="A16:B2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7" customWidth="1"/>
    <col min="5" max="5" width="7.140625" style="2" customWidth="1"/>
    <col min="6" max="33" width="3.42578125" style="121" customWidth="1"/>
    <col min="34" max="36" width="3.42578125" style="122" customWidth="1"/>
    <col min="37" max="38" width="4.42578125" style="2" customWidth="1"/>
    <col min="39" max="39" width="5.5703125" style="98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7"/>
      <c r="B1" s="52"/>
      <c r="C1" s="52"/>
      <c r="D1" s="56"/>
      <c r="E1" s="52"/>
      <c r="F1" s="56"/>
      <c r="G1" s="56"/>
      <c r="H1" s="56"/>
      <c r="I1" s="56"/>
      <c r="J1" s="56"/>
      <c r="K1" s="117"/>
      <c r="L1" s="117"/>
      <c r="M1" s="117"/>
      <c r="N1" s="117"/>
      <c r="O1" s="117"/>
      <c r="P1" s="117"/>
      <c r="Q1" s="117"/>
      <c r="R1" s="117"/>
      <c r="S1" s="54" t="str">
        <f>CONCATENATE("BẢNG CHẤM CÔNG THÁNG ",TEXT($E$4,"mm")," NĂM ",TEXT($E$4,"yyyy"))</f>
        <v>BẢNG CHẤM CÔNG THÁNG 01 NĂM 2015</v>
      </c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K1" s="53"/>
      <c r="AL1" s="53"/>
      <c r="AM1" s="242" t="s">
        <v>170</v>
      </c>
      <c r="AN1" s="243"/>
      <c r="AO1" s="243"/>
      <c r="AP1" s="243"/>
      <c r="AQ1" s="243"/>
      <c r="AR1" s="243"/>
      <c r="AS1" s="244"/>
      <c r="AT1" s="55"/>
    </row>
    <row r="2" spans="1:91" ht="20.25">
      <c r="A2" s="137"/>
      <c r="B2" s="56"/>
      <c r="C2" s="56"/>
      <c r="D2" s="56"/>
      <c r="E2" s="56"/>
      <c r="F2" s="56"/>
      <c r="G2" s="56"/>
      <c r="H2" s="56"/>
      <c r="I2" s="56"/>
      <c r="J2" s="56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53"/>
      <c r="AL2" s="53"/>
      <c r="AM2" s="94"/>
      <c r="AN2" s="57"/>
      <c r="AO2" s="57"/>
      <c r="AP2" s="57"/>
      <c r="AQ2" s="57"/>
      <c r="AR2" s="57"/>
      <c r="AS2" s="93"/>
      <c r="AT2" s="93"/>
    </row>
    <row r="3" spans="1:91" ht="21" customHeight="1">
      <c r="A3" s="137"/>
      <c r="B3" s="58"/>
      <c r="C3" s="58"/>
      <c r="D3" s="59"/>
      <c r="E3" s="59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53"/>
      <c r="AL3" s="53"/>
      <c r="AM3" s="94"/>
      <c r="AN3" s="55"/>
      <c r="AO3" s="55"/>
      <c r="AP3" s="55"/>
      <c r="AQ3" s="55"/>
      <c r="AR3" s="55"/>
      <c r="AS3" s="60"/>
      <c r="AT3" s="60"/>
    </row>
    <row r="4" spans="1:91" ht="14.25" customHeight="1">
      <c r="A4" s="61"/>
      <c r="B4" s="61"/>
      <c r="C4" s="154"/>
      <c r="D4" s="153"/>
      <c r="E4" s="62">
        <v>42005</v>
      </c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4"/>
      <c r="AI4" s="64"/>
      <c r="AJ4" s="64"/>
      <c r="AK4" s="61"/>
      <c r="AL4" s="61"/>
      <c r="AM4" s="95"/>
      <c r="AN4" s="61"/>
      <c r="AO4" s="61"/>
      <c r="AP4" s="61"/>
      <c r="AQ4" s="61"/>
      <c r="AR4" s="61"/>
      <c r="AS4" s="61"/>
      <c r="AT4" s="99"/>
    </row>
    <row r="5" spans="1:91" s="65" customFormat="1" ht="18.75" customHeight="1">
      <c r="A5" s="245" t="s">
        <v>28</v>
      </c>
      <c r="B5" s="245" t="s">
        <v>3</v>
      </c>
      <c r="C5" s="245" t="s">
        <v>1</v>
      </c>
      <c r="D5" s="247" t="s">
        <v>29</v>
      </c>
      <c r="E5" s="245" t="s">
        <v>30</v>
      </c>
      <c r="F5" s="116">
        <f>+E4</f>
        <v>42005</v>
      </c>
      <c r="G5" s="116">
        <f t="shared" ref="G5:AJ5" si="0">F5+1</f>
        <v>42006</v>
      </c>
      <c r="H5" s="116">
        <f t="shared" si="0"/>
        <v>42007</v>
      </c>
      <c r="I5" s="116">
        <f t="shared" si="0"/>
        <v>42008</v>
      </c>
      <c r="J5" s="116">
        <f t="shared" si="0"/>
        <v>42009</v>
      </c>
      <c r="K5" s="116">
        <f t="shared" si="0"/>
        <v>42010</v>
      </c>
      <c r="L5" s="116">
        <f t="shared" si="0"/>
        <v>42011</v>
      </c>
      <c r="M5" s="116">
        <f t="shared" si="0"/>
        <v>42012</v>
      </c>
      <c r="N5" s="116">
        <f t="shared" si="0"/>
        <v>42013</v>
      </c>
      <c r="O5" s="116">
        <f t="shared" si="0"/>
        <v>42014</v>
      </c>
      <c r="P5" s="116">
        <f t="shared" si="0"/>
        <v>42015</v>
      </c>
      <c r="Q5" s="116">
        <f t="shared" si="0"/>
        <v>42016</v>
      </c>
      <c r="R5" s="116">
        <f t="shared" si="0"/>
        <v>42017</v>
      </c>
      <c r="S5" s="116">
        <f t="shared" si="0"/>
        <v>42018</v>
      </c>
      <c r="T5" s="116">
        <f t="shared" si="0"/>
        <v>42019</v>
      </c>
      <c r="U5" s="116">
        <f t="shared" si="0"/>
        <v>42020</v>
      </c>
      <c r="V5" s="116">
        <f t="shared" si="0"/>
        <v>42021</v>
      </c>
      <c r="W5" s="116">
        <f t="shared" si="0"/>
        <v>42022</v>
      </c>
      <c r="X5" s="116">
        <f t="shared" si="0"/>
        <v>42023</v>
      </c>
      <c r="Y5" s="116">
        <f t="shared" si="0"/>
        <v>42024</v>
      </c>
      <c r="Z5" s="116">
        <f t="shared" si="0"/>
        <v>42025</v>
      </c>
      <c r="AA5" s="116">
        <f t="shared" si="0"/>
        <v>42026</v>
      </c>
      <c r="AB5" s="116">
        <f t="shared" si="0"/>
        <v>42027</v>
      </c>
      <c r="AC5" s="116">
        <f t="shared" si="0"/>
        <v>42028</v>
      </c>
      <c r="AD5" s="116">
        <f t="shared" si="0"/>
        <v>42029</v>
      </c>
      <c r="AE5" s="116">
        <f t="shared" si="0"/>
        <v>42030</v>
      </c>
      <c r="AF5" s="116">
        <f t="shared" si="0"/>
        <v>42031</v>
      </c>
      <c r="AG5" s="116">
        <f t="shared" si="0"/>
        <v>42032</v>
      </c>
      <c r="AH5" s="116">
        <f>AG5+1</f>
        <v>42033</v>
      </c>
      <c r="AI5" s="116">
        <f t="shared" si="0"/>
        <v>42034</v>
      </c>
      <c r="AJ5" s="116">
        <f t="shared" si="0"/>
        <v>42035</v>
      </c>
      <c r="AK5" s="248" t="s">
        <v>15</v>
      </c>
      <c r="AL5" s="249"/>
      <c r="AM5" s="250"/>
      <c r="AN5" s="251" t="s">
        <v>45</v>
      </c>
      <c r="AO5" s="251" t="s">
        <v>41</v>
      </c>
      <c r="AP5" s="251" t="s">
        <v>42</v>
      </c>
      <c r="AQ5" s="251" t="s">
        <v>43</v>
      </c>
      <c r="AR5" s="251" t="s">
        <v>44</v>
      </c>
      <c r="AS5" s="247" t="s">
        <v>0</v>
      </c>
      <c r="AT5" s="26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5" customFormat="1" ht="39.75" customHeight="1">
      <c r="A6" s="246"/>
      <c r="B6" s="246"/>
      <c r="C6" s="246"/>
      <c r="D6" s="246"/>
      <c r="E6" s="246"/>
      <c r="F6" s="172" t="str">
        <f>CHOOSE(WEEKDAY(F5),"C.Nhật","T.Hai","T.Ba","T.Tư","T.Năm","T.Sáu","T.Bảy")</f>
        <v>T.Năm</v>
      </c>
      <c r="G6" s="172" t="str">
        <f t="shared" ref="G6:AJ6" si="1">CHOOSE(WEEKDAY(G5),"C.Nhật","T.Hai","T.Ba","T.Tư","T.Năm","T.Sáu","T.Bảy")</f>
        <v>T.Sáu</v>
      </c>
      <c r="H6" s="172" t="str">
        <f t="shared" si="1"/>
        <v>T.Bảy</v>
      </c>
      <c r="I6" s="172" t="str">
        <f t="shared" si="1"/>
        <v>C.Nhật</v>
      </c>
      <c r="J6" s="172" t="str">
        <f t="shared" si="1"/>
        <v>T.Hai</v>
      </c>
      <c r="K6" s="172" t="str">
        <f t="shared" si="1"/>
        <v>T.Ba</v>
      </c>
      <c r="L6" s="172" t="str">
        <f t="shared" si="1"/>
        <v>T.Tư</v>
      </c>
      <c r="M6" s="172" t="str">
        <f t="shared" si="1"/>
        <v>T.Năm</v>
      </c>
      <c r="N6" s="172" t="str">
        <f t="shared" si="1"/>
        <v>T.Sáu</v>
      </c>
      <c r="O6" s="172" t="str">
        <f t="shared" si="1"/>
        <v>T.Bảy</v>
      </c>
      <c r="P6" s="172" t="str">
        <f t="shared" si="1"/>
        <v>C.Nhật</v>
      </c>
      <c r="Q6" s="172" t="str">
        <f t="shared" si="1"/>
        <v>T.Hai</v>
      </c>
      <c r="R6" s="172" t="str">
        <f t="shared" si="1"/>
        <v>T.Ba</v>
      </c>
      <c r="S6" s="172" t="str">
        <f t="shared" si="1"/>
        <v>T.Tư</v>
      </c>
      <c r="T6" s="172" t="str">
        <f t="shared" si="1"/>
        <v>T.Năm</v>
      </c>
      <c r="U6" s="172" t="str">
        <f t="shared" si="1"/>
        <v>T.Sáu</v>
      </c>
      <c r="V6" s="172" t="str">
        <f t="shared" si="1"/>
        <v>T.Bảy</v>
      </c>
      <c r="W6" s="172" t="str">
        <f t="shared" si="1"/>
        <v>C.Nhật</v>
      </c>
      <c r="X6" s="172" t="str">
        <f t="shared" si="1"/>
        <v>T.Hai</v>
      </c>
      <c r="Y6" s="172" t="str">
        <f t="shared" si="1"/>
        <v>T.Ba</v>
      </c>
      <c r="Z6" s="172" t="str">
        <f t="shared" si="1"/>
        <v>T.Tư</v>
      </c>
      <c r="AA6" s="172" t="str">
        <f t="shared" si="1"/>
        <v>T.Năm</v>
      </c>
      <c r="AB6" s="172" t="str">
        <f t="shared" si="1"/>
        <v>T.Sáu</v>
      </c>
      <c r="AC6" s="172" t="str">
        <f t="shared" si="1"/>
        <v>T.Bảy</v>
      </c>
      <c r="AD6" s="172" t="str">
        <f t="shared" si="1"/>
        <v>C.Nhật</v>
      </c>
      <c r="AE6" s="172" t="str">
        <f t="shared" si="1"/>
        <v>T.Hai</v>
      </c>
      <c r="AF6" s="172" t="str">
        <f t="shared" si="1"/>
        <v>T.Ba</v>
      </c>
      <c r="AG6" s="172" t="str">
        <f t="shared" si="1"/>
        <v>T.Tư</v>
      </c>
      <c r="AH6" s="172" t="str">
        <f t="shared" si="1"/>
        <v>T.Năm</v>
      </c>
      <c r="AI6" s="172" t="str">
        <f t="shared" si="1"/>
        <v>T.Sáu</v>
      </c>
      <c r="AJ6" s="172" t="str">
        <f t="shared" si="1"/>
        <v>T.Bảy</v>
      </c>
      <c r="AK6" s="173" t="s">
        <v>16</v>
      </c>
      <c r="AL6" s="173" t="s">
        <v>31</v>
      </c>
      <c r="AM6" s="174" t="s">
        <v>17</v>
      </c>
      <c r="AN6" s="252"/>
      <c r="AO6" s="252"/>
      <c r="AP6" s="252"/>
      <c r="AQ6" s="252"/>
      <c r="AR6" s="252"/>
      <c r="AS6" s="246"/>
      <c r="AT6" s="26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5" customFormat="1" ht="12.75" customHeight="1">
      <c r="A7" s="175">
        <v>1</v>
      </c>
      <c r="B7" s="175">
        <v>1</v>
      </c>
      <c r="C7" s="175">
        <v>2</v>
      </c>
      <c r="D7" s="175">
        <v>3</v>
      </c>
      <c r="E7" s="175">
        <v>4</v>
      </c>
      <c r="F7" s="175">
        <v>5</v>
      </c>
      <c r="G7" s="175">
        <v>6</v>
      </c>
      <c r="H7" s="175">
        <v>7</v>
      </c>
      <c r="I7" s="175">
        <v>8</v>
      </c>
      <c r="J7" s="175">
        <v>9</v>
      </c>
      <c r="K7" s="175">
        <v>10</v>
      </c>
      <c r="L7" s="175">
        <v>11</v>
      </c>
      <c r="M7" s="175">
        <v>12</v>
      </c>
      <c r="N7" s="175">
        <v>13</v>
      </c>
      <c r="O7" s="175">
        <v>14</v>
      </c>
      <c r="P7" s="175">
        <v>15</v>
      </c>
      <c r="Q7" s="175">
        <v>16</v>
      </c>
      <c r="R7" s="175">
        <v>17</v>
      </c>
      <c r="S7" s="175">
        <v>18</v>
      </c>
      <c r="T7" s="175">
        <v>19</v>
      </c>
      <c r="U7" s="175">
        <v>20</v>
      </c>
      <c r="V7" s="175">
        <v>21</v>
      </c>
      <c r="W7" s="175">
        <v>22</v>
      </c>
      <c r="X7" s="175">
        <v>23</v>
      </c>
      <c r="Y7" s="175">
        <v>24</v>
      </c>
      <c r="Z7" s="175">
        <v>25</v>
      </c>
      <c r="AA7" s="175">
        <v>26</v>
      </c>
      <c r="AB7" s="175">
        <v>27</v>
      </c>
      <c r="AC7" s="175">
        <v>28</v>
      </c>
      <c r="AD7" s="175">
        <v>29</v>
      </c>
      <c r="AE7" s="175">
        <v>30</v>
      </c>
      <c r="AF7" s="175">
        <v>31</v>
      </c>
      <c r="AG7" s="175">
        <v>32</v>
      </c>
      <c r="AH7" s="175">
        <v>33</v>
      </c>
      <c r="AI7" s="175">
        <v>34</v>
      </c>
      <c r="AJ7" s="175">
        <v>35</v>
      </c>
      <c r="AK7" s="175">
        <v>36</v>
      </c>
      <c r="AL7" s="175">
        <v>37</v>
      </c>
      <c r="AM7" s="175">
        <v>38</v>
      </c>
      <c r="AN7" s="175">
        <v>39</v>
      </c>
      <c r="AO7" s="175">
        <v>40</v>
      </c>
      <c r="AP7" s="175">
        <v>41</v>
      </c>
      <c r="AQ7" s="175">
        <v>42</v>
      </c>
      <c r="AR7" s="175">
        <v>43</v>
      </c>
      <c r="AS7" s="175">
        <v>44</v>
      </c>
      <c r="AT7" s="21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8" customFormat="1" ht="21" customHeight="1">
      <c r="A8" s="176" t="s">
        <v>154</v>
      </c>
      <c r="B8" s="179" t="s">
        <v>169</v>
      </c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0"/>
      <c r="W8" s="180"/>
      <c r="X8" s="180"/>
      <c r="Y8" s="180"/>
      <c r="Z8" s="180"/>
      <c r="AA8" s="180"/>
      <c r="AB8" s="180"/>
      <c r="AC8" s="180"/>
      <c r="AD8" s="180"/>
      <c r="AE8" s="180"/>
      <c r="AF8" s="180"/>
      <c r="AG8" s="180"/>
      <c r="AH8" s="180"/>
      <c r="AI8" s="180"/>
      <c r="AJ8" s="180"/>
      <c r="AK8" s="180"/>
      <c r="AL8" s="180"/>
      <c r="AM8" s="180"/>
      <c r="AN8" s="180"/>
      <c r="AO8" s="180"/>
      <c r="AP8" s="180"/>
      <c r="AQ8" s="180"/>
      <c r="AR8" s="180"/>
      <c r="AS8" s="181"/>
      <c r="AT8" s="177"/>
    </row>
    <row r="9" spans="1:91" s="65" customFormat="1" ht="18" customHeight="1">
      <c r="A9" s="253">
        <v>1</v>
      </c>
      <c r="B9" s="253" t="s">
        <v>159</v>
      </c>
      <c r="C9" s="255" t="str">
        <f>VLOOKUP(B9,DS,2,0)</f>
        <v>Nguyễn Thị Thu Sương</v>
      </c>
      <c r="D9" s="257" t="str">
        <f>VLOOKUP(B9,DS,3,0)</f>
        <v>Kinh Doanh</v>
      </c>
      <c r="E9" s="66" t="s">
        <v>32</v>
      </c>
      <c r="F9" s="141"/>
      <c r="G9" s="141">
        <v>8</v>
      </c>
      <c r="H9" s="141">
        <v>8</v>
      </c>
      <c r="I9" s="141"/>
      <c r="J9" s="141">
        <v>8</v>
      </c>
      <c r="K9" s="141">
        <v>8</v>
      </c>
      <c r="L9" s="141">
        <v>8</v>
      </c>
      <c r="M9" s="141">
        <v>8</v>
      </c>
      <c r="N9" s="141">
        <v>8</v>
      </c>
      <c r="O9" s="141">
        <v>8</v>
      </c>
      <c r="P9" s="141"/>
      <c r="Q9" s="141">
        <v>8</v>
      </c>
      <c r="R9" s="141">
        <v>8</v>
      </c>
      <c r="S9" s="141">
        <v>8</v>
      </c>
      <c r="T9" s="141">
        <v>8</v>
      </c>
      <c r="U9" s="141">
        <v>8</v>
      </c>
      <c r="V9" s="141">
        <v>8</v>
      </c>
      <c r="W9" s="141"/>
      <c r="X9" s="141">
        <v>8</v>
      </c>
      <c r="Y9" s="141">
        <v>8</v>
      </c>
      <c r="Z9" s="141">
        <v>8</v>
      </c>
      <c r="AA9" s="141">
        <v>8</v>
      </c>
      <c r="AB9" s="141">
        <v>8</v>
      </c>
      <c r="AC9" s="141">
        <v>8</v>
      </c>
      <c r="AD9" s="141"/>
      <c r="AE9" s="141">
        <v>8</v>
      </c>
      <c r="AF9" s="141">
        <v>8</v>
      </c>
      <c r="AG9" s="141">
        <v>8</v>
      </c>
      <c r="AH9" s="141">
        <v>8</v>
      </c>
      <c r="AI9" s="141">
        <v>8</v>
      </c>
      <c r="AJ9" s="141">
        <v>8</v>
      </c>
      <c r="AK9" s="259">
        <f t="shared" ref="AK9" si="2">((SUM(F9:AJ9))/8)-(SUMIF($F$6:$AJ$6,"C.Nhật",F9:AJ9)/8)</f>
        <v>26</v>
      </c>
      <c r="AL9" s="259">
        <f t="shared" ref="AL9" si="3">SUM(F10:AJ10)/8*1.5</f>
        <v>0</v>
      </c>
      <c r="AM9" s="262">
        <f t="shared" ref="AM9:AM13" si="4">SUMIF($F$6:$AJ$6,"C.Nhật",$F9:$AJ10)/8*2</f>
        <v>0</v>
      </c>
      <c r="AN9" s="264">
        <f t="shared" ref="AN9" si="5">SUM(AK9:AM10)</f>
        <v>26</v>
      </c>
      <c r="AO9" s="266">
        <v>0</v>
      </c>
      <c r="AP9" s="264"/>
      <c r="AQ9" s="264"/>
      <c r="AR9" s="264"/>
      <c r="AS9" s="268"/>
      <c r="AT9" s="21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5" customFormat="1" ht="18" customHeight="1">
      <c r="A10" s="254"/>
      <c r="B10" s="254"/>
      <c r="C10" s="256"/>
      <c r="D10" s="258"/>
      <c r="E10" s="67" t="s">
        <v>31</v>
      </c>
      <c r="F10" s="142"/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260"/>
      <c r="AL10" s="260"/>
      <c r="AM10" s="263"/>
      <c r="AN10" s="265"/>
      <c r="AO10" s="267"/>
      <c r="AP10" s="265"/>
      <c r="AQ10" s="265"/>
      <c r="AR10" s="265"/>
      <c r="AS10" s="269"/>
      <c r="AT10" s="21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5" customFormat="1" ht="18" customHeight="1">
      <c r="A11" s="253">
        <v>2</v>
      </c>
      <c r="B11" s="253" t="s">
        <v>160</v>
      </c>
      <c r="C11" s="255" t="str">
        <f>VLOOKUP(B11,DS,2,0)</f>
        <v>Trần Anh Nhựt</v>
      </c>
      <c r="D11" s="257" t="str">
        <f>VLOOKUP(B11,DS,3,0)</f>
        <v>Thiết Kế</v>
      </c>
      <c r="E11" s="66" t="s">
        <v>32</v>
      </c>
      <c r="F11" s="141"/>
      <c r="G11" s="141">
        <v>8</v>
      </c>
      <c r="H11" s="141">
        <v>8</v>
      </c>
      <c r="I11" s="141"/>
      <c r="J11" s="141">
        <v>8</v>
      </c>
      <c r="K11" s="141">
        <v>8</v>
      </c>
      <c r="L11" s="141">
        <v>8</v>
      </c>
      <c r="M11" s="141">
        <v>8</v>
      </c>
      <c r="N11" s="141">
        <v>8</v>
      </c>
      <c r="O11" s="141">
        <v>8</v>
      </c>
      <c r="P11" s="141"/>
      <c r="Q11" s="141">
        <v>8</v>
      </c>
      <c r="R11" s="141">
        <v>8</v>
      </c>
      <c r="S11" s="141">
        <v>8</v>
      </c>
      <c r="T11" s="141">
        <v>8</v>
      </c>
      <c r="U11" s="141">
        <v>8</v>
      </c>
      <c r="V11" s="141">
        <v>8</v>
      </c>
      <c r="W11" s="141"/>
      <c r="X11" s="141">
        <v>8</v>
      </c>
      <c r="Y11" s="141">
        <v>8</v>
      </c>
      <c r="Z11" s="141">
        <v>8</v>
      </c>
      <c r="AA11" s="141">
        <v>8</v>
      </c>
      <c r="AB11" s="141">
        <v>8</v>
      </c>
      <c r="AC11" s="141">
        <v>8</v>
      </c>
      <c r="AD11" s="141"/>
      <c r="AE11" s="141">
        <v>8</v>
      </c>
      <c r="AF11" s="141">
        <v>8</v>
      </c>
      <c r="AG11" s="141">
        <v>8</v>
      </c>
      <c r="AH11" s="141">
        <v>8</v>
      </c>
      <c r="AI11" s="141">
        <v>8</v>
      </c>
      <c r="AJ11" s="141">
        <v>8</v>
      </c>
      <c r="AK11" s="259">
        <f t="shared" ref="AK11" si="6">((SUM(F11:AJ11))/8)-(SUMIF($F$6:$AJ$6,"C.Nhật",F11:AJ11)/8)</f>
        <v>26</v>
      </c>
      <c r="AL11" s="259">
        <f t="shared" ref="AL11" si="7">SUM(F12:AJ12)/8*1.5</f>
        <v>0</v>
      </c>
      <c r="AM11" s="262">
        <f t="shared" si="4"/>
        <v>0</v>
      </c>
      <c r="AN11" s="264">
        <f t="shared" ref="AN11" si="8">SUM(AK11:AM12)</f>
        <v>26</v>
      </c>
      <c r="AO11" s="266">
        <v>0</v>
      </c>
      <c r="AP11" s="264"/>
      <c r="AQ11" s="264"/>
      <c r="AR11" s="264"/>
      <c r="AS11" s="268"/>
      <c r="AT11" s="22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5" customFormat="1" ht="18" customHeight="1">
      <c r="A12" s="254"/>
      <c r="B12" s="254"/>
      <c r="C12" s="256"/>
      <c r="D12" s="258"/>
      <c r="E12" s="67" t="s">
        <v>31</v>
      </c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260"/>
      <c r="AL12" s="260"/>
      <c r="AM12" s="263"/>
      <c r="AN12" s="265"/>
      <c r="AO12" s="267"/>
      <c r="AP12" s="265"/>
      <c r="AQ12" s="265"/>
      <c r="AR12" s="265"/>
      <c r="AS12" s="269"/>
      <c r="AT12" s="22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5" customFormat="1" ht="18" customHeight="1">
      <c r="A13" s="253">
        <v>3</v>
      </c>
      <c r="B13" s="253" t="s">
        <v>168</v>
      </c>
      <c r="C13" s="255" t="str">
        <f>VLOOKUP(B13,DS,2,0)</f>
        <v>Huỳnh Minh Toàn</v>
      </c>
      <c r="D13" s="257" t="str">
        <f>VLOOKUP(B13,DS,3,0)</f>
        <v>Thủ Kho</v>
      </c>
      <c r="E13" s="66" t="s">
        <v>32</v>
      </c>
      <c r="F13" s="141"/>
      <c r="G13" s="141">
        <v>8</v>
      </c>
      <c r="H13" s="141">
        <v>8</v>
      </c>
      <c r="I13" s="141"/>
      <c r="J13" s="141">
        <v>8</v>
      </c>
      <c r="K13" s="141">
        <v>8</v>
      </c>
      <c r="L13" s="141">
        <v>8</v>
      </c>
      <c r="M13" s="141">
        <v>8</v>
      </c>
      <c r="N13" s="141">
        <v>8</v>
      </c>
      <c r="O13" s="141">
        <v>8</v>
      </c>
      <c r="P13" s="141"/>
      <c r="Q13" s="141">
        <v>8</v>
      </c>
      <c r="R13" s="141">
        <v>8</v>
      </c>
      <c r="S13" s="141">
        <v>8</v>
      </c>
      <c r="T13" s="141">
        <v>8</v>
      </c>
      <c r="U13" s="141">
        <v>8</v>
      </c>
      <c r="V13" s="141">
        <v>8</v>
      </c>
      <c r="W13" s="141"/>
      <c r="X13" s="141">
        <v>8</v>
      </c>
      <c r="Y13" s="141">
        <v>8</v>
      </c>
      <c r="Z13" s="141">
        <v>8</v>
      </c>
      <c r="AA13" s="141">
        <v>8</v>
      </c>
      <c r="AB13" s="141">
        <v>8</v>
      </c>
      <c r="AC13" s="141">
        <v>8</v>
      </c>
      <c r="AD13" s="141"/>
      <c r="AE13" s="141">
        <v>8</v>
      </c>
      <c r="AF13" s="141">
        <v>8</v>
      </c>
      <c r="AG13" s="141">
        <v>8</v>
      </c>
      <c r="AH13" s="141">
        <v>8</v>
      </c>
      <c r="AI13" s="141">
        <v>8</v>
      </c>
      <c r="AJ13" s="141">
        <v>8</v>
      </c>
      <c r="AK13" s="259">
        <f t="shared" ref="AK13" si="9">((SUM(F13:AJ13))/8)-(SUMIF($F$6:$AJ$6,"C.Nhật",F13:AJ13)/8)</f>
        <v>26</v>
      </c>
      <c r="AL13" s="259">
        <f t="shared" ref="AL13" si="10">SUM(F14:AJ14)/8*1.5</f>
        <v>0</v>
      </c>
      <c r="AM13" s="262">
        <f t="shared" si="4"/>
        <v>0</v>
      </c>
      <c r="AN13" s="264">
        <f t="shared" ref="AN13" si="11">SUM(AK13:AM14)</f>
        <v>26</v>
      </c>
      <c r="AO13" s="266">
        <v>0</v>
      </c>
      <c r="AP13" s="264"/>
      <c r="AQ13" s="264"/>
      <c r="AR13" s="264"/>
      <c r="AS13" s="268"/>
      <c r="AT13" s="219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5" customFormat="1" ht="18" customHeight="1">
      <c r="A14" s="254"/>
      <c r="B14" s="254"/>
      <c r="C14" s="256"/>
      <c r="D14" s="258"/>
      <c r="E14" s="67" t="s">
        <v>31</v>
      </c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260"/>
      <c r="AL14" s="260"/>
      <c r="AM14" s="263"/>
      <c r="AN14" s="265"/>
      <c r="AO14" s="267"/>
      <c r="AP14" s="265"/>
      <c r="AQ14" s="265"/>
      <c r="AR14" s="265"/>
      <c r="AS14" s="269"/>
      <c r="AT14" s="219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78" customFormat="1" ht="21" customHeight="1">
      <c r="A15" s="176" t="s">
        <v>155</v>
      </c>
      <c r="B15" s="179" t="s">
        <v>158</v>
      </c>
      <c r="C15" s="180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0"/>
      <c r="U15" s="180"/>
      <c r="V15" s="180"/>
      <c r="W15" s="180"/>
      <c r="X15" s="180"/>
      <c r="Y15" s="180"/>
      <c r="Z15" s="180"/>
      <c r="AA15" s="180"/>
      <c r="AB15" s="180"/>
      <c r="AC15" s="180"/>
      <c r="AD15" s="180"/>
      <c r="AE15" s="180"/>
      <c r="AF15" s="180"/>
      <c r="AG15" s="180"/>
      <c r="AH15" s="180"/>
      <c r="AI15" s="180"/>
      <c r="AJ15" s="180"/>
      <c r="AK15" s="180"/>
      <c r="AL15" s="180"/>
      <c r="AM15" s="180"/>
      <c r="AN15" s="180"/>
      <c r="AO15" s="180"/>
      <c r="AP15" s="180"/>
      <c r="AQ15" s="180"/>
      <c r="AR15" s="180"/>
      <c r="AS15" s="181"/>
      <c r="AT15" s="177"/>
    </row>
    <row r="16" spans="1:91" s="65" customFormat="1" ht="18" customHeight="1">
      <c r="A16" s="253">
        <v>1</v>
      </c>
      <c r="B16" s="253" t="s">
        <v>161</v>
      </c>
      <c r="C16" s="255" t="str">
        <f>VLOOKUP(B16,DS,2,0)</f>
        <v>Nguyễn Trường Giang</v>
      </c>
      <c r="D16" s="257" t="str">
        <f>VLOOKUP(B16,DS,3,0)</f>
        <v>Thợ in</v>
      </c>
      <c r="E16" s="66" t="s">
        <v>32</v>
      </c>
      <c r="F16" s="141"/>
      <c r="G16" s="141">
        <v>8</v>
      </c>
      <c r="H16" s="141">
        <v>8</v>
      </c>
      <c r="I16" s="141"/>
      <c r="J16" s="141">
        <v>8</v>
      </c>
      <c r="K16" s="141">
        <v>8</v>
      </c>
      <c r="L16" s="141">
        <v>8</v>
      </c>
      <c r="M16" s="141">
        <v>8</v>
      </c>
      <c r="N16" s="141">
        <v>8</v>
      </c>
      <c r="O16" s="141">
        <v>8</v>
      </c>
      <c r="P16" s="141"/>
      <c r="Q16" s="141">
        <v>8</v>
      </c>
      <c r="R16" s="141">
        <v>8</v>
      </c>
      <c r="S16" s="141">
        <v>8</v>
      </c>
      <c r="T16" s="141">
        <v>8</v>
      </c>
      <c r="U16" s="141">
        <v>8</v>
      </c>
      <c r="V16" s="141">
        <v>8</v>
      </c>
      <c r="W16" s="141"/>
      <c r="X16" s="141">
        <v>8</v>
      </c>
      <c r="Y16" s="141">
        <v>8</v>
      </c>
      <c r="Z16" s="141">
        <v>8</v>
      </c>
      <c r="AA16" s="141">
        <v>8</v>
      </c>
      <c r="AB16" s="141">
        <v>8</v>
      </c>
      <c r="AC16" s="141">
        <v>8</v>
      </c>
      <c r="AD16" s="141"/>
      <c r="AE16" s="141">
        <v>8</v>
      </c>
      <c r="AF16" s="141">
        <v>8</v>
      </c>
      <c r="AG16" s="141">
        <v>8</v>
      </c>
      <c r="AH16" s="141">
        <v>8</v>
      </c>
      <c r="AI16" s="141">
        <v>8</v>
      </c>
      <c r="AJ16" s="141">
        <v>8</v>
      </c>
      <c r="AK16" s="259">
        <f t="shared" ref="AK16" si="12">((SUM(F16:AJ16))/8)-(SUMIF($F$6:$AJ$6,"C.Nhật",F16:AJ16)/8)</f>
        <v>26</v>
      </c>
      <c r="AL16" s="259">
        <f t="shared" ref="AL16" si="13">SUM(F17:AJ17)/8*1.5</f>
        <v>0</v>
      </c>
      <c r="AM16" s="262">
        <f>SUMIF($F$6:$AJ$6,"C.Nhật",$F16:$AJ17)/8*2</f>
        <v>0</v>
      </c>
      <c r="AN16" s="264">
        <f>SUM(AK16:AM17)</f>
        <v>26</v>
      </c>
      <c r="AO16" s="266">
        <v>0</v>
      </c>
      <c r="AP16" s="264"/>
      <c r="AQ16" s="264"/>
      <c r="AR16" s="264"/>
      <c r="AS16" s="268"/>
      <c r="AT16" s="21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5" customFormat="1" ht="18" customHeight="1">
      <c r="A17" s="254"/>
      <c r="B17" s="254"/>
      <c r="C17" s="256"/>
      <c r="D17" s="258"/>
      <c r="E17" s="67" t="s">
        <v>31</v>
      </c>
      <c r="F17" s="142"/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  <c r="AA17" s="142"/>
      <c r="AB17" s="142"/>
      <c r="AC17" s="142"/>
      <c r="AD17" s="142"/>
      <c r="AE17" s="142"/>
      <c r="AF17" s="142"/>
      <c r="AG17" s="142"/>
      <c r="AH17" s="142"/>
      <c r="AI17" s="142"/>
      <c r="AJ17" s="142"/>
      <c r="AK17" s="260"/>
      <c r="AL17" s="260"/>
      <c r="AM17" s="263"/>
      <c r="AN17" s="265"/>
      <c r="AO17" s="267"/>
      <c r="AP17" s="265"/>
      <c r="AQ17" s="265"/>
      <c r="AR17" s="265"/>
      <c r="AS17" s="269"/>
      <c r="AT17" s="21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5" customFormat="1" ht="18" customHeight="1">
      <c r="A18" s="253">
        <v>2</v>
      </c>
      <c r="B18" s="253" t="s">
        <v>162</v>
      </c>
      <c r="C18" s="255" t="str">
        <f>VLOOKUP(B18,DS,2,0)</f>
        <v>Võ Văn Kiệt</v>
      </c>
      <c r="D18" s="257" t="str">
        <f>VLOOKUP(B18,DS,3,0)</f>
        <v>Công Đoạn 1</v>
      </c>
      <c r="E18" s="66" t="s">
        <v>32</v>
      </c>
      <c r="F18" s="141"/>
      <c r="G18" s="141">
        <v>8</v>
      </c>
      <c r="H18" s="141">
        <v>8</v>
      </c>
      <c r="I18" s="141"/>
      <c r="J18" s="141">
        <v>8</v>
      </c>
      <c r="K18" s="141">
        <v>8</v>
      </c>
      <c r="L18" s="141">
        <v>8</v>
      </c>
      <c r="M18" s="141">
        <v>8</v>
      </c>
      <c r="N18" s="141">
        <v>8</v>
      </c>
      <c r="O18" s="141">
        <v>8</v>
      </c>
      <c r="P18" s="141"/>
      <c r="Q18" s="141">
        <v>8</v>
      </c>
      <c r="R18" s="141">
        <v>8</v>
      </c>
      <c r="S18" s="141">
        <v>8</v>
      </c>
      <c r="T18" s="141">
        <v>8</v>
      </c>
      <c r="U18" s="141">
        <v>8</v>
      </c>
      <c r="V18" s="141">
        <v>8</v>
      </c>
      <c r="W18" s="141"/>
      <c r="X18" s="141">
        <v>8</v>
      </c>
      <c r="Y18" s="141">
        <v>8</v>
      </c>
      <c r="Z18" s="141">
        <v>8</v>
      </c>
      <c r="AA18" s="141">
        <v>8</v>
      </c>
      <c r="AB18" s="141">
        <v>8</v>
      </c>
      <c r="AC18" s="141">
        <v>8</v>
      </c>
      <c r="AD18" s="141"/>
      <c r="AE18" s="141">
        <v>8</v>
      </c>
      <c r="AF18" s="141">
        <v>8</v>
      </c>
      <c r="AG18" s="141">
        <v>8</v>
      </c>
      <c r="AH18" s="141">
        <v>8</v>
      </c>
      <c r="AI18" s="141">
        <v>8</v>
      </c>
      <c r="AJ18" s="141">
        <v>8</v>
      </c>
      <c r="AK18" s="259">
        <f t="shared" ref="AK18" si="14">((SUM(F18:AJ18))/8)-(SUMIF($F$6:$AJ$6,"C.Nhật",F18:AJ18)/8)</f>
        <v>26</v>
      </c>
      <c r="AL18" s="259">
        <f t="shared" ref="AL18" si="15">SUM(F19:AJ19)/8*1.5</f>
        <v>0</v>
      </c>
      <c r="AM18" s="262">
        <f>SUMIF($F$6:$AJ$6,"C.Nhật",$F18:$AJ19)/8*2</f>
        <v>0</v>
      </c>
      <c r="AN18" s="264">
        <f t="shared" ref="AN18" si="16">SUM(AK18:AM19)</f>
        <v>26</v>
      </c>
      <c r="AO18" s="266">
        <v>0</v>
      </c>
      <c r="AP18" s="264"/>
      <c r="AQ18" s="264"/>
      <c r="AR18" s="264"/>
      <c r="AS18" s="268"/>
      <c r="AT18" s="22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5" customFormat="1" ht="18" customHeight="1">
      <c r="A19" s="254"/>
      <c r="B19" s="254"/>
      <c r="C19" s="256"/>
      <c r="D19" s="258"/>
      <c r="E19" s="67" t="s">
        <v>31</v>
      </c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  <c r="Y19" s="142"/>
      <c r="Z19" s="142"/>
      <c r="AA19" s="142"/>
      <c r="AB19" s="142"/>
      <c r="AC19" s="142"/>
      <c r="AD19" s="142"/>
      <c r="AE19" s="142"/>
      <c r="AF19" s="142"/>
      <c r="AG19" s="142"/>
      <c r="AH19" s="142"/>
      <c r="AI19" s="142"/>
      <c r="AJ19" s="142"/>
      <c r="AK19" s="260"/>
      <c r="AL19" s="260"/>
      <c r="AM19" s="263"/>
      <c r="AN19" s="265"/>
      <c r="AO19" s="267"/>
      <c r="AP19" s="265"/>
      <c r="AQ19" s="265"/>
      <c r="AR19" s="265"/>
      <c r="AS19" s="269"/>
      <c r="AT19" s="22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5" customFormat="1" ht="18" customHeight="1">
      <c r="A20" s="253">
        <v>3</v>
      </c>
      <c r="B20" s="253" t="s">
        <v>163</v>
      </c>
      <c r="C20" s="255" t="str">
        <f>VLOOKUP(B20,DS,2,0)</f>
        <v>Diệp Văn Lân</v>
      </c>
      <c r="D20" s="257" t="str">
        <f>VLOOKUP(B20,DS,3,0)</f>
        <v>Công Đoạn 1</v>
      </c>
      <c r="E20" s="66" t="s">
        <v>32</v>
      </c>
      <c r="F20" s="141"/>
      <c r="G20" s="141">
        <v>8</v>
      </c>
      <c r="H20" s="141">
        <v>8</v>
      </c>
      <c r="I20" s="141"/>
      <c r="J20" s="141">
        <v>8</v>
      </c>
      <c r="K20" s="141">
        <v>8</v>
      </c>
      <c r="L20" s="141">
        <v>8</v>
      </c>
      <c r="M20" s="141">
        <v>8</v>
      </c>
      <c r="N20" s="141">
        <v>8</v>
      </c>
      <c r="O20" s="141">
        <v>8</v>
      </c>
      <c r="P20" s="141"/>
      <c r="Q20" s="141">
        <v>8</v>
      </c>
      <c r="R20" s="141">
        <v>8</v>
      </c>
      <c r="S20" s="141">
        <v>8</v>
      </c>
      <c r="T20" s="141">
        <v>8</v>
      </c>
      <c r="U20" s="141">
        <v>8</v>
      </c>
      <c r="V20" s="141">
        <v>8</v>
      </c>
      <c r="W20" s="141"/>
      <c r="X20" s="141">
        <v>8</v>
      </c>
      <c r="Y20" s="141">
        <v>8</v>
      </c>
      <c r="Z20" s="141">
        <v>8</v>
      </c>
      <c r="AA20" s="141">
        <v>8</v>
      </c>
      <c r="AB20" s="141">
        <v>8</v>
      </c>
      <c r="AC20" s="141">
        <v>8</v>
      </c>
      <c r="AD20" s="141"/>
      <c r="AE20" s="141">
        <v>8</v>
      </c>
      <c r="AF20" s="141">
        <v>8</v>
      </c>
      <c r="AG20" s="141">
        <v>8</v>
      </c>
      <c r="AH20" s="141">
        <v>8</v>
      </c>
      <c r="AI20" s="141">
        <v>8</v>
      </c>
      <c r="AJ20" s="141">
        <v>8</v>
      </c>
      <c r="AK20" s="259">
        <f t="shared" ref="AK20" si="17">((SUM(F20:AJ20))/8)-(SUMIF($F$6:$AJ$6,"C.Nhật",F20:AJ20)/8)</f>
        <v>26</v>
      </c>
      <c r="AL20" s="259">
        <f t="shared" ref="AL20" si="18">SUM(F21:AJ21)/8*1.5</f>
        <v>0</v>
      </c>
      <c r="AM20" s="262">
        <f>SUMIF($F$6:$AJ$6,"C.Nhật",$F20:$AJ21)/8*2</f>
        <v>0</v>
      </c>
      <c r="AN20" s="264">
        <f t="shared" ref="AN20" si="19">SUM(AK20:AM21)</f>
        <v>26</v>
      </c>
      <c r="AO20" s="266">
        <v>0</v>
      </c>
      <c r="AP20" s="264"/>
      <c r="AQ20" s="264"/>
      <c r="AR20" s="264"/>
      <c r="AS20" s="268"/>
      <c r="AT20" s="22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5" customFormat="1" ht="18" customHeight="1">
      <c r="A21" s="254"/>
      <c r="B21" s="254"/>
      <c r="C21" s="256"/>
      <c r="D21" s="258"/>
      <c r="E21" s="67" t="s">
        <v>31</v>
      </c>
      <c r="F21" s="142"/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142"/>
      <c r="AA21" s="142"/>
      <c r="AB21" s="142"/>
      <c r="AC21" s="142"/>
      <c r="AD21" s="142"/>
      <c r="AE21" s="142"/>
      <c r="AF21" s="142"/>
      <c r="AG21" s="142"/>
      <c r="AH21" s="142"/>
      <c r="AI21" s="142"/>
      <c r="AJ21" s="142"/>
      <c r="AK21" s="260"/>
      <c r="AL21" s="260"/>
      <c r="AM21" s="263"/>
      <c r="AN21" s="265"/>
      <c r="AO21" s="267"/>
      <c r="AP21" s="265"/>
      <c r="AQ21" s="265"/>
      <c r="AR21" s="265"/>
      <c r="AS21" s="269"/>
      <c r="AT21" s="22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5" customFormat="1" ht="18" customHeight="1">
      <c r="A22" s="253">
        <v>4</v>
      </c>
      <c r="B22" s="253" t="s">
        <v>176</v>
      </c>
      <c r="C22" s="255" t="str">
        <f>VLOOKUP(B22,DS,2,0)</f>
        <v>Dương Thế Kiệt</v>
      </c>
      <c r="D22" s="257" t="str">
        <f>VLOOKUP(B22,DS,3,0)</f>
        <v>Công Đoạn 1</v>
      </c>
      <c r="E22" s="66" t="s">
        <v>32</v>
      </c>
      <c r="F22" s="141"/>
      <c r="G22" s="141">
        <v>8</v>
      </c>
      <c r="H22" s="141">
        <v>8</v>
      </c>
      <c r="I22" s="141"/>
      <c r="J22" s="141">
        <v>8</v>
      </c>
      <c r="K22" s="141">
        <v>8</v>
      </c>
      <c r="L22" s="141">
        <v>8</v>
      </c>
      <c r="M22" s="141">
        <v>8</v>
      </c>
      <c r="N22" s="141">
        <v>8</v>
      </c>
      <c r="O22" s="141">
        <v>8</v>
      </c>
      <c r="P22" s="141"/>
      <c r="Q22" s="141">
        <v>8</v>
      </c>
      <c r="R22" s="141">
        <v>8</v>
      </c>
      <c r="S22" s="141">
        <v>8</v>
      </c>
      <c r="T22" s="141">
        <v>8</v>
      </c>
      <c r="U22" s="141">
        <v>8</v>
      </c>
      <c r="V22" s="141">
        <v>8</v>
      </c>
      <c r="W22" s="141"/>
      <c r="X22" s="141">
        <v>8</v>
      </c>
      <c r="Y22" s="141">
        <v>8</v>
      </c>
      <c r="Z22" s="141">
        <v>8</v>
      </c>
      <c r="AA22" s="141">
        <v>8</v>
      </c>
      <c r="AB22" s="141">
        <v>8</v>
      </c>
      <c r="AC22" s="141">
        <v>8</v>
      </c>
      <c r="AD22" s="141"/>
      <c r="AE22" s="141">
        <v>8</v>
      </c>
      <c r="AF22" s="141">
        <v>8</v>
      </c>
      <c r="AG22" s="141">
        <v>8</v>
      </c>
      <c r="AH22" s="141">
        <v>8</v>
      </c>
      <c r="AI22" s="141">
        <v>8</v>
      </c>
      <c r="AJ22" s="141">
        <v>8</v>
      </c>
      <c r="AK22" s="259">
        <f t="shared" ref="AK22" si="20">((SUM(F22:AJ22))/8)-(SUMIF($F$6:$AJ$6,"C.Nhật",F22:AJ22)/8)</f>
        <v>26</v>
      </c>
      <c r="AL22" s="259">
        <f t="shared" ref="AL22" si="21">SUM(F23:AJ23)/8*1.5</f>
        <v>0</v>
      </c>
      <c r="AM22" s="262">
        <f>SUMIF($F$6:$AJ$6,"C.Nhật",$F22:$AJ23)/8*2</f>
        <v>0</v>
      </c>
      <c r="AN22" s="264">
        <f t="shared" ref="AN22" si="22">SUM(AK22:AM23)</f>
        <v>26</v>
      </c>
      <c r="AO22" s="266">
        <v>0</v>
      </c>
      <c r="AP22" s="264"/>
      <c r="AQ22" s="264"/>
      <c r="AR22" s="264"/>
      <c r="AS22" s="268"/>
      <c r="AT22" s="22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5" customFormat="1" ht="18" customHeight="1">
      <c r="A23" s="254"/>
      <c r="B23" s="254"/>
      <c r="C23" s="256"/>
      <c r="D23" s="258"/>
      <c r="E23" s="67" t="s">
        <v>31</v>
      </c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  <c r="AA23" s="142"/>
      <c r="AB23" s="142"/>
      <c r="AC23" s="142"/>
      <c r="AD23" s="142"/>
      <c r="AE23" s="142"/>
      <c r="AF23" s="142"/>
      <c r="AG23" s="142"/>
      <c r="AH23" s="142"/>
      <c r="AI23" s="142"/>
      <c r="AJ23" s="142"/>
      <c r="AK23" s="260"/>
      <c r="AL23" s="260"/>
      <c r="AM23" s="263"/>
      <c r="AN23" s="265"/>
      <c r="AO23" s="267"/>
      <c r="AP23" s="265"/>
      <c r="AQ23" s="265"/>
      <c r="AR23" s="265"/>
      <c r="AS23" s="269"/>
      <c r="AT23" s="22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5" customFormat="1" ht="18" customHeight="1">
      <c r="A24" s="253">
        <v>5</v>
      </c>
      <c r="B24" s="253" t="s">
        <v>177</v>
      </c>
      <c r="C24" s="255" t="str">
        <f>VLOOKUP(B24,DS,2,0)</f>
        <v>Lê Văn Hữu</v>
      </c>
      <c r="D24" s="257" t="str">
        <f>VLOOKUP(B24,DS,3,0)</f>
        <v>Công Đoạn 2</v>
      </c>
      <c r="E24" s="66" t="s">
        <v>32</v>
      </c>
      <c r="F24" s="141"/>
      <c r="G24" s="141">
        <v>8</v>
      </c>
      <c r="H24" s="141">
        <v>8</v>
      </c>
      <c r="I24" s="141"/>
      <c r="J24" s="141">
        <v>8</v>
      </c>
      <c r="K24" s="141">
        <v>8</v>
      </c>
      <c r="L24" s="141">
        <v>8</v>
      </c>
      <c r="M24" s="141">
        <v>8</v>
      </c>
      <c r="N24" s="141">
        <v>8</v>
      </c>
      <c r="O24" s="141">
        <v>8</v>
      </c>
      <c r="P24" s="141"/>
      <c r="Q24" s="141">
        <v>8</v>
      </c>
      <c r="R24" s="141">
        <v>8</v>
      </c>
      <c r="S24" s="141">
        <v>8</v>
      </c>
      <c r="T24" s="141">
        <v>8</v>
      </c>
      <c r="U24" s="141">
        <v>8</v>
      </c>
      <c r="V24" s="141">
        <v>8</v>
      </c>
      <c r="W24" s="141"/>
      <c r="X24" s="141">
        <v>8</v>
      </c>
      <c r="Y24" s="141">
        <v>8</v>
      </c>
      <c r="Z24" s="141">
        <v>8</v>
      </c>
      <c r="AA24" s="141">
        <v>8</v>
      </c>
      <c r="AB24" s="141">
        <v>8</v>
      </c>
      <c r="AC24" s="141">
        <v>8</v>
      </c>
      <c r="AD24" s="141"/>
      <c r="AE24" s="141">
        <v>8</v>
      </c>
      <c r="AF24" s="141">
        <v>8</v>
      </c>
      <c r="AG24" s="141">
        <v>8</v>
      </c>
      <c r="AH24" s="141">
        <v>8</v>
      </c>
      <c r="AI24" s="141">
        <v>8</v>
      </c>
      <c r="AJ24" s="141">
        <v>8</v>
      </c>
      <c r="AK24" s="259">
        <f t="shared" ref="AK24" si="23">((SUM(F24:AJ24))/8)-(SUMIF($F$6:$AJ$6,"C.Nhật",F24:AJ24)/8)</f>
        <v>26</v>
      </c>
      <c r="AL24" s="259">
        <f t="shared" ref="AL24" si="24">SUM(F25:AJ25)/8*1.5</f>
        <v>0</v>
      </c>
      <c r="AM24" s="262">
        <f>SUMIF($F$6:$AJ$6,"C.Nhật",$F24:$AJ25)/8*2</f>
        <v>0</v>
      </c>
      <c r="AN24" s="264">
        <f t="shared" ref="AN24" si="25">SUM(AK24:AM25)</f>
        <v>26</v>
      </c>
      <c r="AO24" s="266">
        <v>0</v>
      </c>
      <c r="AP24" s="264"/>
      <c r="AQ24" s="264"/>
      <c r="AR24" s="264"/>
      <c r="AS24" s="268"/>
      <c r="AT24" s="22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5" customFormat="1" ht="18" customHeight="1">
      <c r="A25" s="254"/>
      <c r="B25" s="254"/>
      <c r="C25" s="256"/>
      <c r="D25" s="258"/>
      <c r="E25" s="67" t="s">
        <v>31</v>
      </c>
      <c r="F25" s="142"/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  <c r="AA25" s="142"/>
      <c r="AB25" s="142"/>
      <c r="AC25" s="142"/>
      <c r="AD25" s="142"/>
      <c r="AE25" s="142"/>
      <c r="AF25" s="142"/>
      <c r="AG25" s="142"/>
      <c r="AH25" s="142"/>
      <c r="AI25" s="142"/>
      <c r="AJ25" s="142"/>
      <c r="AK25" s="260"/>
      <c r="AL25" s="260"/>
      <c r="AM25" s="263"/>
      <c r="AN25" s="265"/>
      <c r="AO25" s="267"/>
      <c r="AP25" s="265"/>
      <c r="AQ25" s="265"/>
      <c r="AR25" s="265"/>
      <c r="AS25" s="269"/>
      <c r="AT25" s="22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5" customFormat="1" ht="18" customHeight="1">
      <c r="A26" s="253">
        <v>6</v>
      </c>
      <c r="B26" s="253" t="s">
        <v>178</v>
      </c>
      <c r="C26" s="255" t="str">
        <f>VLOOKUP(B26,DS,2,0)</f>
        <v>Bùi Trường Giang</v>
      </c>
      <c r="D26" s="257" t="str">
        <f>VLOOKUP(B26,DS,3,0)</f>
        <v>Công Đoạn 2</v>
      </c>
      <c r="E26" s="66" t="s">
        <v>32</v>
      </c>
      <c r="F26" s="141"/>
      <c r="G26" s="141">
        <v>8</v>
      </c>
      <c r="H26" s="141">
        <v>8</v>
      </c>
      <c r="I26" s="141"/>
      <c r="J26" s="141">
        <v>8</v>
      </c>
      <c r="K26" s="141">
        <v>8</v>
      </c>
      <c r="L26" s="141">
        <v>8</v>
      </c>
      <c r="M26" s="141">
        <v>8</v>
      </c>
      <c r="N26" s="141">
        <v>8</v>
      </c>
      <c r="O26" s="141">
        <v>8</v>
      </c>
      <c r="P26" s="141"/>
      <c r="Q26" s="141">
        <v>8</v>
      </c>
      <c r="R26" s="141">
        <v>8</v>
      </c>
      <c r="S26" s="141">
        <v>8</v>
      </c>
      <c r="T26" s="141">
        <v>8</v>
      </c>
      <c r="U26" s="141">
        <v>8</v>
      </c>
      <c r="V26" s="141">
        <v>8</v>
      </c>
      <c r="W26" s="141"/>
      <c r="X26" s="141">
        <v>8</v>
      </c>
      <c r="Y26" s="141">
        <v>8</v>
      </c>
      <c r="Z26" s="141">
        <v>8</v>
      </c>
      <c r="AA26" s="141">
        <v>8</v>
      </c>
      <c r="AB26" s="141">
        <v>8</v>
      </c>
      <c r="AC26" s="141">
        <v>8</v>
      </c>
      <c r="AD26" s="141"/>
      <c r="AE26" s="141">
        <v>8</v>
      </c>
      <c r="AF26" s="141">
        <v>8</v>
      </c>
      <c r="AG26" s="141">
        <v>8</v>
      </c>
      <c r="AH26" s="141">
        <v>8</v>
      </c>
      <c r="AI26" s="141">
        <v>8</v>
      </c>
      <c r="AJ26" s="141">
        <v>8</v>
      </c>
      <c r="AK26" s="259">
        <f t="shared" ref="AK26" si="26">((SUM(F26:AJ26))/8)-(SUMIF($F$6:$AJ$6,"C.Nhật",F26:AJ26)/8)</f>
        <v>26</v>
      </c>
      <c r="AL26" s="259">
        <f t="shared" ref="AL26" si="27">SUM(F27:AJ27)/8*1.5</f>
        <v>0</v>
      </c>
      <c r="AM26" s="262">
        <f>SUMIF($F$6:$AJ$6,"C.Nhật",$F26:$AJ27)/8*2</f>
        <v>0</v>
      </c>
      <c r="AN26" s="264">
        <f t="shared" ref="AN26" si="28">SUM(AK26:AM27)</f>
        <v>26</v>
      </c>
      <c r="AO26" s="266">
        <v>0</v>
      </c>
      <c r="AP26" s="264"/>
      <c r="AQ26" s="264"/>
      <c r="AR26" s="264"/>
      <c r="AS26" s="268"/>
      <c r="AT26" s="219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5" customFormat="1" ht="18" customHeight="1">
      <c r="A27" s="254"/>
      <c r="B27" s="254"/>
      <c r="C27" s="256"/>
      <c r="D27" s="258"/>
      <c r="E27" s="67" t="s">
        <v>31</v>
      </c>
      <c r="F27" s="142"/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142"/>
      <c r="Z27" s="142"/>
      <c r="AA27" s="142"/>
      <c r="AB27" s="142"/>
      <c r="AC27" s="142"/>
      <c r="AD27" s="142"/>
      <c r="AE27" s="142"/>
      <c r="AF27" s="142"/>
      <c r="AG27" s="142"/>
      <c r="AH27" s="142"/>
      <c r="AI27" s="142"/>
      <c r="AJ27" s="142"/>
      <c r="AK27" s="260"/>
      <c r="AL27" s="260"/>
      <c r="AM27" s="263"/>
      <c r="AN27" s="265"/>
      <c r="AO27" s="267"/>
      <c r="AP27" s="265"/>
      <c r="AQ27" s="265"/>
      <c r="AR27" s="265"/>
      <c r="AS27" s="269"/>
      <c r="AT27" s="219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5" customFormat="1" ht="18" customHeight="1">
      <c r="A28" s="253">
        <v>7</v>
      </c>
      <c r="B28" s="253" t="s">
        <v>179</v>
      </c>
      <c r="C28" s="255" t="str">
        <f>VLOOKUP(B28,DS,2,0)</f>
        <v>Nguyễn T Bích Thủy</v>
      </c>
      <c r="D28" s="257" t="str">
        <f>VLOOKUP(B28,DS,3,0)</f>
        <v>Công Đoạn 2</v>
      </c>
      <c r="E28" s="66" t="s">
        <v>32</v>
      </c>
      <c r="F28" s="141"/>
      <c r="G28" s="141">
        <v>8</v>
      </c>
      <c r="H28" s="141">
        <v>8</v>
      </c>
      <c r="I28" s="141"/>
      <c r="J28" s="141">
        <v>8</v>
      </c>
      <c r="K28" s="141">
        <v>8</v>
      </c>
      <c r="L28" s="141">
        <v>8</v>
      </c>
      <c r="M28" s="141">
        <v>8</v>
      </c>
      <c r="N28" s="141">
        <v>8</v>
      </c>
      <c r="O28" s="141">
        <v>8</v>
      </c>
      <c r="P28" s="141"/>
      <c r="Q28" s="141">
        <v>8</v>
      </c>
      <c r="R28" s="141">
        <v>8</v>
      </c>
      <c r="S28" s="141">
        <v>8</v>
      </c>
      <c r="T28" s="141">
        <v>8</v>
      </c>
      <c r="U28" s="141">
        <v>8</v>
      </c>
      <c r="V28" s="141">
        <v>8</v>
      </c>
      <c r="W28" s="141"/>
      <c r="X28" s="141">
        <v>8</v>
      </c>
      <c r="Y28" s="141">
        <v>8</v>
      </c>
      <c r="Z28" s="141">
        <v>8</v>
      </c>
      <c r="AA28" s="141">
        <v>8</v>
      </c>
      <c r="AB28" s="141">
        <v>8</v>
      </c>
      <c r="AC28" s="141">
        <v>8</v>
      </c>
      <c r="AD28" s="141"/>
      <c r="AE28" s="141">
        <v>8</v>
      </c>
      <c r="AF28" s="141">
        <v>8</v>
      </c>
      <c r="AG28" s="141">
        <v>8</v>
      </c>
      <c r="AH28" s="141">
        <v>8</v>
      </c>
      <c r="AI28" s="141">
        <v>8</v>
      </c>
      <c r="AJ28" s="141">
        <v>8</v>
      </c>
      <c r="AK28" s="259">
        <f t="shared" ref="AK28" si="29">((SUM(F28:AJ28))/8)-(SUMIF($F$6:$AJ$6,"C.Nhật",F28:AJ28)/8)</f>
        <v>26</v>
      </c>
      <c r="AL28" s="259">
        <f t="shared" ref="AL28" si="30">SUM(F29:AJ29)/8*1.5</f>
        <v>0</v>
      </c>
      <c r="AM28" s="262">
        <f>SUMIF($F$6:$AJ$6,"C.Nhật",$F28:$AJ29)/8*2</f>
        <v>0</v>
      </c>
      <c r="AN28" s="264">
        <f t="shared" ref="AN28" si="31">SUM(AK28:AM29)</f>
        <v>26</v>
      </c>
      <c r="AO28" s="266">
        <v>0</v>
      </c>
      <c r="AP28" s="264"/>
      <c r="AQ28" s="264"/>
      <c r="AR28" s="264"/>
      <c r="AS28" s="268"/>
      <c r="AT28" s="219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5" customFormat="1" ht="18" customHeight="1">
      <c r="A29" s="254"/>
      <c r="B29" s="254"/>
      <c r="C29" s="256"/>
      <c r="D29" s="258"/>
      <c r="E29" s="67" t="s">
        <v>31</v>
      </c>
      <c r="F29" s="142"/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  <c r="Y29" s="142"/>
      <c r="Z29" s="142"/>
      <c r="AA29" s="142"/>
      <c r="AB29" s="142"/>
      <c r="AC29" s="142"/>
      <c r="AD29" s="142"/>
      <c r="AE29" s="142"/>
      <c r="AF29" s="142"/>
      <c r="AG29" s="142"/>
      <c r="AH29" s="142"/>
      <c r="AI29" s="142"/>
      <c r="AJ29" s="142"/>
      <c r="AK29" s="260"/>
      <c r="AL29" s="260"/>
      <c r="AM29" s="263"/>
      <c r="AN29" s="265"/>
      <c r="AO29" s="267"/>
      <c r="AP29" s="265"/>
      <c r="AQ29" s="265"/>
      <c r="AR29" s="265"/>
      <c r="AS29" s="269"/>
      <c r="AT29" s="219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8" customFormat="1" ht="12.75">
      <c r="A30" s="14"/>
      <c r="B30" s="69"/>
      <c r="C30" s="4"/>
      <c r="D30" s="111"/>
      <c r="E30" s="4"/>
      <c r="F30" s="73"/>
      <c r="G30" s="73"/>
      <c r="H30" s="70"/>
      <c r="I30" s="70"/>
      <c r="J30" s="118"/>
      <c r="K30" s="73"/>
      <c r="L30" s="70"/>
      <c r="M30" s="73"/>
      <c r="N30" s="73"/>
      <c r="O30" s="73"/>
      <c r="P30" s="73"/>
      <c r="Q30" s="70"/>
      <c r="R30" s="73"/>
      <c r="S30" s="73"/>
      <c r="T30" s="118"/>
      <c r="U30" s="73"/>
      <c r="V30" s="73"/>
      <c r="W30" s="73"/>
      <c r="X30" s="69"/>
      <c r="Y30" s="73"/>
      <c r="Z30" s="73"/>
      <c r="AA30" s="73"/>
      <c r="AB30" s="73"/>
      <c r="AC30" s="73"/>
      <c r="AD30" s="70"/>
      <c r="AE30" s="73"/>
      <c r="AF30" s="73"/>
      <c r="AG30" s="73"/>
      <c r="AH30" s="73"/>
      <c r="AI30" s="73"/>
      <c r="AJ30" s="73"/>
      <c r="AK30" s="4"/>
      <c r="AL30" s="4"/>
      <c r="AM30" s="96"/>
      <c r="AN30" s="72"/>
      <c r="AO30" s="72"/>
      <c r="AP30" s="72"/>
      <c r="AQ30" s="72"/>
      <c r="AR30" s="72"/>
      <c r="AS30" s="4"/>
      <c r="AT30" s="102"/>
    </row>
    <row r="31" spans="1:90" s="68" customFormat="1" ht="12.75">
      <c r="A31" s="14"/>
      <c r="B31" s="69"/>
      <c r="C31" s="14" t="s">
        <v>14</v>
      </c>
      <c r="D31" s="111"/>
      <c r="E31" s="4"/>
      <c r="F31" s="73"/>
      <c r="G31" s="73"/>
      <c r="H31" s="70"/>
      <c r="I31" s="70"/>
      <c r="J31" s="118"/>
      <c r="K31" s="73"/>
      <c r="L31" s="70"/>
      <c r="M31" s="73"/>
      <c r="N31" s="73"/>
      <c r="O31" s="73"/>
      <c r="P31" s="73"/>
      <c r="Q31" s="70"/>
      <c r="R31" s="73"/>
      <c r="S31" s="73"/>
      <c r="T31" s="118"/>
      <c r="U31" s="73"/>
      <c r="V31" s="73"/>
      <c r="W31" s="73"/>
      <c r="X31" s="69"/>
      <c r="Y31" s="73"/>
      <c r="Z31" s="73"/>
      <c r="AA31" s="73"/>
      <c r="AB31" s="73"/>
      <c r="AC31" s="73"/>
      <c r="AD31" s="70"/>
      <c r="AE31" s="73"/>
      <c r="AF31" s="73"/>
      <c r="AG31" s="73"/>
      <c r="AH31" s="73"/>
      <c r="AI31" s="73"/>
      <c r="AJ31" s="73"/>
      <c r="AK31" s="4"/>
      <c r="AL31" s="4"/>
      <c r="AM31" s="96"/>
      <c r="AN31" s="72"/>
      <c r="AO31" s="72"/>
      <c r="AP31" s="72"/>
      <c r="AQ31" s="72"/>
      <c r="AR31" s="72"/>
      <c r="AS31" s="4"/>
      <c r="AT31" s="102"/>
    </row>
    <row r="32" spans="1:90" s="68" customFormat="1" ht="12.75">
      <c r="A32" s="12"/>
      <c r="B32" s="12"/>
      <c r="C32" s="4"/>
      <c r="D32" s="111"/>
      <c r="E32" s="4"/>
      <c r="F32" s="73"/>
      <c r="G32" s="73"/>
      <c r="H32" s="119"/>
      <c r="I32" s="119"/>
      <c r="J32" s="119"/>
      <c r="K32" s="73"/>
      <c r="L32" s="119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119"/>
      <c r="AE32" s="73"/>
      <c r="AF32" s="73"/>
      <c r="AG32" s="73"/>
      <c r="AH32" s="73"/>
      <c r="AI32" s="73"/>
      <c r="AJ32" s="73"/>
      <c r="AK32" s="4"/>
      <c r="AL32" s="4"/>
      <c r="AM32" s="96"/>
      <c r="AN32" s="74"/>
      <c r="AO32" s="74"/>
      <c r="AP32" s="74"/>
      <c r="AQ32" s="74"/>
      <c r="AR32" s="74"/>
      <c r="AS32" s="4"/>
      <c r="AT32" s="102"/>
    </row>
    <row r="33" spans="1:91" s="71" customFormat="1" ht="15" customHeight="1">
      <c r="A33" s="12"/>
      <c r="B33" s="12"/>
      <c r="C33" s="4"/>
      <c r="D33" s="111"/>
      <c r="E33" s="4"/>
      <c r="F33" s="73"/>
      <c r="G33" s="73"/>
      <c r="H33" s="119"/>
      <c r="I33" s="119"/>
      <c r="J33" s="119"/>
      <c r="K33" s="73"/>
      <c r="L33" s="119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119"/>
      <c r="AE33" s="73"/>
      <c r="AF33" s="73"/>
      <c r="AG33" s="73"/>
      <c r="AH33" s="73"/>
      <c r="AI33" s="73"/>
      <c r="AJ33" s="73"/>
      <c r="AK33" s="4"/>
      <c r="AL33" s="4"/>
      <c r="AM33" s="96"/>
      <c r="AN33" s="74"/>
      <c r="AO33" s="74"/>
      <c r="AP33" s="74"/>
      <c r="AQ33" s="74"/>
      <c r="AR33" s="74"/>
      <c r="AS33" s="4"/>
      <c r="AT33" s="4"/>
    </row>
    <row r="34" spans="1:91" s="71" customFormat="1" ht="11.25">
      <c r="A34" s="12"/>
      <c r="B34" s="12"/>
      <c r="C34" s="4"/>
      <c r="D34" s="111"/>
      <c r="E34" s="4"/>
      <c r="F34" s="73"/>
      <c r="G34" s="73"/>
      <c r="H34" s="119"/>
      <c r="I34" s="119"/>
      <c r="J34" s="119"/>
      <c r="K34" s="73"/>
      <c r="L34" s="119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119"/>
      <c r="AE34" s="73"/>
      <c r="AF34" s="73"/>
      <c r="AG34" s="73"/>
      <c r="AH34" s="73"/>
      <c r="AI34" s="73"/>
      <c r="AJ34" s="73"/>
      <c r="AK34" s="4"/>
      <c r="AL34" s="4"/>
      <c r="AM34" s="96"/>
      <c r="AN34" s="74"/>
      <c r="AO34" s="74"/>
      <c r="AP34" s="74"/>
      <c r="AQ34" s="74"/>
      <c r="AR34" s="74"/>
      <c r="AS34" s="4"/>
      <c r="AT34" s="4"/>
    </row>
    <row r="35" spans="1:91" s="71" customFormat="1" ht="11.25">
      <c r="A35" s="12"/>
      <c r="B35" s="12"/>
      <c r="C35" s="4"/>
      <c r="D35" s="111"/>
      <c r="E35" s="4"/>
      <c r="F35" s="73"/>
      <c r="G35" s="73"/>
      <c r="H35" s="119"/>
      <c r="I35" s="119"/>
      <c r="J35" s="119"/>
      <c r="K35" s="73"/>
      <c r="L35" s="119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119"/>
      <c r="AE35" s="73"/>
      <c r="AF35" s="73"/>
      <c r="AG35" s="73"/>
      <c r="AH35" s="73"/>
      <c r="AI35" s="73"/>
      <c r="AJ35" s="73"/>
      <c r="AK35" s="4"/>
      <c r="AL35" s="4"/>
      <c r="AM35" s="96"/>
      <c r="AN35" s="74"/>
      <c r="AO35" s="74"/>
      <c r="AP35" s="74"/>
      <c r="AQ35" s="74"/>
      <c r="AR35" s="74"/>
      <c r="AS35" s="4"/>
      <c r="AT35" s="4"/>
    </row>
    <row r="36" spans="1:91" s="71" customFormat="1" ht="11.25">
      <c r="A36" s="10"/>
      <c r="B36" s="10"/>
      <c r="C36" s="14"/>
      <c r="D36" s="112"/>
      <c r="E36" s="75"/>
      <c r="F36" s="118"/>
      <c r="G36" s="120"/>
      <c r="H36" s="70"/>
      <c r="I36" s="70"/>
      <c r="J36" s="70"/>
      <c r="K36" s="120"/>
      <c r="L36" s="70"/>
      <c r="M36" s="120"/>
      <c r="N36" s="120"/>
      <c r="O36" s="120"/>
      <c r="P36" s="120"/>
      <c r="Q36" s="70"/>
      <c r="R36" s="118"/>
      <c r="S36" s="120"/>
      <c r="T36" s="120"/>
      <c r="U36" s="70"/>
      <c r="V36" s="120"/>
      <c r="W36" s="120"/>
      <c r="X36" s="70"/>
      <c r="Y36" s="120"/>
      <c r="Z36" s="120"/>
      <c r="AA36" s="120"/>
      <c r="AB36" s="120"/>
      <c r="AC36" s="120"/>
      <c r="AD36" s="70"/>
      <c r="AE36" s="120"/>
      <c r="AF36" s="120"/>
      <c r="AG36" s="120"/>
      <c r="AH36" s="120"/>
      <c r="AI36" s="120"/>
      <c r="AJ36" s="120"/>
      <c r="AK36" s="75"/>
      <c r="AM36" s="97"/>
      <c r="AN36" s="10"/>
      <c r="AO36" s="10"/>
      <c r="AP36" s="10"/>
      <c r="AQ36" s="10"/>
      <c r="AR36" s="10"/>
      <c r="AS36" s="14"/>
      <c r="AT36" s="4"/>
    </row>
    <row r="37" spans="1:91" s="71" customFormat="1" ht="12.75">
      <c r="A37" s="2"/>
      <c r="B37" s="2" t="s">
        <v>0</v>
      </c>
      <c r="C37" s="2"/>
      <c r="D37" s="217"/>
      <c r="E37" s="2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2"/>
      <c r="AI37" s="122"/>
      <c r="AJ37" s="122"/>
      <c r="AK37" s="2"/>
      <c r="AL37" s="2"/>
      <c r="AM37" s="98"/>
      <c r="AN37" s="2"/>
      <c r="AO37" s="2"/>
      <c r="AP37" s="2"/>
      <c r="AQ37" s="2"/>
      <c r="AR37" s="2"/>
      <c r="AS37" s="2"/>
      <c r="AT37" s="4"/>
    </row>
    <row r="38" spans="1:91" s="71" customFormat="1" ht="12.75">
      <c r="A38" s="2"/>
      <c r="B38" s="2"/>
      <c r="C38" s="2" t="s">
        <v>46</v>
      </c>
      <c r="D38" s="217"/>
      <c r="E38" s="2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1"/>
      <c r="AD38" s="121"/>
      <c r="AE38" s="121"/>
      <c r="AF38" s="121"/>
      <c r="AG38" s="121"/>
      <c r="AH38" s="122"/>
      <c r="AI38" s="122"/>
      <c r="AJ38" s="122"/>
      <c r="AK38" s="2"/>
      <c r="AL38" s="2"/>
      <c r="AM38" s="98"/>
      <c r="AN38" s="2"/>
      <c r="AO38" s="2"/>
      <c r="AP38" s="2"/>
      <c r="AQ38" s="2"/>
      <c r="AR38" s="2"/>
      <c r="AS38" s="2"/>
      <c r="AT38" s="14"/>
    </row>
    <row r="39" spans="1:91" ht="15" customHeight="1">
      <c r="C39" s="2" t="s">
        <v>47</v>
      </c>
    </row>
    <row r="40" spans="1:91" ht="15" customHeight="1">
      <c r="C40" s="2" t="s">
        <v>48</v>
      </c>
    </row>
    <row r="41" spans="1:91" s="217" customFormat="1" ht="15" customHeight="1">
      <c r="A41" s="2"/>
      <c r="B41" s="2"/>
      <c r="C41" s="2" t="s">
        <v>49</v>
      </c>
      <c r="E41" s="2"/>
      <c r="F41" s="121"/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121"/>
      <c r="AA41" s="121"/>
      <c r="AB41" s="121"/>
      <c r="AC41" s="121"/>
      <c r="AD41" s="121"/>
      <c r="AE41" s="121"/>
      <c r="AF41" s="121"/>
      <c r="AG41" s="121"/>
      <c r="AH41" s="122"/>
      <c r="AI41" s="122"/>
      <c r="AJ41" s="122"/>
      <c r="AK41" s="2"/>
      <c r="AL41" s="2"/>
      <c r="AM41" s="98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 s="217" customFormat="1" ht="15" customHeight="1">
      <c r="A42" s="2"/>
      <c r="B42" s="2"/>
      <c r="C42" s="2" t="s">
        <v>50</v>
      </c>
      <c r="E42" s="2"/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121"/>
      <c r="AA42" s="121"/>
      <c r="AB42" s="121"/>
      <c r="AC42" s="121"/>
      <c r="AD42" s="121"/>
      <c r="AE42" s="121"/>
      <c r="AF42" s="121"/>
      <c r="AG42" s="121"/>
      <c r="AH42" s="122"/>
      <c r="AI42" s="122"/>
      <c r="AJ42" s="122"/>
      <c r="AK42" s="2"/>
      <c r="AL42" s="2"/>
      <c r="AM42" s="98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 s="217" customFormat="1" ht="15" customHeight="1">
      <c r="A43" s="2"/>
      <c r="B43" s="2"/>
      <c r="C43" s="2" t="s">
        <v>51</v>
      </c>
      <c r="E43" s="2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121"/>
      <c r="AA43" s="121"/>
      <c r="AB43" s="121"/>
      <c r="AC43" s="121"/>
      <c r="AD43" s="121"/>
      <c r="AE43" s="121"/>
      <c r="AF43" s="121"/>
      <c r="AG43" s="121"/>
      <c r="AH43" s="122"/>
      <c r="AI43" s="122"/>
      <c r="AJ43" s="122"/>
      <c r="AK43" s="2"/>
      <c r="AL43" s="2"/>
      <c r="AM43" s="98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 s="217" customFormat="1" ht="15" customHeight="1">
      <c r="A44" s="2"/>
      <c r="B44" s="2"/>
      <c r="C44" s="2" t="s">
        <v>52</v>
      </c>
      <c r="E44" s="2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121"/>
      <c r="AA44" s="121"/>
      <c r="AB44" s="121"/>
      <c r="AC44" s="121"/>
      <c r="AD44" s="121"/>
      <c r="AE44" s="121"/>
      <c r="AF44" s="121"/>
      <c r="AG44" s="121"/>
      <c r="AH44" s="122"/>
      <c r="AI44" s="122"/>
      <c r="AJ44" s="122"/>
      <c r="AK44" s="2"/>
      <c r="AL44" s="2"/>
      <c r="AM44" s="98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  <row r="45" spans="1:91" s="217" customFormat="1" ht="15" customHeight="1">
      <c r="A45" s="2"/>
      <c r="B45" s="2"/>
      <c r="C45" s="2" t="s">
        <v>53</v>
      </c>
      <c r="E45" s="2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121"/>
      <c r="AA45" s="121"/>
      <c r="AB45" s="121"/>
      <c r="AC45" s="121"/>
      <c r="AD45" s="121"/>
      <c r="AE45" s="121"/>
      <c r="AF45" s="121"/>
      <c r="AG45" s="121"/>
      <c r="AH45" s="122"/>
      <c r="AI45" s="122"/>
      <c r="AJ45" s="122"/>
      <c r="AK45" s="2"/>
      <c r="AL45" s="2"/>
      <c r="AM45" s="98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</row>
    <row r="46" spans="1:91" s="217" customFormat="1" ht="15" customHeight="1">
      <c r="A46" s="2"/>
      <c r="B46" s="2"/>
      <c r="C46" s="2" t="s">
        <v>54</v>
      </c>
      <c r="E46" s="2"/>
      <c r="F46" s="121"/>
      <c r="G46" s="121"/>
      <c r="H46" s="121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121"/>
      <c r="AA46" s="121"/>
      <c r="AB46" s="121"/>
      <c r="AC46" s="121"/>
      <c r="AD46" s="121"/>
      <c r="AE46" s="121"/>
      <c r="AF46" s="121"/>
      <c r="AG46" s="121"/>
      <c r="AH46" s="122"/>
      <c r="AI46" s="122"/>
      <c r="AJ46" s="122"/>
      <c r="AK46" s="2"/>
      <c r="AL46" s="2"/>
      <c r="AM46" s="98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2:J35 Q30:Q31" name="Range1_1_1_1"/>
    <protectedRange password="CC78" sqref="J36" name="Range1_3_1_1"/>
    <protectedRange password="CC78" sqref="A16:A29" name="Range1_1_2"/>
    <protectedRange password="CC78" sqref="C16:E29 A16:A29" name="Range1_6_2"/>
    <protectedRange password="CC78" sqref="B16:B29" name="Range1_4_2"/>
  </protectedRanges>
  <mergeCells count="144">
    <mergeCell ref="A20:A21"/>
    <mergeCell ref="B20:B21"/>
    <mergeCell ref="C20:C21"/>
    <mergeCell ref="D20:D21"/>
    <mergeCell ref="AK20:AK21"/>
    <mergeCell ref="C24:C25"/>
    <mergeCell ref="AQ20:AQ21"/>
    <mergeCell ref="AR20:AR21"/>
    <mergeCell ref="AS20:AS21"/>
    <mergeCell ref="AL20:AL21"/>
    <mergeCell ref="AM20:AM21"/>
    <mergeCell ref="AN20:AN21"/>
    <mergeCell ref="AO20:AO21"/>
    <mergeCell ref="AP20:AP21"/>
    <mergeCell ref="A11:A12"/>
    <mergeCell ref="AQ24:AQ25"/>
    <mergeCell ref="AR24:AR25"/>
    <mergeCell ref="AS24:AS25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S18:AS19"/>
    <mergeCell ref="AL24:AL25"/>
    <mergeCell ref="AM24:AM25"/>
    <mergeCell ref="AN24:AN25"/>
    <mergeCell ref="AO24:AO25"/>
    <mergeCell ref="AP24:AP25"/>
    <mergeCell ref="A24:A25"/>
    <mergeCell ref="B24:B25"/>
    <mergeCell ref="AS16:AS17"/>
    <mergeCell ref="AS13:AS14"/>
    <mergeCell ref="D24:D25"/>
    <mergeCell ref="AK24:AK25"/>
    <mergeCell ref="AQ11:AQ12"/>
    <mergeCell ref="AR11:AR12"/>
    <mergeCell ref="AS11:AS12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P22:AP23"/>
    <mergeCell ref="AQ22:AQ23"/>
    <mergeCell ref="AR22:AR23"/>
    <mergeCell ref="AS22:AS23"/>
    <mergeCell ref="AL11:AL12"/>
    <mergeCell ref="AM11:AM12"/>
    <mergeCell ref="AN11:AN12"/>
    <mergeCell ref="AO11:AO12"/>
    <mergeCell ref="AR26:AR27"/>
    <mergeCell ref="AP28:AP29"/>
    <mergeCell ref="AQ28:AQ29"/>
    <mergeCell ref="AR28:AR29"/>
    <mergeCell ref="AS28:AS29"/>
    <mergeCell ref="AL26:AL27"/>
    <mergeCell ref="AS26:AS27"/>
    <mergeCell ref="AM26:AM27"/>
    <mergeCell ref="AN26:AN27"/>
    <mergeCell ref="AO26:AO27"/>
    <mergeCell ref="AP26:AP27"/>
    <mergeCell ref="AQ26:AQ27"/>
    <mergeCell ref="A28:A29"/>
    <mergeCell ref="B28:B29"/>
    <mergeCell ref="C28:C29"/>
    <mergeCell ref="D28:D29"/>
    <mergeCell ref="AK28:AK29"/>
    <mergeCell ref="AL28:AL29"/>
    <mergeCell ref="AM28:AM29"/>
    <mergeCell ref="AN28:AN29"/>
    <mergeCell ref="AO28:AO29"/>
    <mergeCell ref="A26:A27"/>
    <mergeCell ref="B26:B27"/>
    <mergeCell ref="C26:C27"/>
    <mergeCell ref="D26:D27"/>
    <mergeCell ref="AK26:AK27"/>
    <mergeCell ref="AR13:AR14"/>
    <mergeCell ref="AP16:AP17"/>
    <mergeCell ref="AQ16:AQ17"/>
    <mergeCell ref="AR16:AR17"/>
    <mergeCell ref="AL13:AL14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M13:AM14"/>
    <mergeCell ref="AN13:AN14"/>
    <mergeCell ref="AO13:AO14"/>
    <mergeCell ref="AP13:AP14"/>
    <mergeCell ref="AQ13:AQ14"/>
    <mergeCell ref="A13:A14"/>
    <mergeCell ref="B13:B14"/>
    <mergeCell ref="C13:C14"/>
    <mergeCell ref="D13:D14"/>
    <mergeCell ref="AK13:AK14"/>
    <mergeCell ref="AT5:AT6"/>
    <mergeCell ref="A9:A10"/>
    <mergeCell ref="B9:B10"/>
    <mergeCell ref="C9:C10"/>
    <mergeCell ref="D9:D10"/>
    <mergeCell ref="AK9:AK10"/>
    <mergeCell ref="AL9:AL10"/>
    <mergeCell ref="AM9:AM10"/>
    <mergeCell ref="AN9:AN10"/>
    <mergeCell ref="AO9:AO10"/>
    <mergeCell ref="AP9:AP10"/>
    <mergeCell ref="AQ9:AQ10"/>
    <mergeCell ref="AR9:AR10"/>
    <mergeCell ref="AS9:AS10"/>
    <mergeCell ref="B11:B12"/>
    <mergeCell ref="C11:C12"/>
    <mergeCell ref="D11:D12"/>
    <mergeCell ref="AK11:AK12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G9 G13 H9:AJ10 H13:AJ14">
    <cfRule type="expression" dxfId="180" priority="35" stopIfTrue="1">
      <formula>IF(WEEKDAY(F$5)=1,TRUE,FALSE)</formula>
    </cfRule>
  </conditionalFormatting>
  <conditionalFormatting sqref="G9 G13 H9:AJ10 H13:AJ14">
    <cfRule type="expression" dxfId="179" priority="34" stopIfTrue="1">
      <formula>IF(WEEKDAY(G$5)=1,TRUE,FALSE)</formula>
    </cfRule>
  </conditionalFormatting>
  <conditionalFormatting sqref="F10:G10 F9 F14:G14 F13">
    <cfRule type="expression" dxfId="178" priority="32" stopIfTrue="1">
      <formula>IF(WEEKDAY(F$5)=1,TRUE,FALSE)</formula>
    </cfRule>
  </conditionalFormatting>
  <conditionalFormatting sqref="F10:G10 F9 F14:G14 F13">
    <cfRule type="expression" dxfId="177" priority="31" stopIfTrue="1">
      <formula>IF(WEEKDAY(F$5)=1,TRUE,FALSE)</formula>
    </cfRule>
  </conditionalFormatting>
  <conditionalFormatting sqref="G16 G26 G28 H16:AJ17 H26:AJ29">
    <cfRule type="expression" dxfId="176" priority="16" stopIfTrue="1">
      <formula>IF(WEEKDAY(G$5)=1,TRUE,FALSE)</formula>
    </cfRule>
  </conditionalFormatting>
  <conditionalFormatting sqref="G16 G26 G28 H16:AJ17 H26:AJ29">
    <cfRule type="expression" dxfId="175" priority="15" stopIfTrue="1">
      <formula>IF(WEEKDAY(G$5)=1,TRUE,FALSE)</formula>
    </cfRule>
  </conditionalFormatting>
  <conditionalFormatting sqref="F17:G17 F16 F27:G27 F26 F29:G29 F28">
    <cfRule type="expression" dxfId="174" priority="14" stopIfTrue="1">
      <formula>IF(WEEKDAY(F$5)=1,TRUE,FALSE)</formula>
    </cfRule>
  </conditionalFormatting>
  <conditionalFormatting sqref="F17:G17 F16 F27:G27 F26 F29:G29 F28">
    <cfRule type="expression" dxfId="173" priority="13" stopIfTrue="1">
      <formula>IF(WEEKDAY(F$5)=1,TRUE,FALSE)</formula>
    </cfRule>
  </conditionalFormatting>
  <conditionalFormatting sqref="G11 H11:AJ12">
    <cfRule type="expression" dxfId="172" priority="12" stopIfTrue="1">
      <formula>IF(WEEKDAY(G$5)=1,TRUE,FALSE)</formula>
    </cfRule>
  </conditionalFormatting>
  <conditionalFormatting sqref="G11 H11:AJ12">
    <cfRule type="expression" dxfId="171" priority="11" stopIfTrue="1">
      <formula>IF(WEEKDAY(G$5)=1,TRUE,FALSE)</formula>
    </cfRule>
  </conditionalFormatting>
  <conditionalFormatting sqref="F12:G12 F11">
    <cfRule type="expression" dxfId="170" priority="10" stopIfTrue="1">
      <formula>IF(WEEKDAY(F$5)=1,TRUE,FALSE)</formula>
    </cfRule>
  </conditionalFormatting>
  <conditionalFormatting sqref="F12:G12 F11">
    <cfRule type="expression" dxfId="169" priority="9" stopIfTrue="1">
      <formula>IF(WEEKDAY(F$5)=1,TRUE,FALSE)</formula>
    </cfRule>
  </conditionalFormatting>
  <conditionalFormatting sqref="G22 G24 H22:AJ25">
    <cfRule type="expression" dxfId="168" priority="8" stopIfTrue="1">
      <formula>IF(WEEKDAY(G$5)=1,TRUE,FALSE)</formula>
    </cfRule>
  </conditionalFormatting>
  <conditionalFormatting sqref="G22 G24 H22:AJ25">
    <cfRule type="expression" dxfId="167" priority="7" stopIfTrue="1">
      <formula>IF(WEEKDAY(G$5)=1,TRUE,FALSE)</formula>
    </cfRule>
  </conditionalFormatting>
  <conditionalFormatting sqref="F23:G23 F22 F25:G25 F24">
    <cfRule type="expression" dxfId="166" priority="6" stopIfTrue="1">
      <formula>IF(WEEKDAY(F$5)=1,TRUE,FALSE)</formula>
    </cfRule>
  </conditionalFormatting>
  <conditionalFormatting sqref="F23:G23 F22 F25:G25 F24">
    <cfRule type="expression" dxfId="165" priority="5" stopIfTrue="1">
      <formula>IF(WEEKDAY(F$5)=1,TRUE,FALSE)</formula>
    </cfRule>
  </conditionalFormatting>
  <conditionalFormatting sqref="G18 G20 H18:AJ21">
    <cfRule type="expression" dxfId="164" priority="4" stopIfTrue="1">
      <formula>IF(WEEKDAY(G$5)=1,TRUE,FALSE)</formula>
    </cfRule>
  </conditionalFormatting>
  <conditionalFormatting sqref="G18 G20 H18:AJ21">
    <cfRule type="expression" dxfId="163" priority="3" stopIfTrue="1">
      <formula>IF(WEEKDAY(G$5)=1,TRUE,FALSE)</formula>
    </cfRule>
  </conditionalFormatting>
  <conditionalFormatting sqref="F19:G19 F18 F21:G21 F20">
    <cfRule type="expression" dxfId="162" priority="2" stopIfTrue="1">
      <formula>IF(WEEKDAY(F$5)=1,TRUE,FALSE)</formula>
    </cfRule>
  </conditionalFormatting>
  <conditionalFormatting sqref="F19:G19 F18 F21:G21 F20">
    <cfRule type="expression" dxfId="161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5"/>
  <sheetViews>
    <sheetView zoomScaleNormal="70" workbookViewId="0">
      <pane xSplit="3" ySplit="8" topLeftCell="D15" activePane="bottomRight" state="frozen"/>
      <selection activeCell="A2" sqref="A2:A3"/>
      <selection pane="topRight" activeCell="A2" sqref="A2:A3"/>
      <selection pane="bottomLeft" activeCell="A2" sqref="A2:A3"/>
      <selection pane="bottomRight" activeCell="S24" activeCellId="1" sqref="S14 S24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9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7"/>
      <c r="B1" s="221"/>
      <c r="C1" s="221"/>
      <c r="D1" s="270" t="str">
        <f>"BẢNG THANH TOÁN LƯƠNG THÁNG"&amp;" "&amp;TEXT($E$4,"mm")&amp;" / "&amp;TEXT($E$4,"yyyy")</f>
        <v>BẢNG THANH TOÁN LƯƠNG THÁNG 01 / 2015</v>
      </c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1"/>
      <c r="R1" s="272" t="s">
        <v>170</v>
      </c>
      <c r="S1" s="273"/>
      <c r="T1" s="274"/>
      <c r="U1" s="128" t="s">
        <v>58</v>
      </c>
      <c r="V1" s="108" t="s">
        <v>37</v>
      </c>
      <c r="W1" s="81"/>
      <c r="X1" s="81"/>
      <c r="Y1" s="5"/>
      <c r="Z1" s="5"/>
    </row>
    <row r="2" spans="1:31" s="4" customFormat="1" ht="15" customHeight="1">
      <c r="A2" s="137"/>
      <c r="B2" s="221"/>
      <c r="C2" s="221"/>
      <c r="D2" s="221"/>
      <c r="E2" s="79"/>
      <c r="F2" s="221"/>
      <c r="G2" s="221"/>
      <c r="H2" s="221"/>
      <c r="I2" s="221"/>
      <c r="J2" s="80"/>
      <c r="K2" s="221"/>
      <c r="L2" s="221"/>
      <c r="M2" s="221"/>
      <c r="N2" s="221"/>
      <c r="O2" s="221"/>
      <c r="P2" s="221"/>
      <c r="Q2" s="221"/>
      <c r="R2" s="221"/>
      <c r="S2" s="221"/>
      <c r="T2" s="57"/>
      <c r="U2" s="78">
        <f>MAX(F10:F24)</f>
        <v>26</v>
      </c>
      <c r="V2" s="109">
        <v>31</v>
      </c>
      <c r="W2" s="81"/>
      <c r="X2" s="81"/>
      <c r="Y2" s="5"/>
      <c r="Z2" s="5"/>
    </row>
    <row r="3" spans="1:31" s="4" customFormat="1" ht="15" customHeight="1">
      <c r="A3" s="137"/>
      <c r="B3" s="221"/>
      <c r="C3" s="221"/>
      <c r="D3" s="221"/>
      <c r="E3" s="79"/>
      <c r="F3" s="221"/>
      <c r="G3" s="221"/>
      <c r="H3" s="221"/>
      <c r="I3" s="221"/>
      <c r="J3" s="80"/>
      <c r="K3" s="221"/>
      <c r="L3" s="221"/>
      <c r="M3" s="221"/>
      <c r="N3" s="221"/>
      <c r="O3" s="221"/>
      <c r="P3" s="221"/>
      <c r="Q3" s="221"/>
      <c r="R3" s="221"/>
      <c r="S3" s="221"/>
      <c r="T3" s="57"/>
      <c r="U3" s="129"/>
      <c r="V3" s="130"/>
      <c r="W3" s="81"/>
      <c r="X3" s="81"/>
      <c r="Y3" s="5"/>
      <c r="Z3" s="5"/>
    </row>
    <row r="4" spans="1:31" s="103" customFormat="1" ht="14.25" customHeight="1">
      <c r="A4" s="101"/>
      <c r="B4" s="102"/>
      <c r="C4" s="102"/>
      <c r="D4" s="102"/>
      <c r="E4" s="187">
        <f>'CC -1'!$E$4</f>
        <v>42005</v>
      </c>
      <c r="F4" s="102"/>
      <c r="G4" s="102"/>
      <c r="H4" s="102"/>
      <c r="I4" s="102"/>
      <c r="J4" s="102"/>
      <c r="K4" s="102"/>
      <c r="L4" s="102"/>
      <c r="M4" s="102"/>
      <c r="N4" s="160">
        <v>0.08</v>
      </c>
      <c r="O4" s="160">
        <v>1.4999999999999999E-2</v>
      </c>
      <c r="P4" s="160">
        <v>0.01</v>
      </c>
      <c r="Q4" s="102"/>
      <c r="R4" s="102"/>
      <c r="S4" s="102"/>
      <c r="T4" s="102"/>
      <c r="U4" s="102"/>
      <c r="V4" s="104"/>
      <c r="W4" s="104"/>
      <c r="X4" s="104"/>
      <c r="Y4" s="104"/>
      <c r="Z4" s="104"/>
    </row>
    <row r="5" spans="1:31" s="26" customFormat="1" ht="24" customHeight="1">
      <c r="A5" s="275" t="s">
        <v>19</v>
      </c>
      <c r="B5" s="275" t="s">
        <v>20</v>
      </c>
      <c r="C5" s="238" t="s">
        <v>1</v>
      </c>
      <c r="D5" s="238" t="s">
        <v>2</v>
      </c>
      <c r="E5" s="241" t="s">
        <v>56</v>
      </c>
      <c r="F5" s="278" t="s">
        <v>26</v>
      </c>
      <c r="G5" s="279"/>
      <c r="H5" s="279"/>
      <c r="I5" s="279"/>
      <c r="J5" s="279"/>
      <c r="K5" s="280"/>
      <c r="L5" s="277" t="s">
        <v>57</v>
      </c>
      <c r="M5" s="277" t="s">
        <v>5</v>
      </c>
      <c r="N5" s="238" t="s">
        <v>6</v>
      </c>
      <c r="O5" s="238"/>
      <c r="P5" s="238"/>
      <c r="Q5" s="277" t="s">
        <v>7</v>
      </c>
      <c r="R5" s="277" t="s">
        <v>8</v>
      </c>
      <c r="S5" s="277" t="s">
        <v>9</v>
      </c>
      <c r="T5" s="239" t="s">
        <v>10</v>
      </c>
      <c r="U5" s="102"/>
      <c r="V5" s="27"/>
      <c r="W5" s="27"/>
      <c r="X5" s="5"/>
      <c r="Y5" s="5"/>
      <c r="Z5" s="5"/>
      <c r="AA5" s="4"/>
      <c r="AB5" s="4"/>
      <c r="AC5" s="4"/>
      <c r="AD5" s="4"/>
      <c r="AE5" s="4"/>
    </row>
    <row r="6" spans="1:31" s="26" customFormat="1" ht="33.75" customHeight="1">
      <c r="A6" s="276"/>
      <c r="B6" s="276"/>
      <c r="C6" s="238"/>
      <c r="D6" s="238"/>
      <c r="E6" s="241"/>
      <c r="F6" s="278" t="s">
        <v>59</v>
      </c>
      <c r="G6" s="280"/>
      <c r="H6" s="278" t="s">
        <v>157</v>
      </c>
      <c r="I6" s="279"/>
      <c r="J6" s="284" t="s">
        <v>27</v>
      </c>
      <c r="K6" s="277" t="s">
        <v>4</v>
      </c>
      <c r="L6" s="281"/>
      <c r="M6" s="281"/>
      <c r="N6" s="286" t="s">
        <v>12</v>
      </c>
      <c r="O6" s="277" t="s">
        <v>13</v>
      </c>
      <c r="P6" s="277" t="s">
        <v>34</v>
      </c>
      <c r="Q6" s="281"/>
      <c r="R6" s="281"/>
      <c r="S6" s="281"/>
      <c r="T6" s="240"/>
      <c r="U6" s="102"/>
      <c r="V6" s="27"/>
      <c r="W6" s="27"/>
      <c r="X6" s="5"/>
      <c r="Y6" s="5"/>
      <c r="Z6" s="5"/>
      <c r="AA6" s="4"/>
      <c r="AB6" s="4"/>
      <c r="AC6" s="4"/>
      <c r="AD6" s="4"/>
      <c r="AE6" s="4"/>
    </row>
    <row r="7" spans="1:31" s="26" customFormat="1" ht="35.25" customHeight="1">
      <c r="A7" s="276"/>
      <c r="B7" s="276"/>
      <c r="C7" s="277"/>
      <c r="D7" s="277"/>
      <c r="E7" s="241"/>
      <c r="F7" s="220" t="s">
        <v>40</v>
      </c>
      <c r="G7" s="218" t="s">
        <v>18</v>
      </c>
      <c r="H7" s="220" t="s">
        <v>40</v>
      </c>
      <c r="I7" s="126" t="s">
        <v>18</v>
      </c>
      <c r="J7" s="285"/>
      <c r="K7" s="281"/>
      <c r="L7" s="282"/>
      <c r="M7" s="282"/>
      <c r="N7" s="287"/>
      <c r="O7" s="281"/>
      <c r="P7" s="281"/>
      <c r="Q7" s="281"/>
      <c r="R7" s="281"/>
      <c r="S7" s="281"/>
      <c r="T7" s="240"/>
      <c r="U7" s="102"/>
      <c r="V7" s="27"/>
      <c r="W7" s="27"/>
      <c r="X7" s="5"/>
      <c r="Y7" s="5"/>
      <c r="Z7" s="5"/>
      <c r="AA7" s="4"/>
      <c r="AB7" s="4"/>
      <c r="AC7" s="4"/>
      <c r="AD7" s="4"/>
      <c r="AE7" s="4"/>
    </row>
    <row r="8" spans="1:31" s="83" customFormat="1" ht="12.75" customHeight="1">
      <c r="A8" s="82">
        <v>1</v>
      </c>
      <c r="B8" s="82">
        <v>2</v>
      </c>
      <c r="C8" s="82">
        <v>3</v>
      </c>
      <c r="D8" s="82">
        <v>4</v>
      </c>
      <c r="E8" s="82">
        <v>5</v>
      </c>
      <c r="F8" s="82">
        <v>7</v>
      </c>
      <c r="G8" s="82">
        <v>8</v>
      </c>
      <c r="H8" s="82">
        <v>9</v>
      </c>
      <c r="I8" s="82">
        <v>10</v>
      </c>
      <c r="J8" s="82">
        <v>13</v>
      </c>
      <c r="K8" s="82">
        <v>14</v>
      </c>
      <c r="L8" s="82">
        <v>16</v>
      </c>
      <c r="M8" s="82">
        <v>17</v>
      </c>
      <c r="N8" s="82">
        <v>18</v>
      </c>
      <c r="O8" s="82">
        <v>19</v>
      </c>
      <c r="P8" s="82">
        <v>20</v>
      </c>
      <c r="Q8" s="82">
        <v>21</v>
      </c>
      <c r="R8" s="82">
        <v>22</v>
      </c>
      <c r="S8" s="82">
        <v>23</v>
      </c>
      <c r="T8" s="82">
        <v>24</v>
      </c>
      <c r="U8" s="102"/>
      <c r="V8" s="84"/>
      <c r="W8" s="84"/>
      <c r="X8" s="85"/>
      <c r="Y8" s="85"/>
      <c r="Z8" s="85"/>
      <c r="AA8" s="86"/>
      <c r="AB8" s="86"/>
      <c r="AC8" s="86"/>
      <c r="AD8" s="86"/>
      <c r="AE8" s="86"/>
    </row>
    <row r="9" spans="1:31" s="83" customFormat="1" ht="24" customHeight="1">
      <c r="A9" s="186" t="s">
        <v>154</v>
      </c>
      <c r="B9" s="185" t="s">
        <v>171</v>
      </c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02"/>
      <c r="V9" s="84"/>
      <c r="W9" s="84"/>
      <c r="X9" s="85"/>
      <c r="Y9" s="85"/>
      <c r="Z9" s="85"/>
      <c r="AA9" s="86"/>
      <c r="AB9" s="86"/>
      <c r="AC9" s="86"/>
      <c r="AD9" s="86"/>
      <c r="AE9" s="86"/>
    </row>
    <row r="10" spans="1:31" s="35" customFormat="1" ht="24" customHeight="1">
      <c r="A10" s="37">
        <v>1</v>
      </c>
      <c r="B10" s="139" t="s">
        <v>159</v>
      </c>
      <c r="C10" s="87" t="str">
        <f t="shared" ref="C10:C12" si="0">VLOOKUP(B10,DS,2,0)</f>
        <v>Nguyễn Thị Thu Sương</v>
      </c>
      <c r="D10" s="114" t="str">
        <f t="shared" ref="D10:D12" si="1">VLOOKUP(B10,DS,3,0)</f>
        <v>Kinh Doanh</v>
      </c>
      <c r="E10" s="88">
        <f t="shared" ref="E10:E12" si="2">VLOOKUP(B10,DS,4,0)</f>
        <v>5000000</v>
      </c>
      <c r="F10" s="90">
        <f>VLOOKUP(B10,'CC -1'!$B$9:$AS$30,36,0)</f>
        <v>26</v>
      </c>
      <c r="G10" s="143">
        <f t="shared" ref="G10:G12" si="3">ROUND(E10/$U$2*F10,0)</f>
        <v>5000000</v>
      </c>
      <c r="H10" s="90">
        <f>(VLOOKUP(B10,'CC -1'!$B$9:$AS$30,37,0)+VLOOKUP(B10,'CC -1'!$B$9:$AS$30,38,0))</f>
        <v>0</v>
      </c>
      <c r="I10" s="143">
        <f t="shared" ref="I10:I12" si="4">ROUND(E10/$U$2*H10,0)</f>
        <v>0</v>
      </c>
      <c r="J10" s="91">
        <f t="shared" ref="J10:K12" si="5">F10+H10</f>
        <v>26</v>
      </c>
      <c r="K10" s="38">
        <f t="shared" si="5"/>
        <v>5000000</v>
      </c>
      <c r="L10" s="88">
        <f t="shared" ref="L10:L12" si="6">+F10*15000</f>
        <v>390000</v>
      </c>
      <c r="M10" s="39">
        <f t="shared" ref="M10:M12" si="7">K10+L10</f>
        <v>5390000</v>
      </c>
      <c r="N10" s="39">
        <f>IF(VLOOKUP(B10,DS,9,0)="x",E10*$N$4,0)</f>
        <v>0</v>
      </c>
      <c r="O10" s="39">
        <f>IF(VLOOKUP(B10,DS,9,0)="x",E10*$O$4,0)</f>
        <v>0</v>
      </c>
      <c r="P10" s="39">
        <f>IF(VLOOKUP(B10,DS,9,0)="x",E10*$P$4,0)</f>
        <v>0</v>
      </c>
      <c r="Q10" s="38">
        <f t="shared" ref="Q10:Q12" si="8">M10-SUM(N10:P10)</f>
        <v>5390000</v>
      </c>
      <c r="R10" s="38">
        <f>VLOOKUP(B10,DS,23,0)</f>
        <v>0</v>
      </c>
      <c r="S10" s="44">
        <f t="shared" ref="S10:S12" si="9">Q10-R10</f>
        <v>5390000</v>
      </c>
      <c r="T10" s="38"/>
      <c r="U10" s="102"/>
      <c r="V10" s="36"/>
      <c r="W10" s="27"/>
      <c r="X10" s="5"/>
      <c r="Y10" s="5"/>
      <c r="Z10" s="5"/>
      <c r="AA10" s="4"/>
      <c r="AB10" s="4"/>
      <c r="AC10" s="4"/>
      <c r="AD10" s="4"/>
      <c r="AE10" s="4"/>
    </row>
    <row r="11" spans="1:31" s="35" customFormat="1" ht="24" customHeight="1">
      <c r="A11" s="37">
        <v>2</v>
      </c>
      <c r="B11" s="139" t="s">
        <v>160</v>
      </c>
      <c r="C11" s="87" t="str">
        <f t="shared" ref="C11" si="10">VLOOKUP(B11,DS,2,0)</f>
        <v>Trần Anh Nhựt</v>
      </c>
      <c r="D11" s="114" t="str">
        <f t="shared" ref="D11" si="11">VLOOKUP(B11,DS,3,0)</f>
        <v>Thiết Kế</v>
      </c>
      <c r="E11" s="88">
        <f t="shared" ref="E11" si="12">VLOOKUP(B11,DS,4,0)</f>
        <v>5000000</v>
      </c>
      <c r="F11" s="90">
        <f>VLOOKUP(B11,'CC -1'!$B$9:$AS$30,36,0)</f>
        <v>26</v>
      </c>
      <c r="G11" s="143">
        <f t="shared" ref="G11" si="13">ROUND(E11/$U$2*F11,0)</f>
        <v>5000000</v>
      </c>
      <c r="H11" s="90">
        <f>(VLOOKUP(B11,'CC -1'!$B$9:$AS$30,37,0)+VLOOKUP(B11,'CC -1'!$B$9:$AS$30,38,0))</f>
        <v>0</v>
      </c>
      <c r="I11" s="143">
        <f t="shared" ref="I11" si="14">ROUND(E11/$U$2*H11,0)</f>
        <v>0</v>
      </c>
      <c r="J11" s="91">
        <f t="shared" ref="J11" si="15">F11+H11</f>
        <v>26</v>
      </c>
      <c r="K11" s="38">
        <f t="shared" ref="K11" si="16">G11+I11</f>
        <v>5000000</v>
      </c>
      <c r="L11" s="88">
        <f t="shared" ref="L11" si="17">+F11*15000</f>
        <v>390000</v>
      </c>
      <c r="M11" s="39">
        <f t="shared" ref="M11" si="18">K11+L11</f>
        <v>5390000</v>
      </c>
      <c r="N11" s="39">
        <f>IF(VLOOKUP(B11,DS,9,0)="x",E11*$N$4,0)</f>
        <v>0</v>
      </c>
      <c r="O11" s="39">
        <f>IF(VLOOKUP(B11,DS,9,0)="x",E11*$O$4,0)</f>
        <v>0</v>
      </c>
      <c r="P11" s="39">
        <f>IF(VLOOKUP(B11,DS,9,0)="x",E11*$P$4,0)</f>
        <v>0</v>
      </c>
      <c r="Q11" s="38">
        <f t="shared" ref="Q11" si="19">M11-SUM(N11:P11)</f>
        <v>5390000</v>
      </c>
      <c r="R11" s="38">
        <f>VLOOKUP(B11,DS,23,0)</f>
        <v>0</v>
      </c>
      <c r="S11" s="44">
        <f t="shared" ref="S11" si="20">Q11-R11</f>
        <v>5390000</v>
      </c>
      <c r="T11" s="38"/>
      <c r="U11" s="102"/>
      <c r="V11" s="36"/>
      <c r="W11" s="27"/>
      <c r="X11" s="5"/>
      <c r="Y11" s="5"/>
      <c r="Z11" s="5"/>
      <c r="AA11" s="4"/>
      <c r="AB11" s="4"/>
      <c r="AC11" s="4"/>
      <c r="AD11" s="4"/>
      <c r="AE11" s="4"/>
    </row>
    <row r="12" spans="1:31" s="35" customFormat="1" ht="24" customHeight="1">
      <c r="A12" s="37">
        <v>3</v>
      </c>
      <c r="B12" s="139" t="s">
        <v>168</v>
      </c>
      <c r="C12" s="87" t="str">
        <f t="shared" si="0"/>
        <v>Huỳnh Minh Toàn</v>
      </c>
      <c r="D12" s="114" t="str">
        <f t="shared" si="1"/>
        <v>Thủ Kho</v>
      </c>
      <c r="E12" s="88">
        <f t="shared" si="2"/>
        <v>5500000</v>
      </c>
      <c r="F12" s="90">
        <f>VLOOKUP(B12,'CC -1'!$B$9:$AS$30,36,0)</f>
        <v>26</v>
      </c>
      <c r="G12" s="143">
        <f t="shared" si="3"/>
        <v>5500000</v>
      </c>
      <c r="H12" s="90">
        <f>(VLOOKUP(B12,'CC -1'!$B$9:$AS$30,37,0)+VLOOKUP(B12,'CC -1'!$B$9:$AS$30,38,0))</f>
        <v>0</v>
      </c>
      <c r="I12" s="143">
        <f t="shared" si="4"/>
        <v>0</v>
      </c>
      <c r="J12" s="91">
        <f t="shared" si="5"/>
        <v>26</v>
      </c>
      <c r="K12" s="38">
        <f t="shared" si="5"/>
        <v>5500000</v>
      </c>
      <c r="L12" s="88">
        <f t="shared" si="6"/>
        <v>390000</v>
      </c>
      <c r="M12" s="39">
        <f t="shared" si="7"/>
        <v>5890000</v>
      </c>
      <c r="N12" s="39">
        <f>IF(VLOOKUP(B12,DS,9,0)="x",E12*$N$4,0)</f>
        <v>0</v>
      </c>
      <c r="O12" s="39">
        <f>IF(VLOOKUP(B12,DS,9,0)="x",E12*$O$4,0)</f>
        <v>0</v>
      </c>
      <c r="P12" s="39">
        <f>IF(VLOOKUP(B12,DS,9,0)="x",E12*$P$4,0)</f>
        <v>0</v>
      </c>
      <c r="Q12" s="38">
        <f t="shared" si="8"/>
        <v>5890000</v>
      </c>
      <c r="R12" s="38">
        <f>VLOOKUP(B12,DS,23,0)</f>
        <v>0</v>
      </c>
      <c r="S12" s="44">
        <f t="shared" si="9"/>
        <v>5890000</v>
      </c>
      <c r="T12" s="38"/>
      <c r="U12" s="102"/>
      <c r="V12" s="36"/>
      <c r="W12" s="27"/>
      <c r="X12" s="5"/>
      <c r="Y12" s="5"/>
      <c r="Z12" s="5"/>
      <c r="AA12" s="4"/>
      <c r="AB12" s="4"/>
      <c r="AC12" s="4"/>
      <c r="AD12" s="4"/>
      <c r="AE12" s="4"/>
    </row>
    <row r="13" spans="1:31" s="35" customFormat="1" ht="24" customHeight="1">
      <c r="A13" s="201"/>
      <c r="B13" s="202"/>
      <c r="C13" s="203"/>
      <c r="D13" s="204"/>
      <c r="E13" s="205"/>
      <c r="F13" s="206"/>
      <c r="G13" s="207"/>
      <c r="H13" s="206"/>
      <c r="I13" s="207"/>
      <c r="J13" s="208"/>
      <c r="K13" s="209"/>
      <c r="L13" s="205"/>
      <c r="M13" s="210"/>
      <c r="N13" s="210"/>
      <c r="O13" s="210"/>
      <c r="P13" s="210"/>
      <c r="Q13" s="209"/>
      <c r="R13" s="209"/>
      <c r="S13" s="211"/>
      <c r="T13" s="209"/>
      <c r="U13" s="102"/>
      <c r="V13" s="36"/>
      <c r="W13" s="27"/>
      <c r="X13" s="5"/>
      <c r="Y13" s="5"/>
      <c r="Z13" s="5"/>
      <c r="AA13" s="4"/>
      <c r="AB13" s="4"/>
      <c r="AC13" s="4"/>
      <c r="AD13" s="4"/>
      <c r="AE13" s="4"/>
    </row>
    <row r="14" spans="1:31" s="31" customFormat="1" ht="21" customHeight="1">
      <c r="A14" s="283" t="s">
        <v>25</v>
      </c>
      <c r="B14" s="283"/>
      <c r="C14" s="283"/>
      <c r="D14" s="283"/>
      <c r="E14" s="138">
        <f>SUM(E9:E12)</f>
        <v>15500000</v>
      </c>
      <c r="F14" s="138"/>
      <c r="G14" s="138">
        <f>SUM(G9:G12)</f>
        <v>15500000</v>
      </c>
      <c r="H14" s="138"/>
      <c r="I14" s="138">
        <f>SUM(I9:I12)</f>
        <v>0</v>
      </c>
      <c r="J14" s="138"/>
      <c r="K14" s="138">
        <f t="shared" ref="K14:S14" si="21">SUM(K9:K12)</f>
        <v>15500000</v>
      </c>
      <c r="L14" s="138">
        <f t="shared" si="21"/>
        <v>1170000</v>
      </c>
      <c r="M14" s="138">
        <f t="shared" si="21"/>
        <v>16670000</v>
      </c>
      <c r="N14" s="138">
        <f t="shared" si="21"/>
        <v>0</v>
      </c>
      <c r="O14" s="138">
        <f t="shared" si="21"/>
        <v>0</v>
      </c>
      <c r="P14" s="138">
        <f t="shared" si="21"/>
        <v>0</v>
      </c>
      <c r="Q14" s="138">
        <f t="shared" si="21"/>
        <v>16670000</v>
      </c>
      <c r="R14" s="138">
        <f t="shared" si="21"/>
        <v>0</v>
      </c>
      <c r="S14" s="138">
        <f t="shared" si="21"/>
        <v>16670000</v>
      </c>
      <c r="T14" s="25"/>
      <c r="U14" s="102"/>
      <c r="V14" s="32"/>
      <c r="W14" s="32"/>
      <c r="X14" s="32"/>
      <c r="Y14" s="32"/>
      <c r="Z14" s="32"/>
    </row>
    <row r="15" spans="1:31" s="83" customFormat="1" ht="24" customHeight="1">
      <c r="A15" s="186" t="s">
        <v>155</v>
      </c>
      <c r="B15" s="185" t="s">
        <v>156</v>
      </c>
      <c r="C15" s="184"/>
      <c r="D15" s="184"/>
      <c r="E15" s="184"/>
      <c r="F15" s="184"/>
      <c r="G15" s="184"/>
      <c r="H15" s="184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02"/>
      <c r="V15" s="84"/>
      <c r="W15" s="84"/>
      <c r="X15" s="85"/>
      <c r="Y15" s="85"/>
      <c r="Z15" s="85"/>
      <c r="AA15" s="86"/>
      <c r="AB15" s="86"/>
      <c r="AC15" s="86"/>
      <c r="AD15" s="86"/>
      <c r="AE15" s="86"/>
    </row>
    <row r="16" spans="1:31" s="35" customFormat="1" ht="24" customHeight="1">
      <c r="A16" s="37">
        <v>1</v>
      </c>
      <c r="B16" s="139" t="s">
        <v>161</v>
      </c>
      <c r="C16" s="87" t="str">
        <f t="shared" ref="C16:C22" si="22">VLOOKUP(B16,DS,2,0)</f>
        <v>Nguyễn Trường Giang</v>
      </c>
      <c r="D16" s="114" t="str">
        <f t="shared" ref="D16:D22" si="23">VLOOKUP(B16,DS,3,0)</f>
        <v>Thợ in</v>
      </c>
      <c r="E16" s="88">
        <f t="shared" ref="E16:E22" si="24">VLOOKUP(B16,DS,4,0)</f>
        <v>5000000</v>
      </c>
      <c r="F16" s="90">
        <f>VLOOKUP(B16,'CC -1'!$B$9:$AS$30,36,0)</f>
        <v>26</v>
      </c>
      <c r="G16" s="143">
        <f t="shared" ref="G16:G22" si="25">ROUND(E16/$U$2*F16,0)</f>
        <v>5000000</v>
      </c>
      <c r="H16" s="90">
        <f>(VLOOKUP(B16,'CC -1'!$B$9:$AS$30,37,0)+VLOOKUP(B16,'CC -1'!$B$9:$AS$30,38,0))</f>
        <v>0</v>
      </c>
      <c r="I16" s="143">
        <f t="shared" ref="I16:I22" si="26">ROUND(E16/$U$2*H16,0)</f>
        <v>0</v>
      </c>
      <c r="J16" s="144">
        <f t="shared" ref="J16:K22" si="27">F16+H16</f>
        <v>26</v>
      </c>
      <c r="K16" s="38">
        <f t="shared" si="27"/>
        <v>5000000</v>
      </c>
      <c r="L16" s="88">
        <f t="shared" ref="L16:L22" si="28">+F16*15000</f>
        <v>390000</v>
      </c>
      <c r="M16" s="39">
        <f t="shared" ref="M16:M22" si="29">K16+L16</f>
        <v>5390000</v>
      </c>
      <c r="N16" s="39">
        <f>IF(VLOOKUP(B16,DS,9,0)="x",'L - 1'!E16*$N$4,0)</f>
        <v>0</v>
      </c>
      <c r="O16" s="39">
        <f t="shared" ref="O16:O22" si="30">IF(VLOOKUP(B16,DS,9,0)="x",E16*0.015,0)</f>
        <v>0</v>
      </c>
      <c r="P16" s="39">
        <f t="shared" ref="P16:P22" si="31">IF(VLOOKUP(B16,DS,9,0)="x",E16*0.01,0)</f>
        <v>0</v>
      </c>
      <c r="Q16" s="38">
        <f>M16-SUM(N16:P16)</f>
        <v>5390000</v>
      </c>
      <c r="R16" s="38">
        <f t="shared" ref="R16:R22" si="32">VLOOKUP(B16,DS,23,0)</f>
        <v>0</v>
      </c>
      <c r="S16" s="44">
        <f>Q16-R16</f>
        <v>5390000</v>
      </c>
      <c r="T16" s="38"/>
      <c r="U16" s="102"/>
      <c r="V16" s="36"/>
      <c r="W16" s="27"/>
      <c r="X16" s="5"/>
      <c r="Y16" s="5"/>
      <c r="Z16" s="5"/>
      <c r="AA16" s="4"/>
      <c r="AB16" s="4"/>
      <c r="AC16" s="4"/>
      <c r="AD16" s="4"/>
      <c r="AE16" s="4"/>
    </row>
    <row r="17" spans="1:31" s="35" customFormat="1" ht="24" customHeight="1">
      <c r="A17" s="37">
        <v>2</v>
      </c>
      <c r="B17" s="139" t="s">
        <v>162</v>
      </c>
      <c r="C17" s="87" t="str">
        <f t="shared" si="22"/>
        <v>Võ Văn Kiệt</v>
      </c>
      <c r="D17" s="114" t="str">
        <f t="shared" si="23"/>
        <v>Công Đoạn 1</v>
      </c>
      <c r="E17" s="88">
        <f t="shared" si="24"/>
        <v>5000000</v>
      </c>
      <c r="F17" s="90">
        <f>VLOOKUP(B17,'CC -1'!$B$9:$AS$30,36,0)</f>
        <v>26</v>
      </c>
      <c r="G17" s="143">
        <f t="shared" si="25"/>
        <v>5000000</v>
      </c>
      <c r="H17" s="90">
        <f>(VLOOKUP(B17,'CC -1'!$B$9:$AS$30,37,0)+VLOOKUP(B17,'CC -1'!$B$9:$AS$30,38,0))</f>
        <v>0</v>
      </c>
      <c r="I17" s="143">
        <f t="shared" si="26"/>
        <v>0</v>
      </c>
      <c r="J17" s="144">
        <f t="shared" si="27"/>
        <v>26</v>
      </c>
      <c r="K17" s="38">
        <f t="shared" si="27"/>
        <v>5000000</v>
      </c>
      <c r="L17" s="88">
        <f t="shared" si="28"/>
        <v>390000</v>
      </c>
      <c r="M17" s="39">
        <f t="shared" si="29"/>
        <v>5390000</v>
      </c>
      <c r="N17" s="39">
        <f>IF(VLOOKUP(B17,DS,9,0)="x",'L - 1'!E17*$N$4,0)</f>
        <v>0</v>
      </c>
      <c r="O17" s="39">
        <f t="shared" si="30"/>
        <v>0</v>
      </c>
      <c r="P17" s="39">
        <f t="shared" si="31"/>
        <v>0</v>
      </c>
      <c r="Q17" s="38">
        <f t="shared" ref="Q17:Q18" si="33">M17-SUM(N17:P17)</f>
        <v>5390000</v>
      </c>
      <c r="R17" s="38">
        <f t="shared" si="32"/>
        <v>0</v>
      </c>
      <c r="S17" s="44">
        <f t="shared" ref="S17:S18" si="34">Q17-R17</f>
        <v>5390000</v>
      </c>
      <c r="T17" s="38"/>
      <c r="U17" s="102"/>
      <c r="V17" s="36"/>
      <c r="W17" s="27"/>
      <c r="X17" s="5"/>
      <c r="Y17" s="5"/>
      <c r="Z17" s="5"/>
      <c r="AA17" s="4"/>
      <c r="AB17" s="4"/>
      <c r="AC17" s="4"/>
      <c r="AD17" s="4"/>
      <c r="AE17" s="4"/>
    </row>
    <row r="18" spans="1:31" s="35" customFormat="1" ht="24" customHeight="1">
      <c r="A18" s="37">
        <v>3</v>
      </c>
      <c r="B18" s="139" t="s">
        <v>163</v>
      </c>
      <c r="C18" s="87" t="str">
        <f t="shared" si="22"/>
        <v>Diệp Văn Lân</v>
      </c>
      <c r="D18" s="114" t="str">
        <f t="shared" si="23"/>
        <v>Công Đoạn 1</v>
      </c>
      <c r="E18" s="88">
        <f t="shared" si="24"/>
        <v>4200000</v>
      </c>
      <c r="F18" s="90">
        <f>VLOOKUP(B18,'CC -1'!$B$9:$AS$30,36,0)</f>
        <v>26</v>
      </c>
      <c r="G18" s="143">
        <f t="shared" si="25"/>
        <v>4200000</v>
      </c>
      <c r="H18" s="90">
        <f>(VLOOKUP(B18,'CC -1'!$B$9:$AS$30,37,0)+VLOOKUP(B18,'CC -1'!$B$9:$AS$30,38,0))</f>
        <v>0</v>
      </c>
      <c r="I18" s="143">
        <f t="shared" si="26"/>
        <v>0</v>
      </c>
      <c r="J18" s="144">
        <f t="shared" si="27"/>
        <v>26</v>
      </c>
      <c r="K18" s="38">
        <f t="shared" si="27"/>
        <v>4200000</v>
      </c>
      <c r="L18" s="88">
        <f t="shared" si="28"/>
        <v>390000</v>
      </c>
      <c r="M18" s="39">
        <f t="shared" si="29"/>
        <v>4590000</v>
      </c>
      <c r="N18" s="39">
        <f>IF(VLOOKUP(B18,DS,9,0)="x",'L - 1'!E18*$N$4,0)</f>
        <v>0</v>
      </c>
      <c r="O18" s="39">
        <f t="shared" si="30"/>
        <v>0</v>
      </c>
      <c r="P18" s="39">
        <f t="shared" si="31"/>
        <v>0</v>
      </c>
      <c r="Q18" s="38">
        <f t="shared" si="33"/>
        <v>4590000</v>
      </c>
      <c r="R18" s="38">
        <f t="shared" si="32"/>
        <v>0</v>
      </c>
      <c r="S18" s="44">
        <f t="shared" si="34"/>
        <v>4590000</v>
      </c>
      <c r="T18" s="38"/>
      <c r="U18" s="102"/>
      <c r="V18" s="36"/>
      <c r="W18" s="27"/>
      <c r="X18" s="5"/>
      <c r="Y18" s="5"/>
      <c r="Z18" s="5"/>
      <c r="AA18" s="4"/>
      <c r="AB18" s="4"/>
      <c r="AC18" s="4"/>
      <c r="AD18" s="4"/>
      <c r="AE18" s="4"/>
    </row>
    <row r="19" spans="1:31" s="35" customFormat="1" ht="24" customHeight="1">
      <c r="A19" s="37">
        <v>4</v>
      </c>
      <c r="B19" s="139" t="s">
        <v>176</v>
      </c>
      <c r="C19" s="87" t="str">
        <f t="shared" ref="C19:C20" si="35">VLOOKUP(B19,DS,2,0)</f>
        <v>Dương Thế Kiệt</v>
      </c>
      <c r="D19" s="114" t="str">
        <f t="shared" ref="D19:D20" si="36">VLOOKUP(B19,DS,3,0)</f>
        <v>Công Đoạn 1</v>
      </c>
      <c r="E19" s="88">
        <f t="shared" ref="E19:E20" si="37">VLOOKUP(B19,DS,4,0)</f>
        <v>4200000</v>
      </c>
      <c r="F19" s="90">
        <f>VLOOKUP(B19,'CC -1'!$B$9:$AS$30,36,0)</f>
        <v>26</v>
      </c>
      <c r="G19" s="143">
        <f t="shared" ref="G19:G20" si="38">ROUND(E19/$U$2*F19,0)</f>
        <v>4200000</v>
      </c>
      <c r="H19" s="90">
        <f>(VLOOKUP(B19,'CC -1'!$B$9:$AS$30,37,0)+VLOOKUP(B19,'CC -1'!$B$9:$AS$30,38,0))</f>
        <v>0</v>
      </c>
      <c r="I19" s="143">
        <f t="shared" ref="I19:I20" si="39">ROUND(E19/$U$2*H19,0)</f>
        <v>0</v>
      </c>
      <c r="J19" s="144">
        <f t="shared" ref="J19:J20" si="40">F19+H19</f>
        <v>26</v>
      </c>
      <c r="K19" s="38">
        <f t="shared" ref="K19:K20" si="41">G19+I19</f>
        <v>4200000</v>
      </c>
      <c r="L19" s="88">
        <f t="shared" ref="L19:L20" si="42">+F19*15000</f>
        <v>390000</v>
      </c>
      <c r="M19" s="39">
        <f t="shared" ref="M19:M20" si="43">K19+L19</f>
        <v>4590000</v>
      </c>
      <c r="N19" s="39">
        <f>IF(VLOOKUP(B19,DS,9,0)="x",'L - 1'!E19*$N$4,0)</f>
        <v>0</v>
      </c>
      <c r="O19" s="39">
        <f t="shared" ref="O19:O20" si="44">IF(VLOOKUP(B19,DS,9,0)="x",E19*0.015,0)</f>
        <v>0</v>
      </c>
      <c r="P19" s="39">
        <f t="shared" ref="P19:P20" si="45">IF(VLOOKUP(B19,DS,9,0)="x",E19*0.01,0)</f>
        <v>0</v>
      </c>
      <c r="Q19" s="38">
        <f t="shared" ref="Q19:Q20" si="46">M19-SUM(N19:P19)</f>
        <v>4590000</v>
      </c>
      <c r="R19" s="38">
        <f t="shared" ref="R19:R20" si="47">VLOOKUP(B19,DS,23,0)</f>
        <v>0</v>
      </c>
      <c r="S19" s="44">
        <f t="shared" ref="S19:S20" si="48">Q19-R19</f>
        <v>4590000</v>
      </c>
      <c r="T19" s="38"/>
      <c r="U19" s="102"/>
      <c r="V19" s="36"/>
      <c r="W19" s="27"/>
      <c r="X19" s="5"/>
      <c r="Y19" s="5"/>
      <c r="Z19" s="5"/>
      <c r="AA19" s="4"/>
      <c r="AB19" s="4"/>
      <c r="AC19" s="4"/>
      <c r="AD19" s="4"/>
      <c r="AE19" s="4"/>
    </row>
    <row r="20" spans="1:31" s="35" customFormat="1" ht="24" customHeight="1">
      <c r="A20" s="37">
        <v>5</v>
      </c>
      <c r="B20" s="139" t="s">
        <v>177</v>
      </c>
      <c r="C20" s="87" t="str">
        <f t="shared" si="35"/>
        <v>Lê Văn Hữu</v>
      </c>
      <c r="D20" s="114" t="str">
        <f t="shared" si="36"/>
        <v>Công Đoạn 2</v>
      </c>
      <c r="E20" s="88">
        <f t="shared" si="37"/>
        <v>5000000</v>
      </c>
      <c r="F20" s="90">
        <f>VLOOKUP(B20,'CC -1'!$B$9:$AS$30,36,0)</f>
        <v>26</v>
      </c>
      <c r="G20" s="143">
        <f t="shared" si="38"/>
        <v>5000000</v>
      </c>
      <c r="H20" s="90">
        <f>(VLOOKUP(B20,'CC -1'!$B$9:$AS$30,37,0)+VLOOKUP(B20,'CC -1'!$B$9:$AS$30,38,0))</f>
        <v>0</v>
      </c>
      <c r="I20" s="143">
        <f t="shared" si="39"/>
        <v>0</v>
      </c>
      <c r="J20" s="144">
        <f t="shared" si="40"/>
        <v>26</v>
      </c>
      <c r="K20" s="38">
        <f t="shared" si="41"/>
        <v>5000000</v>
      </c>
      <c r="L20" s="88">
        <f t="shared" si="42"/>
        <v>390000</v>
      </c>
      <c r="M20" s="39">
        <f t="shared" si="43"/>
        <v>5390000</v>
      </c>
      <c r="N20" s="39">
        <f>IF(VLOOKUP(B20,DS,9,0)="x",'L - 1'!E20*$N$4,0)</f>
        <v>0</v>
      </c>
      <c r="O20" s="39">
        <f t="shared" si="44"/>
        <v>0</v>
      </c>
      <c r="P20" s="39">
        <f t="shared" si="45"/>
        <v>0</v>
      </c>
      <c r="Q20" s="38">
        <f t="shared" si="46"/>
        <v>5390000</v>
      </c>
      <c r="R20" s="38">
        <f t="shared" si="47"/>
        <v>0</v>
      </c>
      <c r="S20" s="44">
        <f t="shared" si="48"/>
        <v>5390000</v>
      </c>
      <c r="T20" s="38"/>
      <c r="U20" s="102"/>
      <c r="V20" s="36"/>
      <c r="W20" s="27"/>
      <c r="X20" s="5"/>
      <c r="Y20" s="5"/>
      <c r="Z20" s="5"/>
      <c r="AA20" s="4"/>
      <c r="AB20" s="4"/>
      <c r="AC20" s="4"/>
      <c r="AD20" s="4"/>
      <c r="AE20" s="4"/>
    </row>
    <row r="21" spans="1:31" s="35" customFormat="1" ht="24" customHeight="1">
      <c r="A21" s="37">
        <v>6</v>
      </c>
      <c r="B21" s="139" t="s">
        <v>178</v>
      </c>
      <c r="C21" s="87" t="str">
        <f t="shared" si="22"/>
        <v>Bùi Trường Giang</v>
      </c>
      <c r="D21" s="114" t="str">
        <f t="shared" si="23"/>
        <v>Công Đoạn 2</v>
      </c>
      <c r="E21" s="88">
        <f t="shared" si="24"/>
        <v>4200000</v>
      </c>
      <c r="F21" s="90">
        <f>VLOOKUP(B21,'CC -1'!$B$9:$AS$30,36,0)</f>
        <v>26</v>
      </c>
      <c r="G21" s="143">
        <f t="shared" si="25"/>
        <v>4200000</v>
      </c>
      <c r="H21" s="90">
        <f>(VLOOKUP(B21,'CC -1'!$B$9:$AS$30,37,0)+VLOOKUP(B21,'CC -1'!$B$9:$AS$30,38,0))</f>
        <v>0</v>
      </c>
      <c r="I21" s="143">
        <f t="shared" si="26"/>
        <v>0</v>
      </c>
      <c r="J21" s="144">
        <f t="shared" si="27"/>
        <v>26</v>
      </c>
      <c r="K21" s="38">
        <f t="shared" si="27"/>
        <v>4200000</v>
      </c>
      <c r="L21" s="88">
        <f t="shared" si="28"/>
        <v>390000</v>
      </c>
      <c r="M21" s="39">
        <f t="shared" si="29"/>
        <v>4590000</v>
      </c>
      <c r="N21" s="39">
        <f>IF(VLOOKUP(B21,DS,9,0)="x",'L - 1'!E21*$N$4,0)</f>
        <v>0</v>
      </c>
      <c r="O21" s="39">
        <f t="shared" si="30"/>
        <v>0</v>
      </c>
      <c r="P21" s="39">
        <f t="shared" si="31"/>
        <v>0</v>
      </c>
      <c r="Q21" s="38">
        <f t="shared" ref="Q21:Q22" si="49">M21-SUM(N21:P21)</f>
        <v>4590000</v>
      </c>
      <c r="R21" s="38">
        <f t="shared" si="32"/>
        <v>0</v>
      </c>
      <c r="S21" s="44">
        <f t="shared" ref="S21:S22" si="50">Q21-R21</f>
        <v>4590000</v>
      </c>
      <c r="T21" s="38"/>
      <c r="U21" s="102"/>
      <c r="V21" s="36"/>
      <c r="W21" s="27"/>
      <c r="X21" s="5"/>
      <c r="Y21" s="5"/>
      <c r="Z21" s="5"/>
      <c r="AA21" s="4"/>
      <c r="AB21" s="4"/>
      <c r="AC21" s="4"/>
      <c r="AD21" s="4"/>
      <c r="AE21" s="4"/>
    </row>
    <row r="22" spans="1:31" s="35" customFormat="1" ht="24" customHeight="1">
      <c r="A22" s="37">
        <v>7</v>
      </c>
      <c r="B22" s="139" t="s">
        <v>179</v>
      </c>
      <c r="C22" s="87" t="str">
        <f t="shared" si="22"/>
        <v>Nguyễn T Bích Thủy</v>
      </c>
      <c r="D22" s="114" t="str">
        <f t="shared" si="23"/>
        <v>Công Đoạn 2</v>
      </c>
      <c r="E22" s="88">
        <f t="shared" si="24"/>
        <v>4200000</v>
      </c>
      <c r="F22" s="90">
        <f>VLOOKUP(B22,'CC -1'!$B$9:$AS$30,36,0)</f>
        <v>26</v>
      </c>
      <c r="G22" s="143">
        <f t="shared" si="25"/>
        <v>4200000</v>
      </c>
      <c r="H22" s="90">
        <f>(VLOOKUP(B22,'CC -1'!$B$9:$AS$30,37,0)+VLOOKUP(B22,'CC -1'!$B$9:$AS$30,38,0))</f>
        <v>0</v>
      </c>
      <c r="I22" s="143">
        <f t="shared" si="26"/>
        <v>0</v>
      </c>
      <c r="J22" s="144">
        <f t="shared" si="27"/>
        <v>26</v>
      </c>
      <c r="K22" s="38">
        <f t="shared" si="27"/>
        <v>4200000</v>
      </c>
      <c r="L22" s="88">
        <f t="shared" si="28"/>
        <v>390000</v>
      </c>
      <c r="M22" s="39">
        <f t="shared" si="29"/>
        <v>4590000</v>
      </c>
      <c r="N22" s="39">
        <f>IF(VLOOKUP(B22,DS,9,0)="x",'L - 1'!E22*$N$4,0)</f>
        <v>0</v>
      </c>
      <c r="O22" s="39">
        <f t="shared" si="30"/>
        <v>0</v>
      </c>
      <c r="P22" s="39">
        <f t="shared" si="31"/>
        <v>0</v>
      </c>
      <c r="Q22" s="38">
        <f t="shared" si="49"/>
        <v>4590000</v>
      </c>
      <c r="R22" s="38">
        <f t="shared" si="32"/>
        <v>0</v>
      </c>
      <c r="S22" s="44">
        <f t="shared" si="50"/>
        <v>4590000</v>
      </c>
      <c r="T22" s="38"/>
      <c r="U22" s="102"/>
      <c r="V22" s="36"/>
      <c r="W22" s="27"/>
      <c r="X22" s="5"/>
      <c r="Y22" s="5"/>
      <c r="Z22" s="5"/>
      <c r="AA22" s="4"/>
      <c r="AB22" s="4"/>
      <c r="AC22" s="4"/>
      <c r="AD22" s="4"/>
      <c r="AE22" s="4"/>
    </row>
    <row r="23" spans="1:31" s="35" customFormat="1" ht="22.5" customHeight="1">
      <c r="A23" s="40"/>
      <c r="B23" s="183"/>
      <c r="C23" s="41"/>
      <c r="D23" s="3"/>
      <c r="E23" s="42"/>
      <c r="F23" s="42"/>
      <c r="G23" s="42"/>
      <c r="H23" s="42"/>
      <c r="I23" s="42"/>
      <c r="J23" s="43"/>
      <c r="K23" s="42"/>
      <c r="L23" s="42"/>
      <c r="M23" s="182"/>
      <c r="N23" s="42"/>
      <c r="O23" s="42"/>
      <c r="P23" s="42"/>
      <c r="Q23" s="42"/>
      <c r="R23" s="42"/>
      <c r="S23" s="42"/>
      <c r="T23" s="38"/>
      <c r="U23" s="102"/>
      <c r="V23" s="36"/>
      <c r="W23" s="36"/>
      <c r="X23" s="36"/>
      <c r="Y23" s="36"/>
      <c r="Z23" s="36"/>
    </row>
    <row r="24" spans="1:31" s="31" customFormat="1" ht="21" customHeight="1">
      <c r="A24" s="283" t="s">
        <v>25</v>
      </c>
      <c r="B24" s="283"/>
      <c r="C24" s="283"/>
      <c r="D24" s="283"/>
      <c r="E24" s="138">
        <f>SUM(E15:E23)</f>
        <v>31800000</v>
      </c>
      <c r="F24" s="138"/>
      <c r="G24" s="138">
        <f>SUM(G15:G23)</f>
        <v>31800000</v>
      </c>
      <c r="H24" s="138"/>
      <c r="I24" s="138">
        <f>SUM(I15:I23)</f>
        <v>0</v>
      </c>
      <c r="J24" s="138"/>
      <c r="K24" s="138">
        <f t="shared" ref="K24:S24" si="51">SUM(K15:K23)</f>
        <v>31800000</v>
      </c>
      <c r="L24" s="138">
        <f t="shared" si="51"/>
        <v>2730000</v>
      </c>
      <c r="M24" s="138">
        <f t="shared" si="51"/>
        <v>34530000</v>
      </c>
      <c r="N24" s="138">
        <f t="shared" si="51"/>
        <v>0</v>
      </c>
      <c r="O24" s="138">
        <f t="shared" si="51"/>
        <v>0</v>
      </c>
      <c r="P24" s="138">
        <f t="shared" si="51"/>
        <v>0</v>
      </c>
      <c r="Q24" s="138">
        <f t="shared" si="51"/>
        <v>34530000</v>
      </c>
      <c r="R24" s="138">
        <f t="shared" si="51"/>
        <v>0</v>
      </c>
      <c r="S24" s="138">
        <f t="shared" si="51"/>
        <v>34530000</v>
      </c>
      <c r="T24" s="25"/>
      <c r="U24" s="223"/>
      <c r="V24" s="32"/>
      <c r="W24" s="32"/>
      <c r="X24" s="32"/>
      <c r="Y24" s="32"/>
      <c r="Z24" s="32"/>
    </row>
    <row r="25" spans="1:31" ht="11.25" customHeight="1">
      <c r="A25" s="8"/>
      <c r="B25" s="8"/>
      <c r="C25" s="9"/>
      <c r="D25" s="115"/>
      <c r="E25" s="92"/>
      <c r="F25" s="9"/>
      <c r="G25" s="9"/>
      <c r="H25" s="9"/>
      <c r="I25" s="9"/>
      <c r="K25" s="9"/>
      <c r="L25" s="9"/>
      <c r="M25" s="100"/>
      <c r="N25" s="9"/>
      <c r="O25" s="9"/>
      <c r="P25" s="9"/>
      <c r="Q25" s="9"/>
      <c r="R25" s="9"/>
      <c r="S25" s="9"/>
      <c r="T25" s="9"/>
      <c r="U25" s="102"/>
    </row>
    <row r="26" spans="1:31" s="35" customFormat="1" ht="11.25" customHeight="1">
      <c r="A26" s="76"/>
      <c r="B26" s="76"/>
      <c r="C26" s="76"/>
      <c r="D26" s="131"/>
      <c r="E26" s="132"/>
      <c r="F26" s="76"/>
      <c r="G26" s="76"/>
      <c r="H26" s="76"/>
      <c r="I26" s="76"/>
      <c r="J26" s="133"/>
      <c r="K26" s="132"/>
      <c r="L26" s="76"/>
      <c r="M26" s="76"/>
      <c r="N26" s="76"/>
      <c r="O26" s="76"/>
      <c r="P26" s="76"/>
      <c r="Q26" s="76"/>
      <c r="R26" s="76"/>
      <c r="S26" s="106" t="str">
        <f>"Long An, ngày  "&amp;$V$2&amp;"   tháng   "&amp;TEXT(E4,"mm")&amp;"   năm "&amp;TEXT(E4,"yyyy")</f>
        <v>Long An, ngày  31   tháng   01   năm 2015</v>
      </c>
      <c r="T26" s="76"/>
      <c r="U26" s="134"/>
      <c r="V26" s="36"/>
      <c r="W26" s="36"/>
      <c r="X26" s="36"/>
      <c r="Y26" s="36"/>
      <c r="Z26" s="36"/>
    </row>
    <row r="27" spans="1:31" s="35" customFormat="1" ht="12.75">
      <c r="A27" s="28"/>
      <c r="B27" s="28"/>
      <c r="C27" s="28" t="s">
        <v>60</v>
      </c>
      <c r="D27" s="135"/>
      <c r="E27" s="77"/>
      <c r="F27" s="134"/>
      <c r="G27" s="77"/>
      <c r="H27" s="77"/>
      <c r="I27" s="77"/>
      <c r="J27" s="136"/>
      <c r="K27" s="36"/>
      <c r="L27" s="28"/>
      <c r="M27" s="145"/>
      <c r="N27" s="19"/>
      <c r="O27" s="19"/>
      <c r="P27" s="19"/>
      <c r="Q27" s="19"/>
      <c r="S27" s="134" t="s">
        <v>22</v>
      </c>
      <c r="T27" s="134"/>
      <c r="U27" s="134"/>
      <c r="V27" s="36"/>
      <c r="W27" s="36"/>
      <c r="X27" s="36"/>
      <c r="Y27" s="36"/>
      <c r="Z27" s="36"/>
    </row>
    <row r="28" spans="1:31" ht="12">
      <c r="A28" s="8"/>
      <c r="B28" s="8"/>
      <c r="C28" s="15"/>
      <c r="E28" s="13"/>
      <c r="F28" s="12"/>
      <c r="G28" s="13"/>
      <c r="H28" s="13"/>
      <c r="I28" s="13"/>
      <c r="K28" s="7"/>
      <c r="L28" s="15"/>
      <c r="N28" s="11"/>
      <c r="O28" s="11"/>
      <c r="P28" s="11"/>
      <c r="Q28" s="11"/>
      <c r="S28" s="11"/>
      <c r="T28" s="12"/>
      <c r="U28" s="102"/>
    </row>
    <row r="29" spans="1:31" ht="12">
      <c r="C29" s="15"/>
      <c r="L29" s="15"/>
      <c r="T29" s="15"/>
      <c r="U29" s="102"/>
    </row>
    <row r="30" spans="1:31" ht="12">
      <c r="U30" s="102"/>
    </row>
    <row r="31" spans="1:31" ht="12">
      <c r="U31" s="102"/>
    </row>
    <row r="32" spans="1:31" ht="12">
      <c r="U32" s="102"/>
    </row>
    <row r="33" spans="21:21" ht="12">
      <c r="U33" s="102"/>
    </row>
    <row r="34" spans="21:21" ht="12">
      <c r="U34" s="102"/>
    </row>
    <row r="35" spans="21:21" ht="12">
      <c r="U35" s="102"/>
    </row>
  </sheetData>
  <protectedRanges>
    <protectedRange password="CC78" sqref="V23:IK24 C5:D7 B27:C27 V5:W9 A23:A28 B23:B26 B28 V15:W15 Q5:T7 E5:I6 N5:P6 L5 L27 J6:K7 L7 A30:T63 U36:U63 N23:S23 V30:IK63 J23:L23 A64:IK65331 AF15:IK15 V14:IK14 D14:T14 D24:T24 W10:W13 Q10:S13 AF5:IK13 A10:B14" name="Range1"/>
    <protectedRange password="CC78" sqref="F7:H7" name="Range1_4"/>
    <protectedRange password="CC78" sqref="V27:IK28 S27:T28 N27:Q28 E27:I28" name="Range1_1_1"/>
    <protectedRange password="CC78" sqref="U1 W1:IK3 V4:IK4 B4:T4 R2:S3 B1:Q3 U23:U35 X15:AE15 X5:AE13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Q16:S22 AF16:IK22 W16:W22 A16:B22" name="Range1_5"/>
    <protectedRange password="CC78" sqref="X16:AE22 U16:U22" name="Range1_2_3"/>
    <protectedRange password="CC78" sqref="V16:V22" name="Range1_1_3"/>
    <protectedRange password="CC78" sqref="K10:K13 K16:K22" name="Range1_6"/>
    <protectedRange password="CC78" sqref="A2:A3" name="Range1_2_1_3"/>
  </protectedRanges>
  <autoFilter ref="A7:AE9"/>
  <mergeCells count="24">
    <mergeCell ref="A14:D14"/>
    <mergeCell ref="A24:D24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6"/>
  <sheetViews>
    <sheetView zoomScaleNormal="115" workbookViewId="0">
      <pane xSplit="3" ySplit="6" topLeftCell="D14" activePane="bottomRight" state="frozen"/>
      <selection activeCell="X10" sqref="X10"/>
      <selection pane="topRight" activeCell="X10" sqref="X10"/>
      <selection pane="bottomLeft" activeCell="X10" sqref="X10"/>
      <selection pane="bottomRight" activeCell="A16" sqref="A16:B2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7" customWidth="1"/>
    <col min="5" max="5" width="7.140625" style="2" customWidth="1"/>
    <col min="6" max="33" width="3.42578125" style="121" customWidth="1"/>
    <col min="34" max="34" width="3.42578125" style="122" hidden="1" customWidth="1"/>
    <col min="35" max="36" width="4.42578125" style="2" customWidth="1"/>
    <col min="37" max="37" width="5.5703125" style="98" customWidth="1"/>
    <col min="38" max="38" width="6.140625" style="2" customWidth="1"/>
    <col min="39" max="41" width="5" style="2" hidden="1" customWidth="1"/>
    <col min="42" max="42" width="5" style="2" customWidth="1"/>
    <col min="43" max="43" width="11.7109375" style="2" customWidth="1"/>
    <col min="44" max="44" width="9.85546875" style="2" customWidth="1"/>
    <col min="45" max="45" width="3.7109375" style="2" customWidth="1"/>
    <col min="46" max="46" width="8.5703125" style="2" customWidth="1"/>
    <col min="47" max="16384" width="3.7109375" style="2"/>
  </cols>
  <sheetData>
    <row r="1" spans="1:89" ht="37.5" customHeight="1">
      <c r="A1" s="137"/>
      <c r="B1" s="52"/>
      <c r="C1" s="52"/>
      <c r="D1" s="56"/>
      <c r="E1" s="52"/>
      <c r="F1" s="56"/>
      <c r="G1" s="56"/>
      <c r="H1" s="56"/>
      <c r="I1" s="56"/>
      <c r="J1" s="56"/>
      <c r="K1" s="117"/>
      <c r="L1" s="117"/>
      <c r="M1" s="117"/>
      <c r="N1" s="117"/>
      <c r="O1" s="117"/>
      <c r="P1" s="117"/>
      <c r="Q1" s="117"/>
      <c r="R1" s="117"/>
      <c r="S1" s="54" t="str">
        <f>CONCATENATE("BẢNG CHẤM CÔNG THÁNG ",TEXT($E$4,"mm")," NĂM ",TEXT($E$4,"yyyy"))</f>
        <v>BẢNG CHẤM CÔNG THÁNG 02 NĂM 2015</v>
      </c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53"/>
      <c r="AJ1" s="53"/>
      <c r="AK1" s="242" t="s">
        <v>170</v>
      </c>
      <c r="AL1" s="243"/>
      <c r="AM1" s="243"/>
      <c r="AN1" s="243"/>
      <c r="AO1" s="243"/>
      <c r="AP1" s="243"/>
      <c r="AQ1" s="244"/>
      <c r="AR1" s="55"/>
    </row>
    <row r="2" spans="1:89" ht="20.25">
      <c r="A2" s="137"/>
      <c r="B2" s="56"/>
      <c r="C2" s="56"/>
      <c r="D2" s="56"/>
      <c r="E2" s="56"/>
      <c r="F2" s="56"/>
      <c r="G2" s="56"/>
      <c r="H2" s="56"/>
      <c r="I2" s="56"/>
      <c r="J2" s="56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53"/>
      <c r="AJ2" s="53"/>
      <c r="AK2" s="94"/>
      <c r="AL2" s="57"/>
      <c r="AM2" s="57"/>
      <c r="AN2" s="57"/>
      <c r="AO2" s="57"/>
      <c r="AP2" s="57"/>
      <c r="AQ2" s="93"/>
      <c r="AR2" s="93"/>
    </row>
    <row r="3" spans="1:89" ht="21" customHeight="1">
      <c r="A3" s="137"/>
      <c r="B3" s="58"/>
      <c r="C3" s="58"/>
      <c r="D3" s="59"/>
      <c r="E3" s="59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53"/>
      <c r="AJ3" s="53"/>
      <c r="AK3" s="94"/>
      <c r="AL3" s="55"/>
      <c r="AM3" s="55"/>
      <c r="AN3" s="55"/>
      <c r="AO3" s="55"/>
      <c r="AP3" s="55"/>
      <c r="AQ3" s="60"/>
      <c r="AR3" s="60"/>
    </row>
    <row r="4" spans="1:89" ht="14.25" customHeight="1">
      <c r="A4" s="61"/>
      <c r="B4" s="61"/>
      <c r="C4" s="154"/>
      <c r="D4" s="153"/>
      <c r="E4" s="62">
        <v>42036</v>
      </c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4"/>
      <c r="AI4" s="61"/>
      <c r="AJ4" s="61"/>
      <c r="AK4" s="95"/>
      <c r="AL4" s="61"/>
      <c r="AM4" s="61"/>
      <c r="AN4" s="61"/>
      <c r="AO4" s="61"/>
      <c r="AP4" s="61"/>
      <c r="AQ4" s="61"/>
      <c r="AR4" s="99"/>
    </row>
    <row r="5" spans="1:89" s="65" customFormat="1" ht="18.75" customHeight="1">
      <c r="A5" s="245" t="s">
        <v>28</v>
      </c>
      <c r="B5" s="245" t="s">
        <v>3</v>
      </c>
      <c r="C5" s="245" t="s">
        <v>1</v>
      </c>
      <c r="D5" s="247" t="s">
        <v>29</v>
      </c>
      <c r="E5" s="245" t="s">
        <v>30</v>
      </c>
      <c r="F5" s="116">
        <f>+E4</f>
        <v>42036</v>
      </c>
      <c r="G5" s="116">
        <f t="shared" ref="G5:AG5" si="0">F5+1</f>
        <v>42037</v>
      </c>
      <c r="H5" s="116">
        <f t="shared" si="0"/>
        <v>42038</v>
      </c>
      <c r="I5" s="116">
        <f t="shared" si="0"/>
        <v>42039</v>
      </c>
      <c r="J5" s="116">
        <f t="shared" si="0"/>
        <v>42040</v>
      </c>
      <c r="K5" s="116">
        <f t="shared" si="0"/>
        <v>42041</v>
      </c>
      <c r="L5" s="116">
        <f t="shared" si="0"/>
        <v>42042</v>
      </c>
      <c r="M5" s="116">
        <f t="shared" si="0"/>
        <v>42043</v>
      </c>
      <c r="N5" s="116">
        <f t="shared" si="0"/>
        <v>42044</v>
      </c>
      <c r="O5" s="116">
        <f t="shared" si="0"/>
        <v>42045</v>
      </c>
      <c r="P5" s="116">
        <f t="shared" si="0"/>
        <v>42046</v>
      </c>
      <c r="Q5" s="116">
        <f t="shared" si="0"/>
        <v>42047</v>
      </c>
      <c r="R5" s="116">
        <f t="shared" si="0"/>
        <v>42048</v>
      </c>
      <c r="S5" s="116">
        <f t="shared" si="0"/>
        <v>42049</v>
      </c>
      <c r="T5" s="116">
        <f t="shared" si="0"/>
        <v>42050</v>
      </c>
      <c r="U5" s="116">
        <f t="shared" si="0"/>
        <v>42051</v>
      </c>
      <c r="V5" s="116">
        <f t="shared" si="0"/>
        <v>42052</v>
      </c>
      <c r="W5" s="116">
        <f t="shared" si="0"/>
        <v>42053</v>
      </c>
      <c r="X5" s="116">
        <f t="shared" si="0"/>
        <v>42054</v>
      </c>
      <c r="Y5" s="116">
        <f t="shared" si="0"/>
        <v>42055</v>
      </c>
      <c r="Z5" s="116">
        <f t="shared" si="0"/>
        <v>42056</v>
      </c>
      <c r="AA5" s="116">
        <f t="shared" si="0"/>
        <v>42057</v>
      </c>
      <c r="AB5" s="116">
        <f t="shared" si="0"/>
        <v>42058</v>
      </c>
      <c r="AC5" s="116">
        <f t="shared" si="0"/>
        <v>42059</v>
      </c>
      <c r="AD5" s="116">
        <f t="shared" si="0"/>
        <v>42060</v>
      </c>
      <c r="AE5" s="116">
        <f t="shared" si="0"/>
        <v>42061</v>
      </c>
      <c r="AF5" s="116">
        <f t="shared" si="0"/>
        <v>42062</v>
      </c>
      <c r="AG5" s="116">
        <f t="shared" si="0"/>
        <v>42063</v>
      </c>
      <c r="AH5" s="116">
        <f>AG5+1</f>
        <v>42064</v>
      </c>
      <c r="AI5" s="248" t="s">
        <v>15</v>
      </c>
      <c r="AJ5" s="249"/>
      <c r="AK5" s="250"/>
      <c r="AL5" s="251" t="s">
        <v>45</v>
      </c>
      <c r="AM5" s="251" t="s">
        <v>41</v>
      </c>
      <c r="AN5" s="251" t="s">
        <v>42</v>
      </c>
      <c r="AO5" s="251" t="s">
        <v>43</v>
      </c>
      <c r="AP5" s="251" t="s">
        <v>44</v>
      </c>
      <c r="AQ5" s="247" t="s">
        <v>0</v>
      </c>
      <c r="AR5" s="261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</row>
    <row r="6" spans="1:89" s="65" customFormat="1" ht="39.75" customHeight="1">
      <c r="A6" s="246"/>
      <c r="B6" s="246"/>
      <c r="C6" s="246"/>
      <c r="D6" s="246"/>
      <c r="E6" s="246"/>
      <c r="F6" s="172" t="str">
        <f>CHOOSE(WEEKDAY(F5),"C.Nhật","T.Hai","T.Ba","T.Tư","T.Năm","T.Sáu","T.Bảy")</f>
        <v>C.Nhật</v>
      </c>
      <c r="G6" s="172" t="str">
        <f t="shared" ref="G6:AH6" si="1">CHOOSE(WEEKDAY(G5),"C.Nhật","T.Hai","T.Ba","T.Tư","T.Năm","T.Sáu","T.Bảy")</f>
        <v>T.Hai</v>
      </c>
      <c r="H6" s="172" t="str">
        <f t="shared" si="1"/>
        <v>T.Ba</v>
      </c>
      <c r="I6" s="172" t="str">
        <f t="shared" si="1"/>
        <v>T.Tư</v>
      </c>
      <c r="J6" s="172" t="str">
        <f t="shared" si="1"/>
        <v>T.Năm</v>
      </c>
      <c r="K6" s="172" t="str">
        <f t="shared" si="1"/>
        <v>T.Sáu</v>
      </c>
      <c r="L6" s="172" t="str">
        <f t="shared" si="1"/>
        <v>T.Bảy</v>
      </c>
      <c r="M6" s="172" t="str">
        <f t="shared" si="1"/>
        <v>C.Nhật</v>
      </c>
      <c r="N6" s="172" t="str">
        <f t="shared" si="1"/>
        <v>T.Hai</v>
      </c>
      <c r="O6" s="172" t="str">
        <f t="shared" si="1"/>
        <v>T.Ba</v>
      </c>
      <c r="P6" s="172" t="str">
        <f t="shared" si="1"/>
        <v>T.Tư</v>
      </c>
      <c r="Q6" s="172" t="str">
        <f t="shared" si="1"/>
        <v>T.Năm</v>
      </c>
      <c r="R6" s="172" t="str">
        <f t="shared" si="1"/>
        <v>T.Sáu</v>
      </c>
      <c r="S6" s="172" t="str">
        <f t="shared" si="1"/>
        <v>T.Bảy</v>
      </c>
      <c r="T6" s="172" t="str">
        <f t="shared" si="1"/>
        <v>C.Nhật</v>
      </c>
      <c r="U6" s="172" t="str">
        <f t="shared" si="1"/>
        <v>T.Hai</v>
      </c>
      <c r="V6" s="172" t="str">
        <f t="shared" si="1"/>
        <v>T.Ba</v>
      </c>
      <c r="W6" s="172" t="str">
        <f t="shared" si="1"/>
        <v>T.Tư</v>
      </c>
      <c r="X6" s="172" t="str">
        <f t="shared" si="1"/>
        <v>T.Năm</v>
      </c>
      <c r="Y6" s="172" t="str">
        <f t="shared" si="1"/>
        <v>T.Sáu</v>
      </c>
      <c r="Z6" s="172" t="str">
        <f t="shared" si="1"/>
        <v>T.Bảy</v>
      </c>
      <c r="AA6" s="172" t="str">
        <f t="shared" si="1"/>
        <v>C.Nhật</v>
      </c>
      <c r="AB6" s="172" t="str">
        <f t="shared" si="1"/>
        <v>T.Hai</v>
      </c>
      <c r="AC6" s="172" t="str">
        <f t="shared" si="1"/>
        <v>T.Ba</v>
      </c>
      <c r="AD6" s="172" t="str">
        <f t="shared" si="1"/>
        <v>T.Tư</v>
      </c>
      <c r="AE6" s="172" t="str">
        <f t="shared" si="1"/>
        <v>T.Năm</v>
      </c>
      <c r="AF6" s="172" t="str">
        <f t="shared" si="1"/>
        <v>T.Sáu</v>
      </c>
      <c r="AG6" s="172" t="str">
        <f t="shared" si="1"/>
        <v>T.Bảy</v>
      </c>
      <c r="AH6" s="172" t="str">
        <f t="shared" si="1"/>
        <v>C.Nhật</v>
      </c>
      <c r="AI6" s="173" t="s">
        <v>16</v>
      </c>
      <c r="AJ6" s="173" t="s">
        <v>31</v>
      </c>
      <c r="AK6" s="174" t="s">
        <v>17</v>
      </c>
      <c r="AL6" s="252"/>
      <c r="AM6" s="252"/>
      <c r="AN6" s="252"/>
      <c r="AO6" s="252"/>
      <c r="AP6" s="252"/>
      <c r="AQ6" s="246"/>
      <c r="AR6" s="261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</row>
    <row r="7" spans="1:89" s="65" customFormat="1" ht="12.75" customHeight="1">
      <c r="A7" s="175">
        <v>1</v>
      </c>
      <c r="B7" s="175">
        <v>1</v>
      </c>
      <c r="C7" s="175">
        <v>2</v>
      </c>
      <c r="D7" s="175">
        <v>3</v>
      </c>
      <c r="E7" s="175">
        <v>4</v>
      </c>
      <c r="F7" s="175">
        <v>5</v>
      </c>
      <c r="G7" s="175">
        <v>6</v>
      </c>
      <c r="H7" s="175">
        <v>7</v>
      </c>
      <c r="I7" s="175">
        <v>8</v>
      </c>
      <c r="J7" s="175">
        <v>9</v>
      </c>
      <c r="K7" s="175">
        <v>10</v>
      </c>
      <c r="L7" s="175">
        <v>11</v>
      </c>
      <c r="M7" s="175">
        <v>12</v>
      </c>
      <c r="N7" s="175">
        <v>13</v>
      </c>
      <c r="O7" s="175">
        <v>14</v>
      </c>
      <c r="P7" s="175">
        <v>15</v>
      </c>
      <c r="Q7" s="175">
        <v>16</v>
      </c>
      <c r="R7" s="175">
        <v>17</v>
      </c>
      <c r="S7" s="175">
        <v>18</v>
      </c>
      <c r="T7" s="175">
        <v>19</v>
      </c>
      <c r="U7" s="175">
        <v>20</v>
      </c>
      <c r="V7" s="175">
        <v>21</v>
      </c>
      <c r="W7" s="175">
        <v>22</v>
      </c>
      <c r="X7" s="175">
        <v>23</v>
      </c>
      <c r="Y7" s="175">
        <v>24</v>
      </c>
      <c r="Z7" s="175">
        <v>25</v>
      </c>
      <c r="AA7" s="175">
        <v>26</v>
      </c>
      <c r="AB7" s="175">
        <v>27</v>
      </c>
      <c r="AC7" s="175">
        <v>28</v>
      </c>
      <c r="AD7" s="175">
        <v>29</v>
      </c>
      <c r="AE7" s="175">
        <v>30</v>
      </c>
      <c r="AF7" s="175">
        <v>31</v>
      </c>
      <c r="AG7" s="175">
        <v>32</v>
      </c>
      <c r="AH7" s="175">
        <v>33</v>
      </c>
      <c r="AI7" s="175">
        <v>34</v>
      </c>
      <c r="AJ7" s="175">
        <v>35</v>
      </c>
      <c r="AK7" s="175">
        <v>36</v>
      </c>
      <c r="AL7" s="175">
        <v>37</v>
      </c>
      <c r="AM7" s="175">
        <v>38</v>
      </c>
      <c r="AN7" s="175">
        <v>39</v>
      </c>
      <c r="AO7" s="175">
        <v>40</v>
      </c>
      <c r="AP7" s="175">
        <v>41</v>
      </c>
      <c r="AQ7" s="175">
        <v>42</v>
      </c>
      <c r="AR7" s="219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</row>
    <row r="8" spans="1:89" s="178" customFormat="1" ht="21" customHeight="1">
      <c r="A8" s="176" t="s">
        <v>154</v>
      </c>
      <c r="B8" s="179" t="s">
        <v>169</v>
      </c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0"/>
      <c r="W8" s="180"/>
      <c r="X8" s="180"/>
      <c r="Y8" s="180"/>
      <c r="Z8" s="180"/>
      <c r="AA8" s="180"/>
      <c r="AB8" s="180"/>
      <c r="AC8" s="180"/>
      <c r="AD8" s="180"/>
      <c r="AE8" s="180"/>
      <c r="AF8" s="180"/>
      <c r="AG8" s="180"/>
      <c r="AH8" s="180"/>
      <c r="AI8" s="180"/>
      <c r="AJ8" s="180"/>
      <c r="AK8" s="180"/>
      <c r="AL8" s="180"/>
      <c r="AM8" s="180"/>
      <c r="AN8" s="180"/>
      <c r="AO8" s="180"/>
      <c r="AP8" s="180"/>
      <c r="AQ8" s="181"/>
      <c r="AR8" s="177"/>
    </row>
    <row r="9" spans="1:89" s="65" customFormat="1" ht="18" customHeight="1">
      <c r="A9" s="253">
        <v>1</v>
      </c>
      <c r="B9" s="253" t="s">
        <v>159</v>
      </c>
      <c r="C9" s="255" t="str">
        <f>VLOOKUP(B9,DS,2,0)</f>
        <v>Nguyễn Thị Thu Sương</v>
      </c>
      <c r="D9" s="257" t="str">
        <f>VLOOKUP(B9,DS,3,0)</f>
        <v>Kinh Doanh</v>
      </c>
      <c r="E9" s="66" t="s">
        <v>32</v>
      </c>
      <c r="F9" s="141"/>
      <c r="G9" s="141">
        <v>8</v>
      </c>
      <c r="H9" s="141">
        <v>8</v>
      </c>
      <c r="I9" s="141">
        <v>8</v>
      </c>
      <c r="J9" s="141">
        <v>8</v>
      </c>
      <c r="K9" s="141">
        <v>8</v>
      </c>
      <c r="L9" s="141">
        <v>8</v>
      </c>
      <c r="M9" s="141"/>
      <c r="N9" s="141">
        <v>8</v>
      </c>
      <c r="O9" s="141">
        <v>8</v>
      </c>
      <c r="P9" s="141">
        <v>8</v>
      </c>
      <c r="Q9" s="141">
        <v>8</v>
      </c>
      <c r="R9" s="141">
        <v>8</v>
      </c>
      <c r="S9" s="141">
        <v>8</v>
      </c>
      <c r="T9" s="141"/>
      <c r="U9" s="141">
        <v>8</v>
      </c>
      <c r="V9" s="141">
        <v>8</v>
      </c>
      <c r="W9" s="141"/>
      <c r="X9" s="141"/>
      <c r="Y9" s="141"/>
      <c r="Z9" s="141"/>
      <c r="AA9" s="141"/>
      <c r="AB9" s="141"/>
      <c r="AC9" s="141">
        <v>8</v>
      </c>
      <c r="AD9" s="141">
        <v>8</v>
      </c>
      <c r="AE9" s="141">
        <v>8</v>
      </c>
      <c r="AF9" s="141">
        <v>8</v>
      </c>
      <c r="AG9" s="141">
        <v>8</v>
      </c>
      <c r="AH9" s="141"/>
      <c r="AI9" s="259">
        <f>((SUM(F9:AH9))/8)-(SUMIF($F$6:$AH$6,"C.Nhật",F9:AH9)/8)</f>
        <v>19</v>
      </c>
      <c r="AJ9" s="259">
        <f>SUM(F10:AH10)/8*1.5</f>
        <v>0</v>
      </c>
      <c r="AK9" s="262">
        <f>SUMIF($F$6:$AH$6,"C.Nhật",$F9:$AH10)/8*2</f>
        <v>0</v>
      </c>
      <c r="AL9" s="264">
        <f>SUM(AI9:AK10)</f>
        <v>19</v>
      </c>
      <c r="AM9" s="266">
        <v>0</v>
      </c>
      <c r="AN9" s="264"/>
      <c r="AO9" s="264"/>
      <c r="AP9" s="264"/>
      <c r="AQ9" s="268"/>
      <c r="AR9" s="219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</row>
    <row r="10" spans="1:89" s="65" customFormat="1" ht="18" customHeight="1">
      <c r="A10" s="254"/>
      <c r="B10" s="254"/>
      <c r="C10" s="256"/>
      <c r="D10" s="258"/>
      <c r="E10" s="67" t="s">
        <v>31</v>
      </c>
      <c r="F10" s="142"/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260"/>
      <c r="AJ10" s="260"/>
      <c r="AK10" s="263"/>
      <c r="AL10" s="265"/>
      <c r="AM10" s="267"/>
      <c r="AN10" s="265"/>
      <c r="AO10" s="265"/>
      <c r="AP10" s="265"/>
      <c r="AQ10" s="269"/>
      <c r="AR10" s="219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</row>
    <row r="11" spans="1:89" s="65" customFormat="1" ht="18" customHeight="1">
      <c r="A11" s="253">
        <v>2</v>
      </c>
      <c r="B11" s="253" t="s">
        <v>160</v>
      </c>
      <c r="C11" s="255" t="str">
        <f>VLOOKUP(B11,DS,2,0)</f>
        <v>Trần Anh Nhựt</v>
      </c>
      <c r="D11" s="257" t="str">
        <f>VLOOKUP(B11,DS,3,0)</f>
        <v>Thiết Kế</v>
      </c>
      <c r="E11" s="66" t="s">
        <v>32</v>
      </c>
      <c r="F11" s="141"/>
      <c r="G11" s="141">
        <v>8</v>
      </c>
      <c r="H11" s="141">
        <v>8</v>
      </c>
      <c r="I11" s="141">
        <v>8</v>
      </c>
      <c r="J11" s="141">
        <v>8</v>
      </c>
      <c r="K11" s="141">
        <v>8</v>
      </c>
      <c r="L11" s="141">
        <v>8</v>
      </c>
      <c r="M11" s="141"/>
      <c r="N11" s="141">
        <v>8</v>
      </c>
      <c r="O11" s="141">
        <v>8</v>
      </c>
      <c r="P11" s="141">
        <v>8</v>
      </c>
      <c r="Q11" s="141">
        <v>8</v>
      </c>
      <c r="R11" s="141">
        <v>8</v>
      </c>
      <c r="S11" s="141">
        <v>8</v>
      </c>
      <c r="T11" s="141"/>
      <c r="U11" s="141">
        <v>8</v>
      </c>
      <c r="V11" s="141">
        <v>8</v>
      </c>
      <c r="W11" s="141"/>
      <c r="X11" s="141"/>
      <c r="Y11" s="141"/>
      <c r="Z11" s="141"/>
      <c r="AA11" s="141"/>
      <c r="AB11" s="141"/>
      <c r="AC11" s="141">
        <v>8</v>
      </c>
      <c r="AD11" s="141">
        <v>8</v>
      </c>
      <c r="AE11" s="141">
        <v>8</v>
      </c>
      <c r="AF11" s="141">
        <v>8</v>
      </c>
      <c r="AG11" s="141">
        <v>8</v>
      </c>
      <c r="AH11" s="141"/>
      <c r="AI11" s="259">
        <f>((SUM(F11:AH11))/8)-(SUMIF($F$6:$AH$6,"C.Nhật",F11:AH11)/8)</f>
        <v>19</v>
      </c>
      <c r="AJ11" s="259">
        <f>SUM(F12:AH12)/8*1.5</f>
        <v>0</v>
      </c>
      <c r="AK11" s="262">
        <f>SUMIF($F$6:$AH$6,"C.Nhật",$F11:$AH12)/8*2</f>
        <v>0</v>
      </c>
      <c r="AL11" s="264">
        <f t="shared" ref="AL11" si="2">SUM(AI11:AK12)</f>
        <v>19</v>
      </c>
      <c r="AM11" s="266">
        <v>0</v>
      </c>
      <c r="AN11" s="264"/>
      <c r="AO11" s="264"/>
      <c r="AP11" s="264"/>
      <c r="AQ11" s="268"/>
      <c r="AR11" s="227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</row>
    <row r="12" spans="1:89" s="65" customFormat="1" ht="18" customHeight="1">
      <c r="A12" s="254"/>
      <c r="B12" s="254"/>
      <c r="C12" s="256"/>
      <c r="D12" s="258"/>
      <c r="E12" s="67" t="s">
        <v>31</v>
      </c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260"/>
      <c r="AJ12" s="260"/>
      <c r="AK12" s="263"/>
      <c r="AL12" s="265"/>
      <c r="AM12" s="267"/>
      <c r="AN12" s="265"/>
      <c r="AO12" s="265"/>
      <c r="AP12" s="265"/>
      <c r="AQ12" s="269"/>
      <c r="AR12" s="227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</row>
    <row r="13" spans="1:89" s="65" customFormat="1" ht="18" customHeight="1">
      <c r="A13" s="253">
        <v>3</v>
      </c>
      <c r="B13" s="253" t="s">
        <v>168</v>
      </c>
      <c r="C13" s="255" t="str">
        <f>VLOOKUP(B13,DS,2,0)</f>
        <v>Huỳnh Minh Toàn</v>
      </c>
      <c r="D13" s="257" t="str">
        <f>VLOOKUP(B13,DS,3,0)</f>
        <v>Thủ Kho</v>
      </c>
      <c r="E13" s="66" t="s">
        <v>32</v>
      </c>
      <c r="F13" s="141"/>
      <c r="G13" s="141">
        <v>8</v>
      </c>
      <c r="H13" s="141">
        <v>8</v>
      </c>
      <c r="I13" s="141">
        <v>8</v>
      </c>
      <c r="J13" s="141">
        <v>8</v>
      </c>
      <c r="K13" s="141">
        <v>8</v>
      </c>
      <c r="L13" s="141">
        <v>8</v>
      </c>
      <c r="M13" s="141"/>
      <c r="N13" s="141">
        <v>8</v>
      </c>
      <c r="O13" s="141">
        <v>8</v>
      </c>
      <c r="P13" s="141">
        <v>8</v>
      </c>
      <c r="Q13" s="141">
        <v>8</v>
      </c>
      <c r="R13" s="141">
        <v>8</v>
      </c>
      <c r="S13" s="141">
        <v>8</v>
      </c>
      <c r="T13" s="141"/>
      <c r="U13" s="141">
        <v>8</v>
      </c>
      <c r="V13" s="141">
        <v>8</v>
      </c>
      <c r="W13" s="141"/>
      <c r="X13" s="141"/>
      <c r="Y13" s="141"/>
      <c r="Z13" s="141"/>
      <c r="AA13" s="141"/>
      <c r="AB13" s="141"/>
      <c r="AC13" s="141">
        <v>8</v>
      </c>
      <c r="AD13" s="141">
        <v>8</v>
      </c>
      <c r="AE13" s="141">
        <v>8</v>
      </c>
      <c r="AF13" s="141">
        <v>8</v>
      </c>
      <c r="AG13" s="141">
        <v>8</v>
      </c>
      <c r="AH13" s="141"/>
      <c r="AI13" s="259">
        <f>((SUM(F13:AH13))/8)-(SUMIF($F$6:$AH$6,"C.Nhật",F13:AH13)/8)</f>
        <v>19</v>
      </c>
      <c r="AJ13" s="259">
        <f>SUM(F14:AH14)/8*1.5</f>
        <v>0</v>
      </c>
      <c r="AK13" s="262">
        <f>SUMIF($F$6:$AH$6,"C.Nhật",$F13:$AH14)/8*2</f>
        <v>0</v>
      </c>
      <c r="AL13" s="264">
        <f t="shared" ref="AL13" si="3">SUM(AI13:AK14)</f>
        <v>19</v>
      </c>
      <c r="AM13" s="266">
        <v>0</v>
      </c>
      <c r="AN13" s="264"/>
      <c r="AO13" s="264"/>
      <c r="AP13" s="264"/>
      <c r="AQ13" s="268"/>
      <c r="AR13" s="219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</row>
    <row r="14" spans="1:89" s="65" customFormat="1" ht="18" customHeight="1">
      <c r="A14" s="254"/>
      <c r="B14" s="254"/>
      <c r="C14" s="256"/>
      <c r="D14" s="258"/>
      <c r="E14" s="67" t="s">
        <v>31</v>
      </c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260"/>
      <c r="AJ14" s="260"/>
      <c r="AK14" s="263"/>
      <c r="AL14" s="265"/>
      <c r="AM14" s="267"/>
      <c r="AN14" s="265"/>
      <c r="AO14" s="265"/>
      <c r="AP14" s="265"/>
      <c r="AQ14" s="269"/>
      <c r="AR14" s="219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</row>
    <row r="15" spans="1:89" s="178" customFormat="1" ht="21" customHeight="1">
      <c r="A15" s="176" t="s">
        <v>155</v>
      </c>
      <c r="B15" s="179" t="s">
        <v>158</v>
      </c>
      <c r="C15" s="180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0"/>
      <c r="U15" s="180"/>
      <c r="V15" s="180"/>
      <c r="W15" s="180"/>
      <c r="X15" s="180"/>
      <c r="Y15" s="180"/>
      <c r="Z15" s="180"/>
      <c r="AA15" s="180"/>
      <c r="AB15" s="180"/>
      <c r="AC15" s="180"/>
      <c r="AD15" s="180"/>
      <c r="AE15" s="180"/>
      <c r="AF15" s="180"/>
      <c r="AG15" s="180"/>
      <c r="AH15" s="180"/>
      <c r="AI15" s="180"/>
      <c r="AJ15" s="180"/>
      <c r="AK15" s="180"/>
      <c r="AL15" s="180"/>
      <c r="AM15" s="180"/>
      <c r="AN15" s="180"/>
      <c r="AO15" s="180"/>
      <c r="AP15" s="180"/>
      <c r="AQ15" s="181"/>
      <c r="AR15" s="177"/>
    </row>
    <row r="16" spans="1:89" s="65" customFormat="1" ht="18" customHeight="1">
      <c r="A16" s="253">
        <v>1</v>
      </c>
      <c r="B16" s="253" t="s">
        <v>161</v>
      </c>
      <c r="C16" s="255" t="str">
        <f>VLOOKUP(B16,DS,2,0)</f>
        <v>Nguyễn Trường Giang</v>
      </c>
      <c r="D16" s="257" t="str">
        <f>VLOOKUP(B16,DS,3,0)</f>
        <v>Thợ in</v>
      </c>
      <c r="E16" s="66" t="s">
        <v>32</v>
      </c>
      <c r="F16" s="141"/>
      <c r="G16" s="141">
        <v>8</v>
      </c>
      <c r="H16" s="141">
        <v>8</v>
      </c>
      <c r="I16" s="141">
        <v>8</v>
      </c>
      <c r="J16" s="141">
        <v>8</v>
      </c>
      <c r="K16" s="141">
        <v>8</v>
      </c>
      <c r="L16" s="141">
        <v>8</v>
      </c>
      <c r="M16" s="141"/>
      <c r="N16" s="141">
        <v>8</v>
      </c>
      <c r="O16" s="141">
        <v>8</v>
      </c>
      <c r="P16" s="141">
        <v>8</v>
      </c>
      <c r="Q16" s="141">
        <v>8</v>
      </c>
      <c r="R16" s="141">
        <v>8</v>
      </c>
      <c r="S16" s="141">
        <v>8</v>
      </c>
      <c r="T16" s="141"/>
      <c r="U16" s="141">
        <v>8</v>
      </c>
      <c r="V16" s="141">
        <v>8</v>
      </c>
      <c r="W16" s="141"/>
      <c r="X16" s="141"/>
      <c r="Y16" s="141"/>
      <c r="Z16" s="141"/>
      <c r="AA16" s="141"/>
      <c r="AB16" s="141"/>
      <c r="AC16" s="141">
        <v>8</v>
      </c>
      <c r="AD16" s="141">
        <v>8</v>
      </c>
      <c r="AE16" s="141">
        <v>8</v>
      </c>
      <c r="AF16" s="141">
        <v>8</v>
      </c>
      <c r="AG16" s="141">
        <v>8</v>
      </c>
      <c r="AH16" s="141"/>
      <c r="AI16" s="259">
        <f>((SUM(F16:AH16))/8)-(SUMIF($F$6:$AH$6,"C.Nhật",F16:AH16)/8)</f>
        <v>19</v>
      </c>
      <c r="AJ16" s="259">
        <f>SUM(F17:AH17)/8*1.5</f>
        <v>0</v>
      </c>
      <c r="AK16" s="262">
        <f>SUMIF($F$6:$AH$6,"C.Nhật",$F16:$AH17)/8*2</f>
        <v>0</v>
      </c>
      <c r="AL16" s="264">
        <f>SUM(AI16:AK17)</f>
        <v>19</v>
      </c>
      <c r="AM16" s="266">
        <v>0</v>
      </c>
      <c r="AN16" s="264"/>
      <c r="AO16" s="264"/>
      <c r="AP16" s="264"/>
      <c r="AQ16" s="268"/>
      <c r="AR16" s="219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</row>
    <row r="17" spans="1:88" s="65" customFormat="1" ht="18" customHeight="1">
      <c r="A17" s="254"/>
      <c r="B17" s="254"/>
      <c r="C17" s="256"/>
      <c r="D17" s="258"/>
      <c r="E17" s="67" t="s">
        <v>31</v>
      </c>
      <c r="F17" s="142"/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  <c r="AA17" s="142"/>
      <c r="AB17" s="142"/>
      <c r="AC17" s="142"/>
      <c r="AD17" s="142"/>
      <c r="AE17" s="142"/>
      <c r="AF17" s="142"/>
      <c r="AG17" s="142"/>
      <c r="AH17" s="142"/>
      <c r="AI17" s="260"/>
      <c r="AJ17" s="260"/>
      <c r="AK17" s="263"/>
      <c r="AL17" s="265"/>
      <c r="AM17" s="267"/>
      <c r="AN17" s="265"/>
      <c r="AO17" s="265"/>
      <c r="AP17" s="265"/>
      <c r="AQ17" s="269"/>
      <c r="AR17" s="219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</row>
    <row r="18" spans="1:88" s="65" customFormat="1" ht="18" customHeight="1">
      <c r="A18" s="253">
        <v>2</v>
      </c>
      <c r="B18" s="253" t="s">
        <v>162</v>
      </c>
      <c r="C18" s="255" t="str">
        <f>VLOOKUP(B18,DS,2,0)</f>
        <v>Võ Văn Kiệt</v>
      </c>
      <c r="D18" s="257" t="str">
        <f>VLOOKUP(B18,DS,3,0)</f>
        <v>Công Đoạn 1</v>
      </c>
      <c r="E18" s="66" t="s">
        <v>32</v>
      </c>
      <c r="F18" s="141"/>
      <c r="G18" s="141">
        <v>8</v>
      </c>
      <c r="H18" s="141">
        <v>8</v>
      </c>
      <c r="I18" s="141">
        <v>8</v>
      </c>
      <c r="J18" s="141">
        <v>8</v>
      </c>
      <c r="K18" s="141">
        <v>8</v>
      </c>
      <c r="L18" s="141">
        <v>8</v>
      </c>
      <c r="M18" s="141"/>
      <c r="N18" s="141">
        <v>8</v>
      </c>
      <c r="O18" s="141">
        <v>8</v>
      </c>
      <c r="P18" s="141">
        <v>8</v>
      </c>
      <c r="Q18" s="141">
        <v>8</v>
      </c>
      <c r="R18" s="141">
        <v>8</v>
      </c>
      <c r="S18" s="141">
        <v>8</v>
      </c>
      <c r="T18" s="141"/>
      <c r="U18" s="141">
        <v>8</v>
      </c>
      <c r="V18" s="141">
        <v>8</v>
      </c>
      <c r="W18" s="141"/>
      <c r="X18" s="141"/>
      <c r="Y18" s="141"/>
      <c r="Z18" s="141"/>
      <c r="AA18" s="141"/>
      <c r="AB18" s="141"/>
      <c r="AC18" s="141">
        <v>8</v>
      </c>
      <c r="AD18" s="141">
        <v>8</v>
      </c>
      <c r="AE18" s="141">
        <v>8</v>
      </c>
      <c r="AF18" s="141">
        <v>8</v>
      </c>
      <c r="AG18" s="141">
        <v>8</v>
      </c>
      <c r="AH18" s="141"/>
      <c r="AI18" s="259">
        <f>((SUM(F18:AH18))/8)-(SUMIF($F$6:$AH$6,"C.Nhật",F18:AH18)/8)</f>
        <v>19</v>
      </c>
      <c r="AJ18" s="259">
        <f>SUM(F19:AH19)/8*1.5</f>
        <v>0</v>
      </c>
      <c r="AK18" s="262">
        <f>SUMIF($F$6:$AH$6,"C.Nhật",$F18:$AH19)/8*2</f>
        <v>0</v>
      </c>
      <c r="AL18" s="264">
        <f t="shared" ref="AL18" si="4">SUM(AI18:AK19)</f>
        <v>19</v>
      </c>
      <c r="AM18" s="266">
        <v>0</v>
      </c>
      <c r="AN18" s="264"/>
      <c r="AO18" s="264"/>
      <c r="AP18" s="264"/>
      <c r="AQ18" s="268"/>
      <c r="AR18" s="227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</row>
    <row r="19" spans="1:88" s="65" customFormat="1" ht="18" customHeight="1">
      <c r="A19" s="254"/>
      <c r="B19" s="254"/>
      <c r="C19" s="256"/>
      <c r="D19" s="258"/>
      <c r="E19" s="67" t="s">
        <v>31</v>
      </c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  <c r="Y19" s="142"/>
      <c r="Z19" s="142"/>
      <c r="AA19" s="142"/>
      <c r="AB19" s="142"/>
      <c r="AC19" s="142"/>
      <c r="AD19" s="142"/>
      <c r="AE19" s="142"/>
      <c r="AF19" s="142"/>
      <c r="AG19" s="142"/>
      <c r="AH19" s="142"/>
      <c r="AI19" s="260"/>
      <c r="AJ19" s="260"/>
      <c r="AK19" s="263"/>
      <c r="AL19" s="265"/>
      <c r="AM19" s="267"/>
      <c r="AN19" s="265"/>
      <c r="AO19" s="265"/>
      <c r="AP19" s="265"/>
      <c r="AQ19" s="269"/>
      <c r="AR19" s="227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</row>
    <row r="20" spans="1:88" s="65" customFormat="1" ht="18" customHeight="1">
      <c r="A20" s="253">
        <v>3</v>
      </c>
      <c r="B20" s="253" t="s">
        <v>163</v>
      </c>
      <c r="C20" s="255" t="str">
        <f>VLOOKUP(B20,DS,2,0)</f>
        <v>Diệp Văn Lân</v>
      </c>
      <c r="D20" s="257" t="str">
        <f>VLOOKUP(B20,DS,3,0)</f>
        <v>Công Đoạn 1</v>
      </c>
      <c r="E20" s="66" t="s">
        <v>32</v>
      </c>
      <c r="F20" s="141"/>
      <c r="G20" s="141">
        <v>8</v>
      </c>
      <c r="H20" s="141">
        <v>8</v>
      </c>
      <c r="I20" s="141">
        <v>8</v>
      </c>
      <c r="J20" s="141">
        <v>8</v>
      </c>
      <c r="K20" s="141">
        <v>8</v>
      </c>
      <c r="L20" s="141">
        <v>8</v>
      </c>
      <c r="M20" s="141"/>
      <c r="N20" s="141">
        <v>8</v>
      </c>
      <c r="O20" s="141">
        <v>8</v>
      </c>
      <c r="P20" s="141">
        <v>8</v>
      </c>
      <c r="Q20" s="141">
        <v>8</v>
      </c>
      <c r="R20" s="141">
        <v>8</v>
      </c>
      <c r="S20" s="141">
        <v>8</v>
      </c>
      <c r="T20" s="141"/>
      <c r="U20" s="141">
        <v>8</v>
      </c>
      <c r="V20" s="141">
        <v>8</v>
      </c>
      <c r="W20" s="141"/>
      <c r="X20" s="141"/>
      <c r="Y20" s="141"/>
      <c r="Z20" s="141"/>
      <c r="AA20" s="141"/>
      <c r="AB20" s="141"/>
      <c r="AC20" s="141">
        <v>8</v>
      </c>
      <c r="AD20" s="141">
        <v>8</v>
      </c>
      <c r="AE20" s="141">
        <v>8</v>
      </c>
      <c r="AF20" s="141">
        <v>8</v>
      </c>
      <c r="AG20" s="141">
        <v>8</v>
      </c>
      <c r="AH20" s="141"/>
      <c r="AI20" s="259">
        <f>((SUM(F20:AH20))/8)-(SUMIF($F$6:$AH$6,"C.Nhật",F20:AH20)/8)</f>
        <v>19</v>
      </c>
      <c r="AJ20" s="259">
        <f>SUM(F21:AH21)/8*1.5</f>
        <v>0</v>
      </c>
      <c r="AK20" s="262">
        <f>SUMIF($F$6:$AH$6,"C.Nhật",$F20:$AH21)/8*2</f>
        <v>0</v>
      </c>
      <c r="AL20" s="264">
        <f>SUM(AI20:AK21)</f>
        <v>19</v>
      </c>
      <c r="AM20" s="266">
        <v>0</v>
      </c>
      <c r="AN20" s="264"/>
      <c r="AO20" s="264"/>
      <c r="AP20" s="264"/>
      <c r="AQ20" s="268"/>
      <c r="AR20" s="227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</row>
    <row r="21" spans="1:88" s="65" customFormat="1" ht="18" customHeight="1">
      <c r="A21" s="254"/>
      <c r="B21" s="254"/>
      <c r="C21" s="256"/>
      <c r="D21" s="258"/>
      <c r="E21" s="67" t="s">
        <v>31</v>
      </c>
      <c r="F21" s="142"/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142"/>
      <c r="AA21" s="142"/>
      <c r="AB21" s="142"/>
      <c r="AC21" s="142"/>
      <c r="AD21" s="142"/>
      <c r="AE21" s="142"/>
      <c r="AF21" s="142"/>
      <c r="AG21" s="142"/>
      <c r="AH21" s="142"/>
      <c r="AI21" s="260"/>
      <c r="AJ21" s="260"/>
      <c r="AK21" s="263"/>
      <c r="AL21" s="265"/>
      <c r="AM21" s="267"/>
      <c r="AN21" s="265"/>
      <c r="AO21" s="265"/>
      <c r="AP21" s="265"/>
      <c r="AQ21" s="269"/>
      <c r="AR21" s="227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</row>
    <row r="22" spans="1:88" s="65" customFormat="1" ht="18" customHeight="1">
      <c r="A22" s="253">
        <v>4</v>
      </c>
      <c r="B22" s="253" t="s">
        <v>176</v>
      </c>
      <c r="C22" s="255" t="str">
        <f>VLOOKUP(B22,DS,2,0)</f>
        <v>Dương Thế Kiệt</v>
      </c>
      <c r="D22" s="257" t="str">
        <f>VLOOKUP(B22,DS,3,0)</f>
        <v>Công Đoạn 1</v>
      </c>
      <c r="E22" s="66" t="s">
        <v>32</v>
      </c>
      <c r="F22" s="141"/>
      <c r="G22" s="141">
        <v>8</v>
      </c>
      <c r="H22" s="141">
        <v>8</v>
      </c>
      <c r="I22" s="141">
        <v>8</v>
      </c>
      <c r="J22" s="141">
        <v>8</v>
      </c>
      <c r="K22" s="141">
        <v>8</v>
      </c>
      <c r="L22" s="141">
        <v>8</v>
      </c>
      <c r="M22" s="141"/>
      <c r="N22" s="141">
        <v>8</v>
      </c>
      <c r="O22" s="141">
        <v>8</v>
      </c>
      <c r="P22" s="141">
        <v>8</v>
      </c>
      <c r="Q22" s="141">
        <v>8</v>
      </c>
      <c r="R22" s="141">
        <v>8</v>
      </c>
      <c r="S22" s="141">
        <v>8</v>
      </c>
      <c r="T22" s="141"/>
      <c r="U22" s="141">
        <v>8</v>
      </c>
      <c r="V22" s="141">
        <v>8</v>
      </c>
      <c r="W22" s="141"/>
      <c r="X22" s="141"/>
      <c r="Y22" s="141"/>
      <c r="Z22" s="141"/>
      <c r="AA22" s="141"/>
      <c r="AB22" s="141"/>
      <c r="AC22" s="141">
        <v>8</v>
      </c>
      <c r="AD22" s="141">
        <v>8</v>
      </c>
      <c r="AE22" s="141">
        <v>8</v>
      </c>
      <c r="AF22" s="141">
        <v>8</v>
      </c>
      <c r="AG22" s="141">
        <v>8</v>
      </c>
      <c r="AH22" s="141"/>
      <c r="AI22" s="259">
        <f>((SUM(F22:AH22))/8)-(SUMIF($F$6:$AH$6,"C.Nhật",F22:AH22)/8)</f>
        <v>19</v>
      </c>
      <c r="AJ22" s="259">
        <f>SUM(F23:AH23)/8*1.5</f>
        <v>0</v>
      </c>
      <c r="AK22" s="262">
        <f>SUMIF($F$6:$AH$6,"C.Nhật",$F22:$AH23)/8*2</f>
        <v>0</v>
      </c>
      <c r="AL22" s="264">
        <f t="shared" ref="AL22" si="5">SUM(AI22:AK23)</f>
        <v>19</v>
      </c>
      <c r="AM22" s="266">
        <v>0</v>
      </c>
      <c r="AN22" s="264"/>
      <c r="AO22" s="264"/>
      <c r="AP22" s="264"/>
      <c r="AQ22" s="268"/>
      <c r="AR22" s="227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</row>
    <row r="23" spans="1:88" s="65" customFormat="1" ht="18" customHeight="1">
      <c r="A23" s="254"/>
      <c r="B23" s="254"/>
      <c r="C23" s="256"/>
      <c r="D23" s="258"/>
      <c r="E23" s="67" t="s">
        <v>31</v>
      </c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  <c r="AA23" s="142"/>
      <c r="AB23" s="142"/>
      <c r="AC23" s="142"/>
      <c r="AD23" s="142"/>
      <c r="AE23" s="142"/>
      <c r="AF23" s="142"/>
      <c r="AG23" s="142"/>
      <c r="AH23" s="142"/>
      <c r="AI23" s="260"/>
      <c r="AJ23" s="260"/>
      <c r="AK23" s="263"/>
      <c r="AL23" s="265"/>
      <c r="AM23" s="267"/>
      <c r="AN23" s="265"/>
      <c r="AO23" s="265"/>
      <c r="AP23" s="265"/>
      <c r="AQ23" s="269"/>
      <c r="AR23" s="227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</row>
    <row r="24" spans="1:88" s="65" customFormat="1" ht="18" customHeight="1">
      <c r="A24" s="253">
        <v>5</v>
      </c>
      <c r="B24" s="253" t="s">
        <v>177</v>
      </c>
      <c r="C24" s="255" t="str">
        <f>VLOOKUP(B24,DS,2,0)</f>
        <v>Lê Văn Hữu</v>
      </c>
      <c r="D24" s="257" t="str">
        <f>VLOOKUP(B24,DS,3,0)</f>
        <v>Công Đoạn 2</v>
      </c>
      <c r="E24" s="66" t="s">
        <v>32</v>
      </c>
      <c r="F24" s="141"/>
      <c r="G24" s="141">
        <v>8</v>
      </c>
      <c r="H24" s="141">
        <v>8</v>
      </c>
      <c r="I24" s="141">
        <v>8</v>
      </c>
      <c r="J24" s="141">
        <v>8</v>
      </c>
      <c r="K24" s="141">
        <v>8</v>
      </c>
      <c r="L24" s="141">
        <v>8</v>
      </c>
      <c r="M24" s="141"/>
      <c r="N24" s="141">
        <v>8</v>
      </c>
      <c r="O24" s="141">
        <v>8</v>
      </c>
      <c r="P24" s="141">
        <v>8</v>
      </c>
      <c r="Q24" s="141">
        <v>8</v>
      </c>
      <c r="R24" s="141">
        <v>8</v>
      </c>
      <c r="S24" s="141">
        <v>8</v>
      </c>
      <c r="T24" s="141"/>
      <c r="U24" s="141">
        <v>8</v>
      </c>
      <c r="V24" s="141">
        <v>8</v>
      </c>
      <c r="W24" s="141"/>
      <c r="X24" s="141"/>
      <c r="Y24" s="141"/>
      <c r="Z24" s="141"/>
      <c r="AA24" s="141"/>
      <c r="AB24" s="141"/>
      <c r="AC24" s="141">
        <v>8</v>
      </c>
      <c r="AD24" s="141">
        <v>8</v>
      </c>
      <c r="AE24" s="141">
        <v>8</v>
      </c>
      <c r="AF24" s="141">
        <v>8</v>
      </c>
      <c r="AG24" s="141">
        <v>8</v>
      </c>
      <c r="AH24" s="141"/>
      <c r="AI24" s="259">
        <f>((SUM(F24:AH24))/8)-(SUMIF($F$6:$AH$6,"C.Nhật",F24:AH24)/8)</f>
        <v>19</v>
      </c>
      <c r="AJ24" s="259">
        <f>SUM(F25:AH25)/8*1.5</f>
        <v>0</v>
      </c>
      <c r="AK24" s="262">
        <f>SUMIF($F$6:$AH$6,"C.Nhật",$F24:$AH25)/8*2</f>
        <v>0</v>
      </c>
      <c r="AL24" s="264">
        <f>SUM(AI24:AK25)</f>
        <v>19</v>
      </c>
      <c r="AM24" s="266">
        <v>0</v>
      </c>
      <c r="AN24" s="264"/>
      <c r="AO24" s="264"/>
      <c r="AP24" s="264"/>
      <c r="AQ24" s="268"/>
      <c r="AR24" s="227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</row>
    <row r="25" spans="1:88" s="65" customFormat="1" ht="18" customHeight="1">
      <c r="A25" s="254"/>
      <c r="B25" s="254"/>
      <c r="C25" s="256"/>
      <c r="D25" s="258"/>
      <c r="E25" s="67" t="s">
        <v>31</v>
      </c>
      <c r="F25" s="142"/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  <c r="AA25" s="142"/>
      <c r="AB25" s="142"/>
      <c r="AC25" s="142"/>
      <c r="AD25" s="142"/>
      <c r="AE25" s="142"/>
      <c r="AF25" s="142"/>
      <c r="AG25" s="142"/>
      <c r="AH25" s="142"/>
      <c r="AI25" s="260"/>
      <c r="AJ25" s="260"/>
      <c r="AK25" s="263"/>
      <c r="AL25" s="265"/>
      <c r="AM25" s="267"/>
      <c r="AN25" s="265"/>
      <c r="AO25" s="265"/>
      <c r="AP25" s="265"/>
      <c r="AQ25" s="269"/>
      <c r="AR25" s="227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</row>
    <row r="26" spans="1:88" s="65" customFormat="1" ht="18" customHeight="1">
      <c r="A26" s="253">
        <v>6</v>
      </c>
      <c r="B26" s="253" t="s">
        <v>178</v>
      </c>
      <c r="C26" s="255" t="str">
        <f>VLOOKUP(B26,DS,2,0)</f>
        <v>Bùi Trường Giang</v>
      </c>
      <c r="D26" s="257" t="str">
        <f>VLOOKUP(B26,DS,3,0)</f>
        <v>Công Đoạn 2</v>
      </c>
      <c r="E26" s="66" t="s">
        <v>32</v>
      </c>
      <c r="F26" s="141"/>
      <c r="G26" s="141">
        <v>8</v>
      </c>
      <c r="H26" s="141">
        <v>8</v>
      </c>
      <c r="I26" s="141">
        <v>8</v>
      </c>
      <c r="J26" s="141">
        <v>8</v>
      </c>
      <c r="K26" s="141">
        <v>8</v>
      </c>
      <c r="L26" s="141">
        <v>8</v>
      </c>
      <c r="M26" s="141"/>
      <c r="N26" s="141">
        <v>8</v>
      </c>
      <c r="O26" s="141">
        <v>8</v>
      </c>
      <c r="P26" s="141">
        <v>8</v>
      </c>
      <c r="Q26" s="141">
        <v>8</v>
      </c>
      <c r="R26" s="141">
        <v>8</v>
      </c>
      <c r="S26" s="141">
        <v>8</v>
      </c>
      <c r="T26" s="141"/>
      <c r="U26" s="141">
        <v>8</v>
      </c>
      <c r="V26" s="141">
        <v>8</v>
      </c>
      <c r="W26" s="141"/>
      <c r="X26" s="141"/>
      <c r="Y26" s="141"/>
      <c r="Z26" s="141"/>
      <c r="AA26" s="141"/>
      <c r="AB26" s="141"/>
      <c r="AC26" s="141">
        <v>8</v>
      </c>
      <c r="AD26" s="141">
        <v>8</v>
      </c>
      <c r="AE26" s="141">
        <v>8</v>
      </c>
      <c r="AF26" s="141">
        <v>8</v>
      </c>
      <c r="AG26" s="141">
        <v>8</v>
      </c>
      <c r="AH26" s="141"/>
      <c r="AI26" s="259">
        <f>((SUM(F26:AH26))/8)-(SUMIF($F$6:$AH$6,"C.Nhật",F26:AH26)/8)</f>
        <v>19</v>
      </c>
      <c r="AJ26" s="259">
        <f>SUM(F27:AH27)/8*1.5</f>
        <v>0</v>
      </c>
      <c r="AK26" s="262">
        <f>SUMIF($F$6:$AH$6,"C.Nhật",$F26:$AH27)/8*2</f>
        <v>0</v>
      </c>
      <c r="AL26" s="264">
        <f t="shared" ref="AL26" si="6">SUM(AI26:AK27)</f>
        <v>19</v>
      </c>
      <c r="AM26" s="266">
        <v>0</v>
      </c>
      <c r="AN26" s="264"/>
      <c r="AO26" s="264"/>
      <c r="AP26" s="264"/>
      <c r="AQ26" s="268"/>
      <c r="AR26" s="219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</row>
    <row r="27" spans="1:88" s="65" customFormat="1" ht="18" customHeight="1">
      <c r="A27" s="254"/>
      <c r="B27" s="254"/>
      <c r="C27" s="256"/>
      <c r="D27" s="258"/>
      <c r="E27" s="67" t="s">
        <v>31</v>
      </c>
      <c r="F27" s="142"/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142"/>
      <c r="Z27" s="142"/>
      <c r="AA27" s="142"/>
      <c r="AB27" s="142"/>
      <c r="AC27" s="142"/>
      <c r="AD27" s="142"/>
      <c r="AE27" s="142"/>
      <c r="AF27" s="142"/>
      <c r="AG27" s="142"/>
      <c r="AH27" s="142"/>
      <c r="AI27" s="260"/>
      <c r="AJ27" s="260"/>
      <c r="AK27" s="263"/>
      <c r="AL27" s="265"/>
      <c r="AM27" s="267"/>
      <c r="AN27" s="265"/>
      <c r="AO27" s="265"/>
      <c r="AP27" s="265"/>
      <c r="AQ27" s="269"/>
      <c r="AR27" s="219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</row>
    <row r="28" spans="1:88" s="65" customFormat="1" ht="18" customHeight="1">
      <c r="A28" s="253">
        <v>7</v>
      </c>
      <c r="B28" s="253" t="s">
        <v>179</v>
      </c>
      <c r="C28" s="255" t="str">
        <f>VLOOKUP(B28,DS,2,0)</f>
        <v>Nguyễn T Bích Thủy</v>
      </c>
      <c r="D28" s="257" t="str">
        <f>VLOOKUP(B28,DS,3,0)</f>
        <v>Công Đoạn 2</v>
      </c>
      <c r="E28" s="66" t="s">
        <v>32</v>
      </c>
      <c r="F28" s="141"/>
      <c r="G28" s="141">
        <v>8</v>
      </c>
      <c r="H28" s="141">
        <v>8</v>
      </c>
      <c r="I28" s="141">
        <v>8</v>
      </c>
      <c r="J28" s="141">
        <v>8</v>
      </c>
      <c r="K28" s="141">
        <v>8</v>
      </c>
      <c r="L28" s="141">
        <v>8</v>
      </c>
      <c r="M28" s="141"/>
      <c r="N28" s="141">
        <v>8</v>
      </c>
      <c r="O28" s="141">
        <v>8</v>
      </c>
      <c r="P28" s="141">
        <v>8</v>
      </c>
      <c r="Q28" s="141">
        <v>8</v>
      </c>
      <c r="R28" s="141">
        <v>8</v>
      </c>
      <c r="S28" s="141">
        <v>8</v>
      </c>
      <c r="T28" s="141"/>
      <c r="U28" s="141">
        <v>8</v>
      </c>
      <c r="V28" s="141">
        <v>8</v>
      </c>
      <c r="W28" s="141"/>
      <c r="X28" s="141"/>
      <c r="Y28" s="141"/>
      <c r="Z28" s="141"/>
      <c r="AA28" s="141"/>
      <c r="AB28" s="141"/>
      <c r="AC28" s="141">
        <v>8</v>
      </c>
      <c r="AD28" s="141">
        <v>8</v>
      </c>
      <c r="AE28" s="141">
        <v>8</v>
      </c>
      <c r="AF28" s="141">
        <v>8</v>
      </c>
      <c r="AG28" s="141">
        <v>8</v>
      </c>
      <c r="AH28" s="141"/>
      <c r="AI28" s="259">
        <f>((SUM(F28:AH28))/8)-(SUMIF($F$6:$AH$6,"C.Nhật",F28:AH28)/8)</f>
        <v>19</v>
      </c>
      <c r="AJ28" s="259">
        <f>SUM(F29:AH29)/8*1.5</f>
        <v>0</v>
      </c>
      <c r="AK28" s="262">
        <f>SUMIF($F$6:$AH$6,"C.Nhật",$F28:$AH29)/8*2</f>
        <v>0</v>
      </c>
      <c r="AL28" s="264">
        <f>SUM(AI28:AK29)</f>
        <v>19</v>
      </c>
      <c r="AM28" s="266">
        <v>0</v>
      </c>
      <c r="AN28" s="264"/>
      <c r="AO28" s="264"/>
      <c r="AP28" s="264"/>
      <c r="AQ28" s="268"/>
      <c r="AR28" s="219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</row>
    <row r="29" spans="1:88" s="65" customFormat="1" ht="18" customHeight="1">
      <c r="A29" s="254"/>
      <c r="B29" s="254"/>
      <c r="C29" s="256"/>
      <c r="D29" s="258"/>
      <c r="E29" s="67" t="s">
        <v>31</v>
      </c>
      <c r="F29" s="142"/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  <c r="Y29" s="142"/>
      <c r="Z29" s="142"/>
      <c r="AA29" s="142"/>
      <c r="AB29" s="142"/>
      <c r="AC29" s="142"/>
      <c r="AD29" s="142"/>
      <c r="AE29" s="142"/>
      <c r="AF29" s="142"/>
      <c r="AG29" s="142"/>
      <c r="AH29" s="142"/>
      <c r="AI29" s="260"/>
      <c r="AJ29" s="260"/>
      <c r="AK29" s="263"/>
      <c r="AL29" s="265"/>
      <c r="AM29" s="267"/>
      <c r="AN29" s="265"/>
      <c r="AO29" s="265"/>
      <c r="AP29" s="265"/>
      <c r="AQ29" s="269"/>
      <c r="AR29" s="219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</row>
    <row r="30" spans="1:88" s="68" customFormat="1" ht="12.75">
      <c r="A30" s="14"/>
      <c r="B30" s="69"/>
      <c r="C30" s="4"/>
      <c r="D30" s="111"/>
      <c r="E30" s="4"/>
      <c r="F30" s="73"/>
      <c r="G30" s="73"/>
      <c r="H30" s="70"/>
      <c r="I30" s="70"/>
      <c r="J30" s="118"/>
      <c r="K30" s="73"/>
      <c r="L30" s="70"/>
      <c r="M30" s="73"/>
      <c r="N30" s="73"/>
      <c r="O30" s="73"/>
      <c r="P30" s="73"/>
      <c r="Q30" s="70"/>
      <c r="R30" s="73"/>
      <c r="S30" s="73"/>
      <c r="T30" s="118"/>
      <c r="U30" s="73"/>
      <c r="V30" s="73"/>
      <c r="W30" s="73"/>
      <c r="X30" s="69"/>
      <c r="Y30" s="73"/>
      <c r="Z30" s="73"/>
      <c r="AA30" s="73"/>
      <c r="AB30" s="73"/>
      <c r="AC30" s="73"/>
      <c r="AD30" s="70"/>
      <c r="AE30" s="73"/>
      <c r="AF30" s="73"/>
      <c r="AG30" s="73"/>
      <c r="AH30" s="73"/>
      <c r="AI30" s="4"/>
      <c r="AJ30" s="4"/>
      <c r="AK30" s="96"/>
      <c r="AL30" s="72"/>
      <c r="AM30" s="72"/>
      <c r="AN30" s="72"/>
      <c r="AO30" s="72"/>
      <c r="AP30" s="72"/>
      <c r="AQ30" s="4"/>
      <c r="AR30" s="102"/>
    </row>
    <row r="31" spans="1:88" s="68" customFormat="1" ht="12.75">
      <c r="A31" s="14"/>
      <c r="B31" s="69"/>
      <c r="C31" s="14" t="s">
        <v>14</v>
      </c>
      <c r="D31" s="111"/>
      <c r="E31" s="4"/>
      <c r="F31" s="73"/>
      <c r="G31" s="73"/>
      <c r="H31" s="70"/>
      <c r="I31" s="70"/>
      <c r="J31" s="118"/>
      <c r="K31" s="73"/>
      <c r="L31" s="70"/>
      <c r="M31" s="73"/>
      <c r="N31" s="73"/>
      <c r="O31" s="73"/>
      <c r="P31" s="73"/>
      <c r="Q31" s="70"/>
      <c r="R31" s="73"/>
      <c r="S31" s="73"/>
      <c r="T31" s="118"/>
      <c r="U31" s="73"/>
      <c r="V31" s="73"/>
      <c r="W31" s="73"/>
      <c r="X31" s="69"/>
      <c r="Y31" s="73"/>
      <c r="Z31" s="73"/>
      <c r="AA31" s="73"/>
      <c r="AB31" s="73"/>
      <c r="AC31" s="73"/>
      <c r="AD31" s="70"/>
      <c r="AE31" s="73"/>
      <c r="AF31" s="73"/>
      <c r="AG31" s="73"/>
      <c r="AH31" s="73"/>
      <c r="AI31" s="4"/>
      <c r="AJ31" s="4"/>
      <c r="AK31" s="96"/>
      <c r="AL31" s="72"/>
      <c r="AM31" s="72"/>
      <c r="AN31" s="72"/>
      <c r="AO31" s="72"/>
      <c r="AP31" s="72"/>
      <c r="AQ31" s="4"/>
      <c r="AR31" s="102"/>
    </row>
    <row r="32" spans="1:88" s="68" customFormat="1" ht="12.75">
      <c r="A32" s="12"/>
      <c r="B32" s="12"/>
      <c r="C32" s="4"/>
      <c r="D32" s="111"/>
      <c r="E32" s="4"/>
      <c r="F32" s="73"/>
      <c r="G32" s="73"/>
      <c r="H32" s="119"/>
      <c r="I32" s="119"/>
      <c r="J32" s="119"/>
      <c r="K32" s="73"/>
      <c r="L32" s="119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119"/>
      <c r="AE32" s="73"/>
      <c r="AF32" s="73"/>
      <c r="AG32" s="73"/>
      <c r="AH32" s="73"/>
      <c r="AI32" s="4"/>
      <c r="AJ32" s="4"/>
      <c r="AK32" s="96"/>
      <c r="AL32" s="74"/>
      <c r="AM32" s="74"/>
      <c r="AN32" s="74"/>
      <c r="AO32" s="74"/>
      <c r="AP32" s="74"/>
      <c r="AQ32" s="4"/>
      <c r="AR32" s="102"/>
    </row>
    <row r="33" spans="1:91" s="71" customFormat="1" ht="15" customHeight="1">
      <c r="A33" s="12"/>
      <c r="B33" s="12"/>
      <c r="C33" s="4"/>
      <c r="D33" s="111"/>
      <c r="E33" s="4"/>
      <c r="F33" s="73"/>
      <c r="G33" s="73"/>
      <c r="H33" s="119"/>
      <c r="I33" s="119"/>
      <c r="J33" s="119"/>
      <c r="K33" s="73"/>
      <c r="L33" s="119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119"/>
      <c r="AE33" s="73"/>
      <c r="AF33" s="73"/>
      <c r="AG33" s="73"/>
      <c r="AH33" s="73"/>
      <c r="AI33" s="4"/>
      <c r="AJ33" s="4"/>
      <c r="AK33" s="96"/>
      <c r="AL33" s="74"/>
      <c r="AM33" s="74"/>
      <c r="AN33" s="74"/>
      <c r="AO33" s="74"/>
      <c r="AP33" s="74"/>
      <c r="AQ33" s="4"/>
      <c r="AR33" s="4"/>
    </row>
    <row r="34" spans="1:91" s="71" customFormat="1" ht="11.25">
      <c r="A34" s="12"/>
      <c r="B34" s="12"/>
      <c r="C34" s="4"/>
      <c r="D34" s="111"/>
      <c r="E34" s="4"/>
      <c r="F34" s="73"/>
      <c r="G34" s="73"/>
      <c r="H34" s="119"/>
      <c r="I34" s="119"/>
      <c r="J34" s="119"/>
      <c r="K34" s="73"/>
      <c r="L34" s="119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119"/>
      <c r="AE34" s="73"/>
      <c r="AF34" s="73"/>
      <c r="AG34" s="73"/>
      <c r="AH34" s="73"/>
      <c r="AI34" s="4"/>
      <c r="AJ34" s="4"/>
      <c r="AK34" s="96"/>
      <c r="AL34" s="74"/>
      <c r="AM34" s="74"/>
      <c r="AN34" s="74"/>
      <c r="AO34" s="74"/>
      <c r="AP34" s="74"/>
      <c r="AQ34" s="4"/>
      <c r="AR34" s="4"/>
    </row>
    <row r="35" spans="1:91" s="71" customFormat="1" ht="11.25">
      <c r="A35" s="12"/>
      <c r="B35" s="12"/>
      <c r="C35" s="4"/>
      <c r="D35" s="111"/>
      <c r="E35" s="4"/>
      <c r="F35" s="73"/>
      <c r="G35" s="73"/>
      <c r="H35" s="119"/>
      <c r="I35" s="119"/>
      <c r="J35" s="119"/>
      <c r="K35" s="73"/>
      <c r="L35" s="119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119"/>
      <c r="AE35" s="73"/>
      <c r="AF35" s="73"/>
      <c r="AG35" s="73"/>
      <c r="AH35" s="73"/>
      <c r="AI35" s="4"/>
      <c r="AJ35" s="4"/>
      <c r="AK35" s="96"/>
      <c r="AL35" s="74"/>
      <c r="AM35" s="74"/>
      <c r="AN35" s="74"/>
      <c r="AO35" s="74"/>
      <c r="AP35" s="74"/>
      <c r="AQ35" s="4"/>
      <c r="AR35" s="4"/>
    </row>
    <row r="36" spans="1:91" s="71" customFormat="1" ht="11.25">
      <c r="A36" s="10"/>
      <c r="B36" s="10"/>
      <c r="C36" s="14"/>
      <c r="D36" s="112"/>
      <c r="E36" s="75"/>
      <c r="F36" s="118"/>
      <c r="G36" s="120"/>
      <c r="H36" s="70"/>
      <c r="I36" s="70"/>
      <c r="J36" s="70"/>
      <c r="K36" s="120"/>
      <c r="L36" s="70"/>
      <c r="M36" s="120"/>
      <c r="N36" s="120"/>
      <c r="O36" s="120"/>
      <c r="P36" s="120"/>
      <c r="Q36" s="70"/>
      <c r="R36" s="118"/>
      <c r="S36" s="120"/>
      <c r="T36" s="120"/>
      <c r="U36" s="70"/>
      <c r="V36" s="120"/>
      <c r="W36" s="120"/>
      <c r="X36" s="70"/>
      <c r="Y36" s="120"/>
      <c r="Z36" s="120"/>
      <c r="AA36" s="120"/>
      <c r="AB36" s="120"/>
      <c r="AC36" s="120"/>
      <c r="AD36" s="70"/>
      <c r="AE36" s="120"/>
      <c r="AF36" s="120"/>
      <c r="AG36" s="120"/>
      <c r="AH36" s="120"/>
      <c r="AI36" s="75"/>
      <c r="AK36" s="97"/>
      <c r="AL36" s="10"/>
      <c r="AM36" s="10"/>
      <c r="AN36" s="10"/>
      <c r="AO36" s="10"/>
      <c r="AP36" s="10"/>
      <c r="AQ36" s="14"/>
      <c r="AR36" s="4"/>
    </row>
    <row r="37" spans="1:91" s="71" customFormat="1" ht="12.75">
      <c r="A37" s="2"/>
      <c r="B37" s="2" t="s">
        <v>0</v>
      </c>
      <c r="C37" s="2"/>
      <c r="D37" s="217"/>
      <c r="E37" s="2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2"/>
      <c r="AI37" s="2"/>
      <c r="AJ37" s="2"/>
      <c r="AK37" s="98"/>
      <c r="AL37" s="2"/>
      <c r="AM37" s="2"/>
      <c r="AN37" s="2"/>
      <c r="AO37" s="2"/>
      <c r="AP37" s="2"/>
      <c r="AQ37" s="2"/>
      <c r="AR37" s="4"/>
    </row>
    <row r="38" spans="1:91" s="71" customFormat="1" ht="12.75">
      <c r="A38" s="2"/>
      <c r="B38" s="2"/>
      <c r="C38" s="2" t="s">
        <v>46</v>
      </c>
      <c r="D38" s="217"/>
      <c r="E38" s="2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1"/>
      <c r="AD38" s="121"/>
      <c r="AE38" s="121"/>
      <c r="AF38" s="121"/>
      <c r="AG38" s="121"/>
      <c r="AH38" s="122"/>
      <c r="AI38" s="2"/>
      <c r="AJ38" s="2"/>
      <c r="AK38" s="98"/>
      <c r="AL38" s="2"/>
      <c r="AM38" s="2"/>
      <c r="AN38" s="2"/>
      <c r="AO38" s="2"/>
      <c r="AP38" s="2"/>
      <c r="AQ38" s="2"/>
      <c r="AR38" s="14"/>
    </row>
    <row r="39" spans="1:91" ht="15" customHeight="1">
      <c r="C39" s="2" t="s">
        <v>47</v>
      </c>
    </row>
    <row r="40" spans="1:91" ht="15" customHeight="1">
      <c r="C40" s="2" t="s">
        <v>48</v>
      </c>
    </row>
    <row r="41" spans="1:91" s="217" customFormat="1" ht="15" customHeight="1">
      <c r="A41" s="2"/>
      <c r="B41" s="2"/>
      <c r="C41" s="2" t="s">
        <v>49</v>
      </c>
      <c r="E41" s="2"/>
      <c r="F41" s="121"/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121"/>
      <c r="AA41" s="121"/>
      <c r="AB41" s="121"/>
      <c r="AC41" s="121"/>
      <c r="AD41" s="121"/>
      <c r="AE41" s="121"/>
      <c r="AF41" s="121"/>
      <c r="AG41" s="121"/>
      <c r="AH41" s="122"/>
      <c r="AI41" s="2"/>
      <c r="AJ41" s="2"/>
      <c r="AK41" s="98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 s="217" customFormat="1" ht="15" customHeight="1">
      <c r="A42" s="2"/>
      <c r="B42" s="2"/>
      <c r="C42" s="2" t="s">
        <v>50</v>
      </c>
      <c r="E42" s="2"/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121"/>
      <c r="AA42" s="121"/>
      <c r="AB42" s="121"/>
      <c r="AC42" s="121"/>
      <c r="AD42" s="121"/>
      <c r="AE42" s="121"/>
      <c r="AF42" s="121"/>
      <c r="AG42" s="121"/>
      <c r="AH42" s="122"/>
      <c r="AI42" s="2"/>
      <c r="AJ42" s="2"/>
      <c r="AK42" s="98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 s="217" customFormat="1" ht="15" customHeight="1">
      <c r="A43" s="2"/>
      <c r="B43" s="2"/>
      <c r="C43" s="2" t="s">
        <v>51</v>
      </c>
      <c r="E43" s="2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121"/>
      <c r="AA43" s="121"/>
      <c r="AB43" s="121"/>
      <c r="AC43" s="121"/>
      <c r="AD43" s="121"/>
      <c r="AE43" s="121"/>
      <c r="AF43" s="121"/>
      <c r="AG43" s="121"/>
      <c r="AH43" s="122"/>
      <c r="AI43" s="2"/>
      <c r="AJ43" s="2"/>
      <c r="AK43" s="98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 s="217" customFormat="1" ht="15" customHeight="1">
      <c r="A44" s="2"/>
      <c r="B44" s="2"/>
      <c r="C44" s="2" t="s">
        <v>52</v>
      </c>
      <c r="E44" s="2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121"/>
      <c r="AA44" s="121"/>
      <c r="AB44" s="121"/>
      <c r="AC44" s="121"/>
      <c r="AD44" s="121"/>
      <c r="AE44" s="121"/>
      <c r="AF44" s="121"/>
      <c r="AG44" s="121"/>
      <c r="AH44" s="122"/>
      <c r="AI44" s="2"/>
      <c r="AJ44" s="2"/>
      <c r="AK44" s="98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  <row r="45" spans="1:91" s="217" customFormat="1" ht="15" customHeight="1">
      <c r="A45" s="2"/>
      <c r="B45" s="2"/>
      <c r="C45" s="2" t="s">
        <v>53</v>
      </c>
      <c r="E45" s="2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121"/>
      <c r="AA45" s="121"/>
      <c r="AB45" s="121"/>
      <c r="AC45" s="121"/>
      <c r="AD45" s="121"/>
      <c r="AE45" s="121"/>
      <c r="AF45" s="121"/>
      <c r="AG45" s="121"/>
      <c r="AH45" s="122"/>
      <c r="AI45" s="2"/>
      <c r="AJ45" s="2"/>
      <c r="AK45" s="98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</row>
    <row r="46" spans="1:91" s="217" customFormat="1" ht="15" customHeight="1">
      <c r="A46" s="2"/>
      <c r="B46" s="2"/>
      <c r="C46" s="2" t="s">
        <v>54</v>
      </c>
      <c r="E46" s="2"/>
      <c r="F46" s="121"/>
      <c r="G46" s="121"/>
      <c r="H46" s="121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121"/>
      <c r="AA46" s="121"/>
      <c r="AB46" s="121"/>
      <c r="AC46" s="121"/>
      <c r="AD46" s="121"/>
      <c r="AE46" s="121"/>
      <c r="AF46" s="121"/>
      <c r="AG46" s="121"/>
      <c r="AH46" s="122"/>
      <c r="AI46" s="2"/>
      <c r="AJ46" s="2"/>
      <c r="AK46" s="98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2:J35 Q30:Q31" name="Range1_1_1_1"/>
    <protectedRange password="CC78" sqref="J36" name="Range1_3_1_1"/>
    <protectedRange password="CC78" sqref="A16:A29" name="Range1_1_2"/>
    <protectedRange password="CC78" sqref="C16:E29 A16:A29" name="Range1_6_2"/>
    <protectedRange password="CC78" sqref="B16:B29" name="Range1_4_2"/>
  </protectedRanges>
  <mergeCells count="144">
    <mergeCell ref="AK20:AK21"/>
    <mergeCell ref="AL20:AL21"/>
    <mergeCell ref="AM20:AM21"/>
    <mergeCell ref="AN20:AN21"/>
    <mergeCell ref="AO20:AO21"/>
    <mergeCell ref="B20:B21"/>
    <mergeCell ref="C20:C21"/>
    <mergeCell ref="D20:D21"/>
    <mergeCell ref="AI20:AI21"/>
    <mergeCell ref="AJ20:AJ21"/>
    <mergeCell ref="AP24:AP25"/>
    <mergeCell ref="AQ24:AQ25"/>
    <mergeCell ref="A18:A19"/>
    <mergeCell ref="B18:B19"/>
    <mergeCell ref="C18:C19"/>
    <mergeCell ref="D18:D19"/>
    <mergeCell ref="AI18:AI19"/>
    <mergeCell ref="AJ18:AJ19"/>
    <mergeCell ref="AK18:AK19"/>
    <mergeCell ref="AL18:AL19"/>
    <mergeCell ref="AM18:AM19"/>
    <mergeCell ref="AN18:AN19"/>
    <mergeCell ref="AO18:AO19"/>
    <mergeCell ref="AP18:AP19"/>
    <mergeCell ref="AQ18:AQ19"/>
    <mergeCell ref="A20:A21"/>
    <mergeCell ref="AK24:AK25"/>
    <mergeCell ref="AL24:AL25"/>
    <mergeCell ref="AM24:AM25"/>
    <mergeCell ref="AN24:AN25"/>
    <mergeCell ref="AO24:AO25"/>
    <mergeCell ref="B24:B25"/>
    <mergeCell ref="C24:C25"/>
    <mergeCell ref="D24:D25"/>
    <mergeCell ref="AN11:AN12"/>
    <mergeCell ref="AO11:AO12"/>
    <mergeCell ref="AP11:AP12"/>
    <mergeCell ref="AQ11:AQ12"/>
    <mergeCell ref="A22:A23"/>
    <mergeCell ref="B22:B23"/>
    <mergeCell ref="C22:C23"/>
    <mergeCell ref="D22:D23"/>
    <mergeCell ref="AI22:AI23"/>
    <mergeCell ref="AJ22:AJ23"/>
    <mergeCell ref="AK22:AK23"/>
    <mergeCell ref="AL22:AL23"/>
    <mergeCell ref="AM22:AM23"/>
    <mergeCell ref="AN22:AN23"/>
    <mergeCell ref="AO22:AO23"/>
    <mergeCell ref="AP22:AP23"/>
    <mergeCell ref="A11:A12"/>
    <mergeCell ref="B11:B12"/>
    <mergeCell ref="C11:C12"/>
    <mergeCell ref="D11:D12"/>
    <mergeCell ref="AI11:AI12"/>
    <mergeCell ref="AQ16:AQ17"/>
    <mergeCell ref="AP20:AP21"/>
    <mergeCell ref="AQ20:AQ21"/>
    <mergeCell ref="AJ28:AJ29"/>
    <mergeCell ref="AQ28:AQ29"/>
    <mergeCell ref="AK28:AK29"/>
    <mergeCell ref="AL28:AL29"/>
    <mergeCell ref="AM28:AM29"/>
    <mergeCell ref="AN28:AN29"/>
    <mergeCell ref="AO28:AO29"/>
    <mergeCell ref="AP28:AP29"/>
    <mergeCell ref="A28:A29"/>
    <mergeCell ref="B28:B29"/>
    <mergeCell ref="C28:C29"/>
    <mergeCell ref="D28:D29"/>
    <mergeCell ref="AI28:AI29"/>
    <mergeCell ref="A26:A27"/>
    <mergeCell ref="B26:B27"/>
    <mergeCell ref="C26:C27"/>
    <mergeCell ref="D26:D27"/>
    <mergeCell ref="AI26:AI27"/>
    <mergeCell ref="AJ26:AJ27"/>
    <mergeCell ref="AQ26:AQ27"/>
    <mergeCell ref="AK26:AK27"/>
    <mergeCell ref="AL26:AL27"/>
    <mergeCell ref="AM26:AM27"/>
    <mergeCell ref="AN26:AN27"/>
    <mergeCell ref="AO26:AO27"/>
    <mergeCell ref="AP26:AP27"/>
    <mergeCell ref="AQ22:AQ23"/>
    <mergeCell ref="A24:A25"/>
    <mergeCell ref="AN13:AN14"/>
    <mergeCell ref="AO13:AO14"/>
    <mergeCell ref="AP13:AP14"/>
    <mergeCell ref="AQ13:AQ14"/>
    <mergeCell ref="A16:A17"/>
    <mergeCell ref="B16:B17"/>
    <mergeCell ref="C16:C17"/>
    <mergeCell ref="D16:D17"/>
    <mergeCell ref="AI16:AI17"/>
    <mergeCell ref="AJ16:AJ17"/>
    <mergeCell ref="AK16:AK17"/>
    <mergeCell ref="AL16:AL17"/>
    <mergeCell ref="AM16:AM17"/>
    <mergeCell ref="AN16:AN17"/>
    <mergeCell ref="AO16:AO17"/>
    <mergeCell ref="AP16:AP17"/>
    <mergeCell ref="AJ13:AJ14"/>
    <mergeCell ref="AK13:AK14"/>
    <mergeCell ref="AL13:AL14"/>
    <mergeCell ref="AM13:AM14"/>
    <mergeCell ref="AI24:AI25"/>
    <mergeCell ref="AJ24:AJ25"/>
    <mergeCell ref="AJ11:AJ12"/>
    <mergeCell ref="AK11:AK12"/>
    <mergeCell ref="AL11:AL12"/>
    <mergeCell ref="AM11:AM12"/>
    <mergeCell ref="A13:A14"/>
    <mergeCell ref="B13:B14"/>
    <mergeCell ref="C13:C14"/>
    <mergeCell ref="D13:D14"/>
    <mergeCell ref="AI13:AI14"/>
    <mergeCell ref="AR5:AR6"/>
    <mergeCell ref="A9:A10"/>
    <mergeCell ref="B9:B10"/>
    <mergeCell ref="C9:C10"/>
    <mergeCell ref="D9:D10"/>
    <mergeCell ref="AI9:AI10"/>
    <mergeCell ref="AJ9:AJ10"/>
    <mergeCell ref="AQ9:AQ10"/>
    <mergeCell ref="AN9:AN10"/>
    <mergeCell ref="AO9:AO10"/>
    <mergeCell ref="AP9:AP10"/>
    <mergeCell ref="AK9:AK10"/>
    <mergeCell ref="AL9:AL10"/>
    <mergeCell ref="AM9:AM10"/>
    <mergeCell ref="AK1:AQ1"/>
    <mergeCell ref="A5:A6"/>
    <mergeCell ref="B5:B6"/>
    <mergeCell ref="C5:C6"/>
    <mergeCell ref="D5:D6"/>
    <mergeCell ref="E5:E6"/>
    <mergeCell ref="AI5:AK5"/>
    <mergeCell ref="AL5:AL6"/>
    <mergeCell ref="AM5:AM6"/>
    <mergeCell ref="AN5:AN6"/>
    <mergeCell ref="AO5:AO6"/>
    <mergeCell ref="AP5:AP6"/>
    <mergeCell ref="AQ5:AQ6"/>
  </mergeCells>
  <conditionalFormatting sqref="F5:AH6 F9:AH10 F16:AH17 F13:AH14 F26:AH27 F26:AG29">
    <cfRule type="expression" dxfId="160" priority="18" stopIfTrue="1">
      <formula>IF(WEEKDAY(F$5)=1,TRUE,FALSE)</formula>
    </cfRule>
  </conditionalFormatting>
  <conditionalFormatting sqref="F16:G17 F26:G29">
    <cfRule type="expression" dxfId="159" priority="16" stopIfTrue="1">
      <formula>IF(WEEKDAY(F$5)=1,TRUE,FALSE)</formula>
    </cfRule>
  </conditionalFormatting>
  <conditionalFormatting sqref="AH28:AH29">
    <cfRule type="expression" dxfId="158" priority="9" stopIfTrue="1">
      <formula>IF(WEEKDAY(AH$5)=1,TRUE,FALSE)</formula>
    </cfRule>
  </conditionalFormatting>
  <conditionalFormatting sqref="F11:AH12">
    <cfRule type="expression" dxfId="157" priority="7" stopIfTrue="1">
      <formula>IF(WEEKDAY(F$5)=1,TRUE,FALSE)</formula>
    </cfRule>
  </conditionalFormatting>
  <conditionalFormatting sqref="F22:AH23 F24:AG25">
    <cfRule type="expression" dxfId="156" priority="6" stopIfTrue="1">
      <formula>IF(WEEKDAY(F$5)=1,TRUE,FALSE)</formula>
    </cfRule>
  </conditionalFormatting>
  <conditionalFormatting sqref="F22:G25">
    <cfRule type="expression" dxfId="155" priority="5" stopIfTrue="1">
      <formula>IF(WEEKDAY(F$5)=1,TRUE,FALSE)</formula>
    </cfRule>
  </conditionalFormatting>
  <conditionalFormatting sqref="AH24:AH25">
    <cfRule type="expression" dxfId="154" priority="4" stopIfTrue="1">
      <formula>IF(WEEKDAY(AH$5)=1,TRUE,FALSE)</formula>
    </cfRule>
  </conditionalFormatting>
  <conditionalFormatting sqref="F18:AH19 F20:AG21">
    <cfRule type="expression" dxfId="153" priority="3" stopIfTrue="1">
      <formula>IF(WEEKDAY(F$5)=1,TRUE,FALSE)</formula>
    </cfRule>
  </conditionalFormatting>
  <conditionalFormatting sqref="F18:G21">
    <cfRule type="expression" dxfId="152" priority="2" stopIfTrue="1">
      <formula>IF(WEEKDAY(F$5)=1,TRUE,FALSE)</formula>
    </cfRule>
  </conditionalFormatting>
  <conditionalFormatting sqref="AH20:AH21">
    <cfRule type="expression" dxfId="151" priority="1" stopIfTrue="1">
      <formula>IF(WEEKDAY(AH$5)=1,TRUE,FALSE)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5"/>
  <sheetViews>
    <sheetView zoomScaleNormal="70" workbookViewId="0">
      <pane xSplit="3" ySplit="8" topLeftCell="D15" activePane="bottomRight" state="frozen"/>
      <selection activeCell="X10" sqref="X10"/>
      <selection pane="topRight" activeCell="X10" sqref="X10"/>
      <selection pane="bottomLeft" activeCell="X10" sqref="X10"/>
      <selection pane="bottomRight" activeCell="S24" activeCellId="1" sqref="S14 S24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9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7"/>
      <c r="B1" s="221"/>
      <c r="C1" s="221"/>
      <c r="D1" s="270" t="str">
        <f>"BẢNG THANH TOÁN LƯƠNG THÁNG"&amp;" "&amp;TEXT($E$4,"mm")&amp;" / "&amp;TEXT($E$4,"yyyy")</f>
        <v>BẢNG THANH TOÁN LƯƠNG THÁNG 02 / 2015</v>
      </c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1"/>
      <c r="R1" s="272" t="s">
        <v>170</v>
      </c>
      <c r="S1" s="273"/>
      <c r="T1" s="274"/>
      <c r="U1" s="128" t="s">
        <v>58</v>
      </c>
      <c r="V1" s="108" t="s">
        <v>37</v>
      </c>
      <c r="W1" s="81"/>
      <c r="X1" s="81"/>
      <c r="Y1" s="5"/>
      <c r="Z1" s="5"/>
    </row>
    <row r="2" spans="1:31" s="4" customFormat="1" ht="15" customHeight="1">
      <c r="A2" s="137"/>
      <c r="B2" s="221"/>
      <c r="C2" s="221"/>
      <c r="D2" s="221"/>
      <c r="E2" s="79"/>
      <c r="F2" s="221"/>
      <c r="G2" s="221"/>
      <c r="H2" s="221"/>
      <c r="I2" s="221"/>
      <c r="J2" s="80"/>
      <c r="K2" s="221"/>
      <c r="L2" s="221"/>
      <c r="M2" s="221"/>
      <c r="N2" s="221"/>
      <c r="O2" s="221"/>
      <c r="P2" s="221"/>
      <c r="Q2" s="221"/>
      <c r="R2" s="221"/>
      <c r="S2" s="221"/>
      <c r="T2" s="57"/>
      <c r="U2" s="78">
        <f>MAX(F10:F24)</f>
        <v>19</v>
      </c>
      <c r="V2" s="109">
        <v>31</v>
      </c>
      <c r="W2" s="81"/>
      <c r="X2" s="81"/>
      <c r="Y2" s="5"/>
      <c r="Z2" s="5"/>
    </row>
    <row r="3" spans="1:31" s="4" customFormat="1" ht="15" customHeight="1">
      <c r="A3" s="137"/>
      <c r="B3" s="221"/>
      <c r="C3" s="221"/>
      <c r="D3" s="221"/>
      <c r="E3" s="79"/>
      <c r="F3" s="221"/>
      <c r="G3" s="221"/>
      <c r="H3" s="221"/>
      <c r="I3" s="221"/>
      <c r="J3" s="80"/>
      <c r="K3" s="221"/>
      <c r="L3" s="221"/>
      <c r="M3" s="221"/>
      <c r="N3" s="221"/>
      <c r="O3" s="221"/>
      <c r="P3" s="221"/>
      <c r="Q3" s="221"/>
      <c r="R3" s="221"/>
      <c r="S3" s="221"/>
      <c r="T3" s="57"/>
      <c r="U3" s="129"/>
      <c r="V3" s="130"/>
      <c r="W3" s="81"/>
      <c r="X3" s="81"/>
      <c r="Y3" s="5"/>
      <c r="Z3" s="5"/>
    </row>
    <row r="4" spans="1:31" s="103" customFormat="1" ht="14.25" customHeight="1">
      <c r="A4" s="101"/>
      <c r="B4" s="102"/>
      <c r="C4" s="102"/>
      <c r="D4" s="102"/>
      <c r="E4" s="187">
        <f>'CC -2'!$E$4</f>
        <v>42036</v>
      </c>
      <c r="F4" s="102"/>
      <c r="G4" s="102"/>
      <c r="H4" s="102"/>
      <c r="I4" s="102"/>
      <c r="J4" s="102"/>
      <c r="K4" s="102"/>
      <c r="L4" s="102"/>
      <c r="M4" s="102"/>
      <c r="N4" s="160">
        <v>0.08</v>
      </c>
      <c r="O4" s="160">
        <v>1.4999999999999999E-2</v>
      </c>
      <c r="P4" s="160">
        <v>0.01</v>
      </c>
      <c r="Q4" s="102"/>
      <c r="R4" s="102"/>
      <c r="S4" s="102"/>
      <c r="T4" s="102"/>
      <c r="U4" s="102"/>
      <c r="V4" s="104"/>
      <c r="W4" s="104"/>
      <c r="X4" s="104"/>
      <c r="Y4" s="104"/>
      <c r="Z4" s="104"/>
    </row>
    <row r="5" spans="1:31" s="26" customFormat="1" ht="24" customHeight="1">
      <c r="A5" s="275" t="s">
        <v>19</v>
      </c>
      <c r="B5" s="275" t="s">
        <v>20</v>
      </c>
      <c r="C5" s="238" t="s">
        <v>1</v>
      </c>
      <c r="D5" s="238" t="s">
        <v>2</v>
      </c>
      <c r="E5" s="241" t="s">
        <v>56</v>
      </c>
      <c r="F5" s="278" t="s">
        <v>26</v>
      </c>
      <c r="G5" s="279"/>
      <c r="H5" s="279"/>
      <c r="I5" s="279"/>
      <c r="J5" s="279"/>
      <c r="K5" s="280"/>
      <c r="L5" s="277" t="s">
        <v>57</v>
      </c>
      <c r="M5" s="277" t="s">
        <v>5</v>
      </c>
      <c r="N5" s="238" t="s">
        <v>6</v>
      </c>
      <c r="O5" s="238"/>
      <c r="P5" s="238"/>
      <c r="Q5" s="277" t="s">
        <v>7</v>
      </c>
      <c r="R5" s="277" t="s">
        <v>8</v>
      </c>
      <c r="S5" s="277" t="s">
        <v>9</v>
      </c>
      <c r="T5" s="239" t="s">
        <v>10</v>
      </c>
      <c r="U5" s="102"/>
      <c r="V5" s="27"/>
      <c r="W5" s="27"/>
      <c r="X5" s="5"/>
      <c r="Y5" s="5"/>
      <c r="Z5" s="5"/>
      <c r="AA5" s="4"/>
      <c r="AB5" s="4"/>
      <c r="AC5" s="4"/>
      <c r="AD5" s="4"/>
      <c r="AE5" s="4"/>
    </row>
    <row r="6" spans="1:31" s="26" customFormat="1" ht="33.75" customHeight="1">
      <c r="A6" s="276"/>
      <c r="B6" s="276"/>
      <c r="C6" s="238"/>
      <c r="D6" s="238"/>
      <c r="E6" s="241"/>
      <c r="F6" s="278" t="s">
        <v>59</v>
      </c>
      <c r="G6" s="280"/>
      <c r="H6" s="278" t="s">
        <v>157</v>
      </c>
      <c r="I6" s="279"/>
      <c r="J6" s="284" t="s">
        <v>27</v>
      </c>
      <c r="K6" s="277" t="s">
        <v>4</v>
      </c>
      <c r="L6" s="281"/>
      <c r="M6" s="281"/>
      <c r="N6" s="286" t="s">
        <v>12</v>
      </c>
      <c r="O6" s="277" t="s">
        <v>13</v>
      </c>
      <c r="P6" s="277" t="s">
        <v>34</v>
      </c>
      <c r="Q6" s="281"/>
      <c r="R6" s="281"/>
      <c r="S6" s="281"/>
      <c r="T6" s="240"/>
      <c r="U6" s="102"/>
      <c r="V6" s="27"/>
      <c r="W6" s="27"/>
      <c r="X6" s="5"/>
      <c r="Y6" s="5"/>
      <c r="Z6" s="5"/>
      <c r="AA6" s="4"/>
      <c r="AB6" s="4"/>
      <c r="AC6" s="4"/>
      <c r="AD6" s="4"/>
      <c r="AE6" s="4"/>
    </row>
    <row r="7" spans="1:31" s="26" customFormat="1" ht="35.25" customHeight="1">
      <c r="A7" s="276"/>
      <c r="B7" s="276"/>
      <c r="C7" s="277"/>
      <c r="D7" s="277"/>
      <c r="E7" s="241"/>
      <c r="F7" s="220" t="s">
        <v>40</v>
      </c>
      <c r="G7" s="218" t="s">
        <v>18</v>
      </c>
      <c r="H7" s="220" t="s">
        <v>40</v>
      </c>
      <c r="I7" s="126" t="s">
        <v>18</v>
      </c>
      <c r="J7" s="285"/>
      <c r="K7" s="281"/>
      <c r="L7" s="282"/>
      <c r="M7" s="282"/>
      <c r="N7" s="287"/>
      <c r="O7" s="281"/>
      <c r="P7" s="281"/>
      <c r="Q7" s="281"/>
      <c r="R7" s="281"/>
      <c r="S7" s="281"/>
      <c r="T7" s="240"/>
      <c r="U7" s="102"/>
      <c r="V7" s="27"/>
      <c r="W7" s="27"/>
      <c r="X7" s="5"/>
      <c r="Y7" s="5"/>
      <c r="Z7" s="5"/>
      <c r="AA7" s="4"/>
      <c r="AB7" s="4"/>
      <c r="AC7" s="4"/>
      <c r="AD7" s="4"/>
      <c r="AE7" s="4"/>
    </row>
    <row r="8" spans="1:31" s="83" customFormat="1" ht="12.75" customHeight="1">
      <c r="A8" s="82">
        <v>1</v>
      </c>
      <c r="B8" s="82">
        <v>2</v>
      </c>
      <c r="C8" s="82">
        <v>3</v>
      </c>
      <c r="D8" s="82">
        <v>4</v>
      </c>
      <c r="E8" s="82">
        <v>5</v>
      </c>
      <c r="F8" s="82">
        <v>7</v>
      </c>
      <c r="G8" s="82">
        <v>8</v>
      </c>
      <c r="H8" s="82">
        <v>9</v>
      </c>
      <c r="I8" s="82">
        <v>10</v>
      </c>
      <c r="J8" s="82">
        <v>13</v>
      </c>
      <c r="K8" s="82">
        <v>14</v>
      </c>
      <c r="L8" s="82">
        <v>16</v>
      </c>
      <c r="M8" s="82">
        <v>17</v>
      </c>
      <c r="N8" s="82">
        <v>18</v>
      </c>
      <c r="O8" s="82">
        <v>19</v>
      </c>
      <c r="P8" s="82">
        <v>20</v>
      </c>
      <c r="Q8" s="82">
        <v>21</v>
      </c>
      <c r="R8" s="82">
        <v>22</v>
      </c>
      <c r="S8" s="82">
        <v>23</v>
      </c>
      <c r="T8" s="82">
        <v>24</v>
      </c>
      <c r="U8" s="102"/>
      <c r="V8" s="84"/>
      <c r="W8" s="84"/>
      <c r="X8" s="85"/>
      <c r="Y8" s="85"/>
      <c r="Z8" s="85"/>
      <c r="AA8" s="86"/>
      <c r="AB8" s="86"/>
      <c r="AC8" s="86"/>
      <c r="AD8" s="86"/>
      <c r="AE8" s="86"/>
    </row>
    <row r="9" spans="1:31" s="83" customFormat="1" ht="24" customHeight="1">
      <c r="A9" s="186" t="s">
        <v>154</v>
      </c>
      <c r="B9" s="185" t="s">
        <v>171</v>
      </c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02"/>
      <c r="V9" s="84"/>
      <c r="W9" s="84"/>
      <c r="X9" s="85"/>
      <c r="Y9" s="85"/>
      <c r="Z9" s="85"/>
      <c r="AA9" s="86"/>
      <c r="AB9" s="86"/>
      <c r="AC9" s="86"/>
      <c r="AD9" s="86"/>
      <c r="AE9" s="86"/>
    </row>
    <row r="10" spans="1:31" s="35" customFormat="1" ht="24" customHeight="1">
      <c r="A10" s="37">
        <v>1</v>
      </c>
      <c r="B10" s="139" t="s">
        <v>159</v>
      </c>
      <c r="C10" s="87" t="str">
        <f t="shared" ref="C10:C12" si="0">VLOOKUP(B10,DS,2,0)</f>
        <v>Nguyễn Thị Thu Sương</v>
      </c>
      <c r="D10" s="114" t="str">
        <f t="shared" ref="D10:D12" si="1">VLOOKUP(B10,DS,3,0)</f>
        <v>Kinh Doanh</v>
      </c>
      <c r="E10" s="88">
        <f t="shared" ref="E10:E12" si="2">VLOOKUP(B10,DS,4,0)</f>
        <v>5000000</v>
      </c>
      <c r="F10" s="90">
        <f>VLOOKUP(B10,'CC -2'!$B$8:$AQ$29,34,0)</f>
        <v>19</v>
      </c>
      <c r="G10" s="143">
        <f t="shared" ref="G10:G12" si="3">ROUND(E10/$U$2*F10,0)</f>
        <v>5000000</v>
      </c>
      <c r="H10" s="90">
        <f>(VLOOKUP(B10,'CC -2'!$B$8:$AQ$29,35,0)+VLOOKUP(B10,'CC -2'!$B$8:$AQ$29,36,0))</f>
        <v>0</v>
      </c>
      <c r="I10" s="143">
        <f t="shared" ref="I10:I12" si="4">ROUND(E10/$U$2*H10,0)</f>
        <v>0</v>
      </c>
      <c r="J10" s="91">
        <f t="shared" ref="J10:K12" si="5">F10+H10</f>
        <v>19</v>
      </c>
      <c r="K10" s="38">
        <f>G10+I10</f>
        <v>5000000</v>
      </c>
      <c r="L10" s="88">
        <f t="shared" ref="L10:L12" si="6">+F10*15000</f>
        <v>285000</v>
      </c>
      <c r="M10" s="39">
        <f t="shared" ref="M10:M12" si="7">K10+L10</f>
        <v>5285000</v>
      </c>
      <c r="N10" s="39">
        <f>IF(VLOOKUP(B10,DS,9,0)="x",E10*$N$4,0)</f>
        <v>0</v>
      </c>
      <c r="O10" s="39">
        <f>IF(VLOOKUP(B10,DS,9,0)="x",E10*$O$4,0)</f>
        <v>0</v>
      </c>
      <c r="P10" s="39">
        <f>IF(VLOOKUP(B10,DS,9,0)="x",E10*$P$4,0)</f>
        <v>0</v>
      </c>
      <c r="Q10" s="38">
        <f t="shared" ref="Q10:Q12" si="8">M10-SUM(N10:P10)</f>
        <v>5285000</v>
      </c>
      <c r="R10" s="38">
        <f>VLOOKUP(B10,DS,23,0)</f>
        <v>0</v>
      </c>
      <c r="S10" s="44">
        <f t="shared" ref="S10:S12" si="9">Q10-R10</f>
        <v>5285000</v>
      </c>
      <c r="T10" s="38"/>
      <c r="U10" s="102"/>
      <c r="V10" s="36"/>
      <c r="W10" s="27"/>
      <c r="X10" s="5"/>
      <c r="Y10" s="5"/>
      <c r="Z10" s="5"/>
      <c r="AA10" s="4"/>
      <c r="AB10" s="4"/>
      <c r="AC10" s="4"/>
      <c r="AD10" s="4"/>
      <c r="AE10" s="4"/>
    </row>
    <row r="11" spans="1:31" s="35" customFormat="1" ht="24" customHeight="1">
      <c r="A11" s="37">
        <v>2</v>
      </c>
      <c r="B11" s="139" t="s">
        <v>160</v>
      </c>
      <c r="C11" s="87" t="str">
        <f t="shared" ref="C11" si="10">VLOOKUP(B11,DS,2,0)</f>
        <v>Trần Anh Nhựt</v>
      </c>
      <c r="D11" s="114" t="str">
        <f t="shared" ref="D11" si="11">VLOOKUP(B11,DS,3,0)</f>
        <v>Thiết Kế</v>
      </c>
      <c r="E11" s="88">
        <f t="shared" ref="E11" si="12">VLOOKUP(B11,DS,4,0)</f>
        <v>5000000</v>
      </c>
      <c r="F11" s="90">
        <f>VLOOKUP(B11,'CC -2'!$B$8:$AQ$29,34,0)</f>
        <v>19</v>
      </c>
      <c r="G11" s="143">
        <f t="shared" ref="G11" si="13">ROUND(E11/$U$2*F11,0)</f>
        <v>5000000</v>
      </c>
      <c r="H11" s="90">
        <f>(VLOOKUP(B11,'CC -2'!$B$8:$AQ$29,35,0)+VLOOKUP(B11,'CC -2'!$B$8:$AQ$29,36,0))</f>
        <v>0</v>
      </c>
      <c r="I11" s="143">
        <f t="shared" ref="I11" si="14">ROUND(E11/$U$2*H11,0)</f>
        <v>0</v>
      </c>
      <c r="J11" s="91">
        <f t="shared" ref="J11" si="15">F11+H11</f>
        <v>19</v>
      </c>
      <c r="K11" s="38">
        <f t="shared" ref="K11" si="16">G11+I11</f>
        <v>5000000</v>
      </c>
      <c r="L11" s="88">
        <f t="shared" ref="L11" si="17">+F11*15000</f>
        <v>285000</v>
      </c>
      <c r="M11" s="39">
        <f t="shared" ref="M11" si="18">K11+L11</f>
        <v>5285000</v>
      </c>
      <c r="N11" s="39">
        <f>IF(VLOOKUP(B11,DS,9,0)="x",E11*$N$4,0)</f>
        <v>0</v>
      </c>
      <c r="O11" s="39">
        <f>IF(VLOOKUP(B11,DS,9,0)="x",E11*$O$4,0)</f>
        <v>0</v>
      </c>
      <c r="P11" s="39">
        <f>IF(VLOOKUP(B11,DS,9,0)="x",E11*$P$4,0)</f>
        <v>0</v>
      </c>
      <c r="Q11" s="38">
        <f t="shared" ref="Q11" si="19">M11-SUM(N11:P11)</f>
        <v>5285000</v>
      </c>
      <c r="R11" s="38">
        <f>VLOOKUP(B11,DS,23,0)</f>
        <v>0</v>
      </c>
      <c r="S11" s="44">
        <f t="shared" ref="S11" si="20">Q11-R11</f>
        <v>5285000</v>
      </c>
      <c r="T11" s="38"/>
      <c r="U11" s="102"/>
      <c r="V11" s="36"/>
      <c r="W11" s="27"/>
      <c r="X11" s="5"/>
      <c r="Y11" s="5"/>
      <c r="Z11" s="5"/>
      <c r="AA11" s="4"/>
      <c r="AB11" s="4"/>
      <c r="AC11" s="4"/>
      <c r="AD11" s="4"/>
      <c r="AE11" s="4"/>
    </row>
    <row r="12" spans="1:31" s="35" customFormat="1" ht="24" customHeight="1">
      <c r="A12" s="37">
        <v>3</v>
      </c>
      <c r="B12" s="139" t="s">
        <v>168</v>
      </c>
      <c r="C12" s="87" t="str">
        <f t="shared" si="0"/>
        <v>Huỳnh Minh Toàn</v>
      </c>
      <c r="D12" s="114" t="str">
        <f t="shared" si="1"/>
        <v>Thủ Kho</v>
      </c>
      <c r="E12" s="88">
        <f t="shared" si="2"/>
        <v>5500000</v>
      </c>
      <c r="F12" s="90">
        <f>VLOOKUP(B12,'CC -2'!$B$8:$AQ$29,34,0)</f>
        <v>19</v>
      </c>
      <c r="G12" s="143">
        <f t="shared" si="3"/>
        <v>5500000</v>
      </c>
      <c r="H12" s="90">
        <f>(VLOOKUP(B12,'CC -2'!$B$8:$AQ$29,35,0)+VLOOKUP(B12,'CC -2'!$B$8:$AQ$29,36,0))</f>
        <v>0</v>
      </c>
      <c r="I12" s="143">
        <f t="shared" si="4"/>
        <v>0</v>
      </c>
      <c r="J12" s="91">
        <f t="shared" si="5"/>
        <v>19</v>
      </c>
      <c r="K12" s="38">
        <f t="shared" si="5"/>
        <v>5500000</v>
      </c>
      <c r="L12" s="88">
        <f t="shared" si="6"/>
        <v>285000</v>
      </c>
      <c r="M12" s="39">
        <f t="shared" si="7"/>
        <v>5785000</v>
      </c>
      <c r="N12" s="39">
        <f>IF(VLOOKUP(B12,DS,9,0)="x",E12*$N$4,0)</f>
        <v>0</v>
      </c>
      <c r="O12" s="39">
        <f>IF(VLOOKUP(B12,DS,9,0)="x",E12*$O$4,0)</f>
        <v>0</v>
      </c>
      <c r="P12" s="39">
        <f>IF(VLOOKUP(B12,DS,9,0)="x",E12*$P$4,0)</f>
        <v>0</v>
      </c>
      <c r="Q12" s="38">
        <f t="shared" si="8"/>
        <v>5785000</v>
      </c>
      <c r="R12" s="38">
        <f>VLOOKUP(B12,DS,23,0)</f>
        <v>0</v>
      </c>
      <c r="S12" s="44">
        <f t="shared" si="9"/>
        <v>5785000</v>
      </c>
      <c r="T12" s="38"/>
      <c r="U12" s="102"/>
      <c r="V12" s="36"/>
      <c r="W12" s="27"/>
      <c r="X12" s="5"/>
      <c r="Y12" s="5"/>
      <c r="Z12" s="5"/>
      <c r="AA12" s="4"/>
      <c r="AB12" s="4"/>
      <c r="AC12" s="4"/>
      <c r="AD12" s="4"/>
      <c r="AE12" s="4"/>
    </row>
    <row r="13" spans="1:31" s="35" customFormat="1" ht="24" customHeight="1">
      <c r="A13" s="201"/>
      <c r="B13" s="202"/>
      <c r="C13" s="203"/>
      <c r="D13" s="204"/>
      <c r="E13" s="205"/>
      <c r="F13" s="206"/>
      <c r="G13" s="207"/>
      <c r="H13" s="206"/>
      <c r="I13" s="207"/>
      <c r="J13" s="208"/>
      <c r="K13" s="209"/>
      <c r="L13" s="205"/>
      <c r="M13" s="210"/>
      <c r="N13" s="210"/>
      <c r="O13" s="210"/>
      <c r="P13" s="210"/>
      <c r="Q13" s="209"/>
      <c r="R13" s="209"/>
      <c r="S13" s="211"/>
      <c r="T13" s="209"/>
      <c r="U13" s="102"/>
      <c r="V13" s="36"/>
      <c r="W13" s="27"/>
      <c r="X13" s="5"/>
      <c r="Y13" s="5"/>
      <c r="Z13" s="5"/>
      <c r="AA13" s="4"/>
      <c r="AB13" s="4"/>
      <c r="AC13" s="4"/>
      <c r="AD13" s="4"/>
      <c r="AE13" s="4"/>
    </row>
    <row r="14" spans="1:31" s="31" customFormat="1" ht="21" customHeight="1">
      <c r="A14" s="283" t="s">
        <v>25</v>
      </c>
      <c r="B14" s="283"/>
      <c r="C14" s="283"/>
      <c r="D14" s="283"/>
      <c r="E14" s="138">
        <f>SUM(E9:E12)</f>
        <v>15500000</v>
      </c>
      <c r="F14" s="138"/>
      <c r="G14" s="138">
        <f>SUM(G9:G12)</f>
        <v>15500000</v>
      </c>
      <c r="H14" s="138"/>
      <c r="I14" s="138">
        <f>SUM(I9:I12)</f>
        <v>0</v>
      </c>
      <c r="J14" s="138"/>
      <c r="K14" s="138">
        <f t="shared" ref="K14:S14" si="21">SUM(K9:K12)</f>
        <v>15500000</v>
      </c>
      <c r="L14" s="138">
        <f t="shared" si="21"/>
        <v>855000</v>
      </c>
      <c r="M14" s="138">
        <f t="shared" si="21"/>
        <v>16355000</v>
      </c>
      <c r="N14" s="138">
        <f t="shared" si="21"/>
        <v>0</v>
      </c>
      <c r="O14" s="138">
        <f t="shared" si="21"/>
        <v>0</v>
      </c>
      <c r="P14" s="138">
        <f t="shared" si="21"/>
        <v>0</v>
      </c>
      <c r="Q14" s="138">
        <f t="shared" si="21"/>
        <v>16355000</v>
      </c>
      <c r="R14" s="138">
        <f t="shared" si="21"/>
        <v>0</v>
      </c>
      <c r="S14" s="138">
        <f t="shared" si="21"/>
        <v>16355000</v>
      </c>
      <c r="T14" s="25"/>
      <c r="U14" s="102"/>
      <c r="V14" s="32"/>
      <c r="W14" s="32"/>
      <c r="X14" s="32"/>
      <c r="Y14" s="32"/>
      <c r="Z14" s="32"/>
    </row>
    <row r="15" spans="1:31" s="83" customFormat="1" ht="24" customHeight="1">
      <c r="A15" s="186" t="s">
        <v>155</v>
      </c>
      <c r="B15" s="185" t="s">
        <v>156</v>
      </c>
      <c r="C15" s="184"/>
      <c r="D15" s="184"/>
      <c r="E15" s="184"/>
      <c r="F15" s="184"/>
      <c r="G15" s="184"/>
      <c r="H15" s="184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02"/>
      <c r="V15" s="84"/>
      <c r="W15" s="84"/>
      <c r="X15" s="85"/>
      <c r="Y15" s="85"/>
      <c r="Z15" s="85"/>
      <c r="AA15" s="86"/>
      <c r="AB15" s="86"/>
      <c r="AC15" s="86"/>
      <c r="AD15" s="86"/>
      <c r="AE15" s="86"/>
    </row>
    <row r="16" spans="1:31" s="35" customFormat="1" ht="24" customHeight="1">
      <c r="A16" s="37">
        <v>1</v>
      </c>
      <c r="B16" s="139" t="s">
        <v>161</v>
      </c>
      <c r="C16" s="87" t="str">
        <f t="shared" ref="C16:C20" si="22">VLOOKUP(B16,DS,2,0)</f>
        <v>Nguyễn Trường Giang</v>
      </c>
      <c r="D16" s="114" t="str">
        <f t="shared" ref="D16:D20" si="23">VLOOKUP(B16,DS,3,0)</f>
        <v>Thợ in</v>
      </c>
      <c r="E16" s="88">
        <f t="shared" ref="E16:E20" si="24">VLOOKUP(B16,DS,4,0)</f>
        <v>5000000</v>
      </c>
      <c r="F16" s="90">
        <f>VLOOKUP(B16,'CC -2'!$B$8:$AQ$29,34,0)</f>
        <v>19</v>
      </c>
      <c r="G16" s="143">
        <f t="shared" ref="G16:G20" si="25">ROUND(E16/$U$2*F16,0)</f>
        <v>5000000</v>
      </c>
      <c r="H16" s="90">
        <f>(VLOOKUP(B16,'CC -2'!$B$8:$AQ$29,35,0)+VLOOKUP(B16,'CC -2'!$B$8:$AQ$29,36,0))</f>
        <v>0</v>
      </c>
      <c r="I16" s="143">
        <f t="shared" ref="I16:I20" si="26">ROUND(E16/$U$2*H16,0)</f>
        <v>0</v>
      </c>
      <c r="J16" s="144">
        <f t="shared" ref="J16:K20" si="27">F16+H16</f>
        <v>19</v>
      </c>
      <c r="K16" s="38">
        <f t="shared" si="27"/>
        <v>5000000</v>
      </c>
      <c r="L16" s="88">
        <f t="shared" ref="L16:L20" si="28">+F16*15000</f>
        <v>285000</v>
      </c>
      <c r="M16" s="39">
        <f t="shared" ref="M16:M20" si="29">K16+L16</f>
        <v>5285000</v>
      </c>
      <c r="N16" s="39">
        <f>IF(VLOOKUP(B16,DS,9,0)="x",'L - 2'!E16*$N$4,0)</f>
        <v>0</v>
      </c>
      <c r="O16" s="39">
        <f t="shared" ref="O16:O20" si="30">IF(VLOOKUP(B16,DS,9,0)="x",E16*0.015,0)</f>
        <v>0</v>
      </c>
      <c r="P16" s="39">
        <f t="shared" ref="P16:P20" si="31">IF(VLOOKUP(B16,DS,9,0)="x",E16*0.01,0)</f>
        <v>0</v>
      </c>
      <c r="Q16" s="38">
        <f>M16-SUM(N16:P16)</f>
        <v>5285000</v>
      </c>
      <c r="R16" s="38">
        <f t="shared" ref="R16:R20" si="32">VLOOKUP(B16,DS,23,0)</f>
        <v>0</v>
      </c>
      <c r="S16" s="44">
        <f>Q16-R16</f>
        <v>5285000</v>
      </c>
      <c r="T16" s="38"/>
      <c r="U16" s="102"/>
      <c r="V16" s="36"/>
      <c r="W16" s="27"/>
      <c r="X16" s="5"/>
      <c r="Y16" s="5"/>
      <c r="Z16" s="5"/>
      <c r="AA16" s="4"/>
      <c r="AB16" s="4"/>
      <c r="AC16" s="4"/>
      <c r="AD16" s="4"/>
      <c r="AE16" s="4"/>
    </row>
    <row r="17" spans="1:31" s="35" customFormat="1" ht="24" customHeight="1">
      <c r="A17" s="37">
        <v>2</v>
      </c>
      <c r="B17" s="139" t="s">
        <v>162</v>
      </c>
      <c r="C17" s="87" t="str">
        <f t="shared" ref="C17:C18" si="33">VLOOKUP(B17,DS,2,0)</f>
        <v>Võ Văn Kiệt</v>
      </c>
      <c r="D17" s="114" t="str">
        <f t="shared" ref="D17:D18" si="34">VLOOKUP(B17,DS,3,0)</f>
        <v>Công Đoạn 1</v>
      </c>
      <c r="E17" s="88">
        <f t="shared" ref="E17:E18" si="35">VLOOKUP(B17,DS,4,0)</f>
        <v>5000000</v>
      </c>
      <c r="F17" s="90">
        <f>VLOOKUP(B17,'CC -2'!$B$8:$AQ$29,34,0)</f>
        <v>19</v>
      </c>
      <c r="G17" s="143">
        <f t="shared" ref="G17:G18" si="36">ROUND(E17/$U$2*F17,0)</f>
        <v>5000000</v>
      </c>
      <c r="H17" s="90">
        <f>(VLOOKUP(B17,'CC -2'!$B$8:$AQ$29,35,0)+VLOOKUP(B17,'CC -2'!$B$8:$AQ$29,36,0))</f>
        <v>0</v>
      </c>
      <c r="I17" s="143">
        <f t="shared" ref="I17:I18" si="37">ROUND(E17/$U$2*H17,0)</f>
        <v>0</v>
      </c>
      <c r="J17" s="144">
        <f t="shared" ref="J17:J18" si="38">F17+H17</f>
        <v>19</v>
      </c>
      <c r="K17" s="38">
        <f t="shared" ref="K17:K18" si="39">G17+I17</f>
        <v>5000000</v>
      </c>
      <c r="L17" s="88">
        <f t="shared" ref="L17:L18" si="40">+F17*15000</f>
        <v>285000</v>
      </c>
      <c r="M17" s="39">
        <f t="shared" ref="M17:M18" si="41">K17+L17</f>
        <v>5285000</v>
      </c>
      <c r="N17" s="39">
        <f>IF(VLOOKUP(B17,DS,9,0)="x",'L - 2'!E17*$N$4,0)</f>
        <v>0</v>
      </c>
      <c r="O17" s="39">
        <f t="shared" ref="O17:O18" si="42">IF(VLOOKUP(B17,DS,9,0)="x",E17*0.015,0)</f>
        <v>0</v>
      </c>
      <c r="P17" s="39">
        <f t="shared" ref="P17:P18" si="43">IF(VLOOKUP(B17,DS,9,0)="x",E17*0.01,0)</f>
        <v>0</v>
      </c>
      <c r="Q17" s="38">
        <f t="shared" ref="Q17:Q18" si="44">M17-SUM(N17:P17)</f>
        <v>5285000</v>
      </c>
      <c r="R17" s="38">
        <f t="shared" ref="R17:R18" si="45">VLOOKUP(B17,DS,23,0)</f>
        <v>0</v>
      </c>
      <c r="S17" s="44">
        <f t="shared" ref="S17:S18" si="46">Q17-R17</f>
        <v>5285000</v>
      </c>
      <c r="T17" s="38"/>
      <c r="U17" s="102"/>
      <c r="V17" s="36"/>
      <c r="W17" s="27"/>
      <c r="X17" s="5"/>
      <c r="Y17" s="5"/>
      <c r="Z17" s="5"/>
      <c r="AA17" s="4"/>
      <c r="AB17" s="4"/>
      <c r="AC17" s="4"/>
      <c r="AD17" s="4"/>
      <c r="AE17" s="4"/>
    </row>
    <row r="18" spans="1:31" s="35" customFormat="1" ht="24" customHeight="1">
      <c r="A18" s="37">
        <v>3</v>
      </c>
      <c r="B18" s="139" t="s">
        <v>163</v>
      </c>
      <c r="C18" s="87" t="str">
        <f t="shared" si="33"/>
        <v>Diệp Văn Lân</v>
      </c>
      <c r="D18" s="114" t="str">
        <f t="shared" si="34"/>
        <v>Công Đoạn 1</v>
      </c>
      <c r="E18" s="88">
        <f t="shared" si="35"/>
        <v>4200000</v>
      </c>
      <c r="F18" s="90">
        <f>VLOOKUP(B18,'CC -2'!$B$8:$AQ$29,34,0)</f>
        <v>19</v>
      </c>
      <c r="G18" s="143">
        <f t="shared" si="36"/>
        <v>4200000</v>
      </c>
      <c r="H18" s="90">
        <f>(VLOOKUP(B18,'CC -2'!$B$8:$AQ$29,35,0)+VLOOKUP(B18,'CC -2'!$B$8:$AQ$29,36,0))</f>
        <v>0</v>
      </c>
      <c r="I18" s="143">
        <f t="shared" si="37"/>
        <v>0</v>
      </c>
      <c r="J18" s="144">
        <f t="shared" si="38"/>
        <v>19</v>
      </c>
      <c r="K18" s="38">
        <f t="shared" si="39"/>
        <v>4200000</v>
      </c>
      <c r="L18" s="88">
        <f t="shared" si="40"/>
        <v>285000</v>
      </c>
      <c r="M18" s="39">
        <f t="shared" si="41"/>
        <v>4485000</v>
      </c>
      <c r="N18" s="39">
        <f>IF(VLOOKUP(B18,DS,9,0)="x",'L - 2'!E18*$N$4,0)</f>
        <v>0</v>
      </c>
      <c r="O18" s="39">
        <f t="shared" si="42"/>
        <v>0</v>
      </c>
      <c r="P18" s="39">
        <f t="shared" si="43"/>
        <v>0</v>
      </c>
      <c r="Q18" s="38">
        <f t="shared" si="44"/>
        <v>4485000</v>
      </c>
      <c r="R18" s="38">
        <f t="shared" si="45"/>
        <v>0</v>
      </c>
      <c r="S18" s="44">
        <f t="shared" si="46"/>
        <v>4485000</v>
      </c>
      <c r="T18" s="38"/>
      <c r="U18" s="102"/>
      <c r="V18" s="36"/>
      <c r="W18" s="27"/>
      <c r="X18" s="5"/>
      <c r="Y18" s="5"/>
      <c r="Z18" s="5"/>
      <c r="AA18" s="4"/>
      <c r="AB18" s="4"/>
      <c r="AC18" s="4"/>
      <c r="AD18" s="4"/>
      <c r="AE18" s="4"/>
    </row>
    <row r="19" spans="1:31" s="35" customFormat="1" ht="24" customHeight="1">
      <c r="A19" s="37">
        <v>4</v>
      </c>
      <c r="B19" s="139" t="s">
        <v>176</v>
      </c>
      <c r="C19" s="87" t="str">
        <f t="shared" si="22"/>
        <v>Dương Thế Kiệt</v>
      </c>
      <c r="D19" s="114" t="str">
        <f t="shared" si="23"/>
        <v>Công Đoạn 1</v>
      </c>
      <c r="E19" s="88">
        <f t="shared" si="24"/>
        <v>4200000</v>
      </c>
      <c r="F19" s="90">
        <f>VLOOKUP(B19,'CC -2'!$B$8:$AQ$29,34,0)</f>
        <v>19</v>
      </c>
      <c r="G19" s="143">
        <f t="shared" si="25"/>
        <v>4200000</v>
      </c>
      <c r="H19" s="90">
        <f>(VLOOKUP(B19,'CC -2'!$B$8:$AQ$29,35,0)+VLOOKUP(B19,'CC -2'!$B$8:$AQ$29,36,0))</f>
        <v>0</v>
      </c>
      <c r="I19" s="143">
        <f t="shared" si="26"/>
        <v>0</v>
      </c>
      <c r="J19" s="144">
        <f t="shared" si="27"/>
        <v>19</v>
      </c>
      <c r="K19" s="38">
        <f t="shared" si="27"/>
        <v>4200000</v>
      </c>
      <c r="L19" s="88">
        <f t="shared" si="28"/>
        <v>285000</v>
      </c>
      <c r="M19" s="39">
        <f t="shared" si="29"/>
        <v>4485000</v>
      </c>
      <c r="N19" s="39">
        <f>IF(VLOOKUP(B19,DS,9,0)="x",'L - 2'!E19*$N$4,0)</f>
        <v>0</v>
      </c>
      <c r="O19" s="39">
        <f t="shared" si="30"/>
        <v>0</v>
      </c>
      <c r="P19" s="39">
        <f t="shared" si="31"/>
        <v>0</v>
      </c>
      <c r="Q19" s="38">
        <f t="shared" ref="Q19:Q20" si="47">M19-SUM(N19:P19)</f>
        <v>4485000</v>
      </c>
      <c r="R19" s="38">
        <f t="shared" si="32"/>
        <v>0</v>
      </c>
      <c r="S19" s="44">
        <f t="shared" ref="S19:S20" si="48">Q19-R19</f>
        <v>4485000</v>
      </c>
      <c r="T19" s="38"/>
      <c r="U19" s="102"/>
      <c r="V19" s="36"/>
      <c r="W19" s="27"/>
      <c r="X19" s="5"/>
      <c r="Y19" s="5"/>
      <c r="Z19" s="5"/>
      <c r="AA19" s="4"/>
      <c r="AB19" s="4"/>
      <c r="AC19" s="4"/>
      <c r="AD19" s="4"/>
      <c r="AE19" s="4"/>
    </row>
    <row r="20" spans="1:31" s="35" customFormat="1" ht="24" customHeight="1">
      <c r="A20" s="37">
        <v>5</v>
      </c>
      <c r="B20" s="139" t="s">
        <v>177</v>
      </c>
      <c r="C20" s="87" t="str">
        <f t="shared" si="22"/>
        <v>Lê Văn Hữu</v>
      </c>
      <c r="D20" s="114" t="str">
        <f t="shared" si="23"/>
        <v>Công Đoạn 2</v>
      </c>
      <c r="E20" s="88">
        <f t="shared" si="24"/>
        <v>5000000</v>
      </c>
      <c r="F20" s="90">
        <f>VLOOKUP(B20,'CC -2'!$B$8:$AQ$29,34,0)</f>
        <v>19</v>
      </c>
      <c r="G20" s="143">
        <f t="shared" si="25"/>
        <v>5000000</v>
      </c>
      <c r="H20" s="90">
        <f>(VLOOKUP(B20,'CC -2'!$B$8:$AQ$29,35,0)+VLOOKUP(B20,'CC -2'!$B$8:$AQ$29,36,0))</f>
        <v>0</v>
      </c>
      <c r="I20" s="143">
        <f t="shared" si="26"/>
        <v>0</v>
      </c>
      <c r="J20" s="144">
        <f t="shared" si="27"/>
        <v>19</v>
      </c>
      <c r="K20" s="38">
        <f t="shared" si="27"/>
        <v>5000000</v>
      </c>
      <c r="L20" s="88">
        <f t="shared" si="28"/>
        <v>285000</v>
      </c>
      <c r="M20" s="39">
        <f t="shared" si="29"/>
        <v>5285000</v>
      </c>
      <c r="N20" s="39">
        <f>IF(VLOOKUP(B20,DS,9,0)="x",'L - 2'!E20*$N$4,0)</f>
        <v>0</v>
      </c>
      <c r="O20" s="39">
        <f t="shared" si="30"/>
        <v>0</v>
      </c>
      <c r="P20" s="39">
        <f t="shared" si="31"/>
        <v>0</v>
      </c>
      <c r="Q20" s="38">
        <f t="shared" si="47"/>
        <v>5285000</v>
      </c>
      <c r="R20" s="38">
        <f t="shared" si="32"/>
        <v>0</v>
      </c>
      <c r="S20" s="44">
        <f t="shared" si="48"/>
        <v>5285000</v>
      </c>
      <c r="T20" s="38"/>
      <c r="U20" s="102"/>
      <c r="V20" s="36"/>
      <c r="W20" s="27"/>
      <c r="X20" s="5"/>
      <c r="Y20" s="5"/>
      <c r="Z20" s="5"/>
      <c r="AA20" s="4"/>
      <c r="AB20" s="4"/>
      <c r="AC20" s="4"/>
      <c r="AD20" s="4"/>
      <c r="AE20" s="4"/>
    </row>
    <row r="21" spans="1:31" s="35" customFormat="1" ht="24" customHeight="1">
      <c r="A21" s="37">
        <v>6</v>
      </c>
      <c r="B21" s="139" t="s">
        <v>178</v>
      </c>
      <c r="C21" s="87" t="str">
        <f t="shared" ref="C21:C22" si="49">VLOOKUP(B21,DS,2,0)</f>
        <v>Bùi Trường Giang</v>
      </c>
      <c r="D21" s="114" t="str">
        <f t="shared" ref="D21:D22" si="50">VLOOKUP(B21,DS,3,0)</f>
        <v>Công Đoạn 2</v>
      </c>
      <c r="E21" s="88">
        <f t="shared" ref="E21:E22" si="51">VLOOKUP(B21,DS,4,0)</f>
        <v>4200000</v>
      </c>
      <c r="F21" s="90">
        <f>VLOOKUP(B21,'CC -2'!$B$8:$AQ$29,34,0)</f>
        <v>19</v>
      </c>
      <c r="G21" s="143">
        <f t="shared" ref="G21:G22" si="52">ROUND(E21/$U$2*F21,0)</f>
        <v>4200000</v>
      </c>
      <c r="H21" s="90">
        <f>(VLOOKUP(B21,'CC -2'!$B$8:$AQ$29,35,0)+VLOOKUP(B21,'CC -2'!$B$8:$AQ$29,36,0))</f>
        <v>0</v>
      </c>
      <c r="I21" s="143">
        <f t="shared" ref="I21:I22" si="53">ROUND(E21/$U$2*H21,0)</f>
        <v>0</v>
      </c>
      <c r="J21" s="144">
        <f t="shared" ref="J21:J22" si="54">F21+H21</f>
        <v>19</v>
      </c>
      <c r="K21" s="38">
        <f t="shared" ref="K21:K22" si="55">G21+I21</f>
        <v>4200000</v>
      </c>
      <c r="L21" s="88">
        <f t="shared" ref="L21:L22" si="56">+F21*15000</f>
        <v>285000</v>
      </c>
      <c r="M21" s="39">
        <f t="shared" ref="M21:M22" si="57">K21+L21</f>
        <v>4485000</v>
      </c>
      <c r="N21" s="39">
        <f>IF(VLOOKUP(B21,DS,9,0)="x",'L - 2'!E21*$N$4,0)</f>
        <v>0</v>
      </c>
      <c r="O21" s="39">
        <f t="shared" ref="O21:O22" si="58">IF(VLOOKUP(B21,DS,9,0)="x",E21*0.015,0)</f>
        <v>0</v>
      </c>
      <c r="P21" s="39">
        <f t="shared" ref="P21:P22" si="59">IF(VLOOKUP(B21,DS,9,0)="x",E21*0.01,0)</f>
        <v>0</v>
      </c>
      <c r="Q21" s="38">
        <f t="shared" ref="Q21:Q22" si="60">M21-SUM(N21:P21)</f>
        <v>4485000</v>
      </c>
      <c r="R21" s="38">
        <f t="shared" ref="R21:R22" si="61">VLOOKUP(B21,DS,23,0)</f>
        <v>0</v>
      </c>
      <c r="S21" s="44">
        <f t="shared" ref="S21:S22" si="62">Q21-R21</f>
        <v>4485000</v>
      </c>
      <c r="T21" s="38"/>
      <c r="U21" s="102"/>
      <c r="V21" s="36"/>
      <c r="W21" s="27"/>
      <c r="X21" s="5"/>
      <c r="Y21" s="5"/>
      <c r="Z21" s="5"/>
      <c r="AA21" s="4"/>
      <c r="AB21" s="4"/>
      <c r="AC21" s="4"/>
      <c r="AD21" s="4"/>
      <c r="AE21" s="4"/>
    </row>
    <row r="22" spans="1:31" s="35" customFormat="1" ht="24" customHeight="1">
      <c r="A22" s="37">
        <v>7</v>
      </c>
      <c r="B22" s="139" t="s">
        <v>179</v>
      </c>
      <c r="C22" s="87" t="str">
        <f t="shared" si="49"/>
        <v>Nguyễn T Bích Thủy</v>
      </c>
      <c r="D22" s="114" t="str">
        <f t="shared" si="50"/>
        <v>Công Đoạn 2</v>
      </c>
      <c r="E22" s="88">
        <f t="shared" si="51"/>
        <v>4200000</v>
      </c>
      <c r="F22" s="90">
        <f>VLOOKUP(B22,'CC -2'!$B$8:$AQ$29,34,0)</f>
        <v>19</v>
      </c>
      <c r="G22" s="143">
        <f t="shared" si="52"/>
        <v>4200000</v>
      </c>
      <c r="H22" s="90">
        <f>(VLOOKUP(B22,'CC -2'!$B$8:$AQ$29,35,0)+VLOOKUP(B22,'CC -2'!$B$8:$AQ$29,36,0))</f>
        <v>0</v>
      </c>
      <c r="I22" s="143">
        <f t="shared" si="53"/>
        <v>0</v>
      </c>
      <c r="J22" s="144">
        <f t="shared" si="54"/>
        <v>19</v>
      </c>
      <c r="K22" s="38">
        <f t="shared" si="55"/>
        <v>4200000</v>
      </c>
      <c r="L22" s="88">
        <f t="shared" si="56"/>
        <v>285000</v>
      </c>
      <c r="M22" s="39">
        <f t="shared" si="57"/>
        <v>4485000</v>
      </c>
      <c r="N22" s="39">
        <f>IF(VLOOKUP(B22,DS,9,0)="x",'L - 2'!E22*$N$4,0)</f>
        <v>0</v>
      </c>
      <c r="O22" s="39">
        <f t="shared" si="58"/>
        <v>0</v>
      </c>
      <c r="P22" s="39">
        <f t="shared" si="59"/>
        <v>0</v>
      </c>
      <c r="Q22" s="38">
        <f t="shared" si="60"/>
        <v>4485000</v>
      </c>
      <c r="R22" s="38">
        <f t="shared" si="61"/>
        <v>0</v>
      </c>
      <c r="S22" s="44">
        <f t="shared" si="62"/>
        <v>4485000</v>
      </c>
      <c r="T22" s="38"/>
      <c r="U22" s="102"/>
      <c r="V22" s="36"/>
      <c r="W22" s="27"/>
      <c r="X22" s="5"/>
      <c r="Y22" s="5"/>
      <c r="Z22" s="5"/>
      <c r="AA22" s="4"/>
      <c r="AB22" s="4"/>
      <c r="AC22" s="4"/>
      <c r="AD22" s="4"/>
      <c r="AE22" s="4"/>
    </row>
    <row r="23" spans="1:31" s="35" customFormat="1" ht="22.5" customHeight="1">
      <c r="A23" s="40"/>
      <c r="B23" s="183"/>
      <c r="C23" s="41"/>
      <c r="D23" s="3"/>
      <c r="E23" s="42"/>
      <c r="F23" s="42"/>
      <c r="G23" s="42"/>
      <c r="H23" s="42"/>
      <c r="I23" s="42"/>
      <c r="J23" s="43"/>
      <c r="K23" s="42"/>
      <c r="L23" s="42"/>
      <c r="M23" s="182"/>
      <c r="N23" s="42"/>
      <c r="O23" s="42"/>
      <c r="P23" s="42"/>
      <c r="Q23" s="42"/>
      <c r="R23" s="42"/>
      <c r="S23" s="42"/>
      <c r="T23" s="38"/>
      <c r="U23" s="102"/>
      <c r="V23" s="36"/>
      <c r="W23" s="36"/>
      <c r="X23" s="36"/>
      <c r="Y23" s="36"/>
      <c r="Z23" s="36"/>
    </row>
    <row r="24" spans="1:31" s="31" customFormat="1" ht="21" customHeight="1">
      <c r="A24" s="283" t="s">
        <v>25</v>
      </c>
      <c r="B24" s="283"/>
      <c r="C24" s="283"/>
      <c r="D24" s="283"/>
      <c r="E24" s="138">
        <f>SUM(E15:E23)</f>
        <v>31800000</v>
      </c>
      <c r="F24" s="138"/>
      <c r="G24" s="138">
        <f>SUM(G15:G23)</f>
        <v>31800000</v>
      </c>
      <c r="H24" s="138"/>
      <c r="I24" s="138">
        <f>SUM(I15:I23)</f>
        <v>0</v>
      </c>
      <c r="J24" s="138"/>
      <c r="K24" s="138">
        <f t="shared" ref="K24:S24" si="63">SUM(K15:K23)</f>
        <v>31800000</v>
      </c>
      <c r="L24" s="138">
        <f t="shared" si="63"/>
        <v>1995000</v>
      </c>
      <c r="M24" s="138">
        <f t="shared" si="63"/>
        <v>33795000</v>
      </c>
      <c r="N24" s="138">
        <f t="shared" si="63"/>
        <v>0</v>
      </c>
      <c r="O24" s="138">
        <f t="shared" si="63"/>
        <v>0</v>
      </c>
      <c r="P24" s="138">
        <f t="shared" si="63"/>
        <v>0</v>
      </c>
      <c r="Q24" s="138">
        <f t="shared" si="63"/>
        <v>33795000</v>
      </c>
      <c r="R24" s="138">
        <f t="shared" si="63"/>
        <v>0</v>
      </c>
      <c r="S24" s="138">
        <f t="shared" si="63"/>
        <v>33795000</v>
      </c>
      <c r="T24" s="25"/>
      <c r="U24" s="102"/>
      <c r="V24" s="32"/>
      <c r="W24" s="32"/>
      <c r="X24" s="32"/>
      <c r="Y24" s="32"/>
      <c r="Z24" s="32"/>
    </row>
    <row r="25" spans="1:31" ht="11.25" customHeight="1">
      <c r="A25" s="8"/>
      <c r="B25" s="8"/>
      <c r="C25" s="9"/>
      <c r="D25" s="115"/>
      <c r="E25" s="92"/>
      <c r="F25" s="9"/>
      <c r="G25" s="9"/>
      <c r="H25" s="9"/>
      <c r="I25" s="9"/>
      <c r="K25" s="9"/>
      <c r="L25" s="9"/>
      <c r="M25" s="100"/>
      <c r="N25" s="9"/>
      <c r="O25" s="9"/>
      <c r="P25" s="9"/>
      <c r="Q25" s="9"/>
      <c r="R25" s="9"/>
      <c r="S25" s="9"/>
      <c r="T25" s="9"/>
      <c r="U25" s="102"/>
    </row>
    <row r="26" spans="1:31" s="35" customFormat="1" ht="11.25" customHeight="1">
      <c r="A26" s="76"/>
      <c r="B26" s="76"/>
      <c r="C26" s="76"/>
      <c r="D26" s="131"/>
      <c r="E26" s="132"/>
      <c r="F26" s="76"/>
      <c r="G26" s="76"/>
      <c r="H26" s="76"/>
      <c r="I26" s="76"/>
      <c r="J26" s="133"/>
      <c r="K26" s="132"/>
      <c r="L26" s="76"/>
      <c r="M26" s="76"/>
      <c r="N26" s="76"/>
      <c r="O26" s="76"/>
      <c r="P26" s="76"/>
      <c r="Q26" s="76"/>
      <c r="R26" s="76"/>
      <c r="S26" s="106" t="str">
        <f>"Long An, ngày  "&amp;$V$2&amp;"   tháng   "&amp;TEXT(E4,"mm")&amp;"   năm "&amp;TEXT(E4,"yyyy")</f>
        <v>Long An, ngày  31   tháng   02   năm 2015</v>
      </c>
      <c r="T26" s="76"/>
      <c r="U26" s="134"/>
      <c r="V26" s="36"/>
      <c r="W26" s="36"/>
      <c r="X26" s="36"/>
      <c r="Y26" s="36"/>
      <c r="Z26" s="36"/>
    </row>
    <row r="27" spans="1:31" s="35" customFormat="1" ht="12.75">
      <c r="A27" s="28"/>
      <c r="B27" s="28"/>
      <c r="C27" s="28" t="s">
        <v>60</v>
      </c>
      <c r="D27" s="135"/>
      <c r="E27" s="77"/>
      <c r="F27" s="134"/>
      <c r="G27" s="77"/>
      <c r="H27" s="77"/>
      <c r="I27" s="77"/>
      <c r="J27" s="136"/>
      <c r="K27" s="36"/>
      <c r="L27" s="28"/>
      <c r="M27" s="145"/>
      <c r="N27" s="19"/>
      <c r="O27" s="19"/>
      <c r="P27" s="19"/>
      <c r="Q27" s="19"/>
      <c r="S27" s="134" t="s">
        <v>22</v>
      </c>
      <c r="T27" s="134"/>
      <c r="U27" s="134"/>
      <c r="V27" s="36"/>
      <c r="W27" s="36"/>
      <c r="X27" s="36"/>
      <c r="Y27" s="36"/>
      <c r="Z27" s="36"/>
    </row>
    <row r="28" spans="1:31" ht="12">
      <c r="A28" s="8"/>
      <c r="B28" s="8"/>
      <c r="C28" s="15"/>
      <c r="E28" s="13"/>
      <c r="F28" s="12"/>
      <c r="G28" s="13"/>
      <c r="H28" s="13"/>
      <c r="I28" s="13"/>
      <c r="K28" s="7"/>
      <c r="L28" s="15"/>
      <c r="N28" s="11"/>
      <c r="O28" s="11"/>
      <c r="P28" s="11"/>
      <c r="Q28" s="11"/>
      <c r="S28" s="11"/>
      <c r="T28" s="12"/>
      <c r="U28" s="102"/>
    </row>
    <row r="29" spans="1:31" ht="12">
      <c r="C29" s="15"/>
      <c r="L29" s="15"/>
      <c r="T29" s="15"/>
      <c r="U29" s="102"/>
    </row>
    <row r="30" spans="1:31" ht="12">
      <c r="U30" s="102"/>
    </row>
    <row r="31" spans="1:31" ht="12">
      <c r="U31" s="102"/>
    </row>
    <row r="32" spans="1:31" ht="12">
      <c r="U32" s="102"/>
    </row>
    <row r="33" spans="21:21" ht="12">
      <c r="U33" s="102"/>
    </row>
    <row r="34" spans="21:21" ht="12">
      <c r="U34" s="102"/>
    </row>
    <row r="35" spans="21:21" ht="12">
      <c r="U35" s="102"/>
    </row>
  </sheetData>
  <protectedRanges>
    <protectedRange password="CC78" sqref="V23:IK24 C5:D7 B27:C27 V5:W9 A23:A28 B23:B26 B28 V15:W15 Q5:T7 E5:I6 N5:P6 L5 L27 J6:K7 L7 A30:T63 U36:U63 N23:S23 V30:IK63 J23:L23 A64:IK65331 AF15:IK15 V14:IK14 D14:T14 D24:T24 Q10:S13 W10:W13 AF5:IK13 A10:B14" name="Range1"/>
    <protectedRange password="CC78" sqref="F7:H7" name="Range1_4"/>
    <protectedRange password="CC78" sqref="V27:IK28 S27:T28 N27:Q28 E27:I28" name="Range1_1_1"/>
    <protectedRange password="CC78" sqref="U1 W1:IK3 V4:IK4 B4:T4 R2:S3 B1:Q3 U23:U35 X15:AE15 U4:U15 X5:AE13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6:W22 Q16:S22 AF16:IK22 A16:B22" name="Range1_5"/>
    <protectedRange password="CC78" sqref="U16:U22 X16:AE22" name="Range1_2_3"/>
    <protectedRange password="CC78" sqref="V16:V22" name="Range1_1_3"/>
    <protectedRange password="CC78" sqref="K10:K13 K16:K22" name="Range1_6"/>
    <protectedRange password="CC78" sqref="A2:A3" name="Range1_2_1_3"/>
    <protectedRange password="CC78" sqref="U2" name="Range1_2_2_1_1"/>
  </protectedRanges>
  <autoFilter ref="A7:AE10"/>
  <mergeCells count="24">
    <mergeCell ref="A14:D14"/>
    <mergeCell ref="A24:D24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6"/>
  <sheetViews>
    <sheetView zoomScaleNormal="115" workbookViewId="0">
      <pane xSplit="3" ySplit="6" topLeftCell="D14" activePane="bottomRight" state="frozen"/>
      <selection activeCell="X10" sqref="X10"/>
      <selection pane="topRight" activeCell="X10" sqref="X10"/>
      <selection pane="bottomLeft" activeCell="X10" sqref="X10"/>
      <selection pane="bottomRight" activeCell="A16" sqref="A16:B2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7" customWidth="1"/>
    <col min="5" max="5" width="7.140625" style="2" customWidth="1"/>
    <col min="6" max="33" width="3.42578125" style="121" customWidth="1"/>
    <col min="34" max="36" width="3.42578125" style="122" customWidth="1"/>
    <col min="37" max="38" width="4.42578125" style="2" customWidth="1"/>
    <col min="39" max="39" width="5.5703125" style="98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7"/>
      <c r="B1" s="52"/>
      <c r="C1" s="52"/>
      <c r="D1" s="56"/>
      <c r="E1" s="52"/>
      <c r="F1" s="56"/>
      <c r="G1" s="56"/>
      <c r="H1" s="56"/>
      <c r="I1" s="56"/>
      <c r="J1" s="56"/>
      <c r="K1" s="117"/>
      <c r="L1" s="117"/>
      <c r="M1" s="117"/>
      <c r="N1" s="117"/>
      <c r="O1" s="117"/>
      <c r="P1" s="117"/>
      <c r="Q1" s="117"/>
      <c r="R1" s="117"/>
      <c r="S1" s="54" t="str">
        <f>CONCATENATE("BẢNG CHẤM CÔNG THÁNG ",TEXT($E$4,"mm")," NĂM ",TEXT($E$4,"yyyy"))</f>
        <v>BẢNG CHẤM CÔNG THÁNG 03 NĂM 2015</v>
      </c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K1" s="53"/>
      <c r="AL1" s="53"/>
      <c r="AM1" s="242" t="s">
        <v>170</v>
      </c>
      <c r="AN1" s="243"/>
      <c r="AO1" s="243"/>
      <c r="AP1" s="243"/>
      <c r="AQ1" s="243"/>
      <c r="AR1" s="243"/>
      <c r="AS1" s="244"/>
      <c r="AT1" s="55"/>
    </row>
    <row r="2" spans="1:91" ht="20.25">
      <c r="A2" s="137"/>
      <c r="B2" s="56"/>
      <c r="C2" s="56"/>
      <c r="D2" s="56"/>
      <c r="E2" s="56"/>
      <c r="F2" s="56"/>
      <c r="G2" s="56"/>
      <c r="H2" s="56"/>
      <c r="I2" s="56"/>
      <c r="J2" s="56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53"/>
      <c r="AL2" s="53"/>
      <c r="AM2" s="94"/>
      <c r="AN2" s="57"/>
      <c r="AO2" s="57"/>
      <c r="AP2" s="57"/>
      <c r="AQ2" s="57"/>
      <c r="AR2" s="57"/>
      <c r="AS2" s="93"/>
      <c r="AT2" s="93"/>
    </row>
    <row r="3" spans="1:91" ht="21" customHeight="1">
      <c r="A3" s="137"/>
      <c r="B3" s="58"/>
      <c r="C3" s="58"/>
      <c r="D3" s="59"/>
      <c r="E3" s="59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53"/>
      <c r="AL3" s="53"/>
      <c r="AM3" s="94"/>
      <c r="AN3" s="55"/>
      <c r="AO3" s="55"/>
      <c r="AP3" s="55"/>
      <c r="AQ3" s="55"/>
      <c r="AR3" s="55"/>
      <c r="AS3" s="60"/>
      <c r="AT3" s="60"/>
    </row>
    <row r="4" spans="1:91" ht="14.25" customHeight="1">
      <c r="A4" s="61"/>
      <c r="B4" s="61"/>
      <c r="C4" s="154"/>
      <c r="D4" s="153"/>
      <c r="E4" s="62">
        <v>42064</v>
      </c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4"/>
      <c r="AI4" s="64"/>
      <c r="AJ4" s="64"/>
      <c r="AK4" s="61"/>
      <c r="AL4" s="61"/>
      <c r="AM4" s="95"/>
      <c r="AN4" s="61"/>
      <c r="AO4" s="61"/>
      <c r="AP4" s="61"/>
      <c r="AQ4" s="61"/>
      <c r="AR4" s="61"/>
      <c r="AS4" s="61"/>
      <c r="AT4" s="99"/>
    </row>
    <row r="5" spans="1:91" s="65" customFormat="1" ht="18.75" customHeight="1">
      <c r="A5" s="245" t="s">
        <v>28</v>
      </c>
      <c r="B5" s="245" t="s">
        <v>3</v>
      </c>
      <c r="C5" s="245" t="s">
        <v>1</v>
      </c>
      <c r="D5" s="247" t="s">
        <v>29</v>
      </c>
      <c r="E5" s="245" t="s">
        <v>30</v>
      </c>
      <c r="F5" s="116">
        <f>+E4</f>
        <v>42064</v>
      </c>
      <c r="G5" s="116">
        <f t="shared" ref="G5:AJ5" si="0">F5+1</f>
        <v>42065</v>
      </c>
      <c r="H5" s="116">
        <f t="shared" si="0"/>
        <v>42066</v>
      </c>
      <c r="I5" s="116">
        <f t="shared" si="0"/>
        <v>42067</v>
      </c>
      <c r="J5" s="116">
        <f t="shared" si="0"/>
        <v>42068</v>
      </c>
      <c r="K5" s="116">
        <f t="shared" si="0"/>
        <v>42069</v>
      </c>
      <c r="L5" s="116">
        <f t="shared" si="0"/>
        <v>42070</v>
      </c>
      <c r="M5" s="116">
        <f t="shared" si="0"/>
        <v>42071</v>
      </c>
      <c r="N5" s="116">
        <f t="shared" si="0"/>
        <v>42072</v>
      </c>
      <c r="O5" s="116">
        <f t="shared" si="0"/>
        <v>42073</v>
      </c>
      <c r="P5" s="116">
        <f t="shared" si="0"/>
        <v>42074</v>
      </c>
      <c r="Q5" s="116">
        <f t="shared" si="0"/>
        <v>42075</v>
      </c>
      <c r="R5" s="116">
        <f t="shared" si="0"/>
        <v>42076</v>
      </c>
      <c r="S5" s="116">
        <f t="shared" si="0"/>
        <v>42077</v>
      </c>
      <c r="T5" s="116">
        <f t="shared" si="0"/>
        <v>42078</v>
      </c>
      <c r="U5" s="116">
        <f t="shared" si="0"/>
        <v>42079</v>
      </c>
      <c r="V5" s="116">
        <f t="shared" si="0"/>
        <v>42080</v>
      </c>
      <c r="W5" s="116">
        <f t="shared" si="0"/>
        <v>42081</v>
      </c>
      <c r="X5" s="116">
        <f t="shared" si="0"/>
        <v>42082</v>
      </c>
      <c r="Y5" s="116">
        <f t="shared" si="0"/>
        <v>42083</v>
      </c>
      <c r="Z5" s="116">
        <f t="shared" si="0"/>
        <v>42084</v>
      </c>
      <c r="AA5" s="116">
        <f t="shared" si="0"/>
        <v>42085</v>
      </c>
      <c r="AB5" s="116">
        <f t="shared" si="0"/>
        <v>42086</v>
      </c>
      <c r="AC5" s="116">
        <f t="shared" si="0"/>
        <v>42087</v>
      </c>
      <c r="AD5" s="116">
        <f t="shared" si="0"/>
        <v>42088</v>
      </c>
      <c r="AE5" s="116">
        <f t="shared" si="0"/>
        <v>42089</v>
      </c>
      <c r="AF5" s="116">
        <f t="shared" si="0"/>
        <v>42090</v>
      </c>
      <c r="AG5" s="116">
        <f t="shared" si="0"/>
        <v>42091</v>
      </c>
      <c r="AH5" s="116">
        <f>AG5+1</f>
        <v>42092</v>
      </c>
      <c r="AI5" s="116">
        <f t="shared" si="0"/>
        <v>42093</v>
      </c>
      <c r="AJ5" s="116">
        <f t="shared" si="0"/>
        <v>42094</v>
      </c>
      <c r="AK5" s="248" t="s">
        <v>15</v>
      </c>
      <c r="AL5" s="249"/>
      <c r="AM5" s="250"/>
      <c r="AN5" s="251" t="s">
        <v>45</v>
      </c>
      <c r="AO5" s="251" t="s">
        <v>41</v>
      </c>
      <c r="AP5" s="251" t="s">
        <v>42</v>
      </c>
      <c r="AQ5" s="251" t="s">
        <v>43</v>
      </c>
      <c r="AR5" s="251" t="s">
        <v>44</v>
      </c>
      <c r="AS5" s="247" t="s">
        <v>0</v>
      </c>
      <c r="AT5" s="26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5" customFormat="1" ht="39.75" customHeight="1">
      <c r="A6" s="246"/>
      <c r="B6" s="246"/>
      <c r="C6" s="246"/>
      <c r="D6" s="246"/>
      <c r="E6" s="246"/>
      <c r="F6" s="172" t="str">
        <f>CHOOSE(WEEKDAY(F5),"C.Nhật","T.Hai","T.Ba","T.Tư","T.Năm","T.Sáu","T.Bảy")</f>
        <v>C.Nhật</v>
      </c>
      <c r="G6" s="172" t="str">
        <f t="shared" ref="G6:AJ6" si="1">CHOOSE(WEEKDAY(G5),"C.Nhật","T.Hai","T.Ba","T.Tư","T.Năm","T.Sáu","T.Bảy")</f>
        <v>T.Hai</v>
      </c>
      <c r="H6" s="172" t="str">
        <f t="shared" si="1"/>
        <v>T.Ba</v>
      </c>
      <c r="I6" s="172" t="str">
        <f t="shared" si="1"/>
        <v>T.Tư</v>
      </c>
      <c r="J6" s="172" t="str">
        <f t="shared" si="1"/>
        <v>T.Năm</v>
      </c>
      <c r="K6" s="172" t="str">
        <f t="shared" si="1"/>
        <v>T.Sáu</v>
      </c>
      <c r="L6" s="172" t="str">
        <f t="shared" si="1"/>
        <v>T.Bảy</v>
      </c>
      <c r="M6" s="172" t="str">
        <f t="shared" si="1"/>
        <v>C.Nhật</v>
      </c>
      <c r="N6" s="172" t="str">
        <f t="shared" si="1"/>
        <v>T.Hai</v>
      </c>
      <c r="O6" s="172" t="str">
        <f t="shared" si="1"/>
        <v>T.Ba</v>
      </c>
      <c r="P6" s="172" t="str">
        <f t="shared" si="1"/>
        <v>T.Tư</v>
      </c>
      <c r="Q6" s="172" t="str">
        <f t="shared" si="1"/>
        <v>T.Năm</v>
      </c>
      <c r="R6" s="172" t="str">
        <f t="shared" si="1"/>
        <v>T.Sáu</v>
      </c>
      <c r="S6" s="172" t="str">
        <f t="shared" si="1"/>
        <v>T.Bảy</v>
      </c>
      <c r="T6" s="172" t="str">
        <f t="shared" si="1"/>
        <v>C.Nhật</v>
      </c>
      <c r="U6" s="172" t="str">
        <f t="shared" si="1"/>
        <v>T.Hai</v>
      </c>
      <c r="V6" s="172" t="str">
        <f t="shared" si="1"/>
        <v>T.Ba</v>
      </c>
      <c r="W6" s="172" t="str">
        <f t="shared" si="1"/>
        <v>T.Tư</v>
      </c>
      <c r="X6" s="172" t="str">
        <f t="shared" si="1"/>
        <v>T.Năm</v>
      </c>
      <c r="Y6" s="172" t="str">
        <f t="shared" si="1"/>
        <v>T.Sáu</v>
      </c>
      <c r="Z6" s="172" t="str">
        <f t="shared" si="1"/>
        <v>T.Bảy</v>
      </c>
      <c r="AA6" s="172" t="str">
        <f t="shared" si="1"/>
        <v>C.Nhật</v>
      </c>
      <c r="AB6" s="172" t="str">
        <f t="shared" si="1"/>
        <v>T.Hai</v>
      </c>
      <c r="AC6" s="172" t="str">
        <f t="shared" si="1"/>
        <v>T.Ba</v>
      </c>
      <c r="AD6" s="172" t="str">
        <f t="shared" si="1"/>
        <v>T.Tư</v>
      </c>
      <c r="AE6" s="172" t="str">
        <f t="shared" si="1"/>
        <v>T.Năm</v>
      </c>
      <c r="AF6" s="172" t="str">
        <f t="shared" si="1"/>
        <v>T.Sáu</v>
      </c>
      <c r="AG6" s="172" t="str">
        <f t="shared" si="1"/>
        <v>T.Bảy</v>
      </c>
      <c r="AH6" s="172" t="str">
        <f t="shared" si="1"/>
        <v>C.Nhật</v>
      </c>
      <c r="AI6" s="172" t="str">
        <f t="shared" si="1"/>
        <v>T.Hai</v>
      </c>
      <c r="AJ6" s="172" t="str">
        <f t="shared" si="1"/>
        <v>T.Ba</v>
      </c>
      <c r="AK6" s="173" t="s">
        <v>16</v>
      </c>
      <c r="AL6" s="173" t="s">
        <v>31</v>
      </c>
      <c r="AM6" s="174" t="s">
        <v>17</v>
      </c>
      <c r="AN6" s="252"/>
      <c r="AO6" s="252"/>
      <c r="AP6" s="252"/>
      <c r="AQ6" s="252"/>
      <c r="AR6" s="252"/>
      <c r="AS6" s="246"/>
      <c r="AT6" s="26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5" customFormat="1" ht="12.75" customHeight="1">
      <c r="A7" s="175">
        <v>1</v>
      </c>
      <c r="B7" s="175">
        <v>1</v>
      </c>
      <c r="C7" s="175">
        <v>2</v>
      </c>
      <c r="D7" s="175">
        <v>3</v>
      </c>
      <c r="E7" s="175">
        <v>4</v>
      </c>
      <c r="F7" s="175">
        <v>5</v>
      </c>
      <c r="G7" s="175">
        <v>6</v>
      </c>
      <c r="H7" s="175">
        <v>7</v>
      </c>
      <c r="I7" s="175">
        <v>8</v>
      </c>
      <c r="J7" s="175">
        <v>9</v>
      </c>
      <c r="K7" s="175">
        <v>10</v>
      </c>
      <c r="L7" s="175">
        <v>11</v>
      </c>
      <c r="M7" s="175">
        <v>12</v>
      </c>
      <c r="N7" s="175">
        <v>13</v>
      </c>
      <c r="O7" s="175">
        <v>14</v>
      </c>
      <c r="P7" s="175">
        <v>15</v>
      </c>
      <c r="Q7" s="175">
        <v>16</v>
      </c>
      <c r="R7" s="175">
        <v>17</v>
      </c>
      <c r="S7" s="175">
        <v>18</v>
      </c>
      <c r="T7" s="175">
        <v>19</v>
      </c>
      <c r="U7" s="175">
        <v>20</v>
      </c>
      <c r="V7" s="175">
        <v>21</v>
      </c>
      <c r="W7" s="175">
        <v>22</v>
      </c>
      <c r="X7" s="175">
        <v>23</v>
      </c>
      <c r="Y7" s="175">
        <v>24</v>
      </c>
      <c r="Z7" s="175">
        <v>25</v>
      </c>
      <c r="AA7" s="175">
        <v>26</v>
      </c>
      <c r="AB7" s="175">
        <v>27</v>
      </c>
      <c r="AC7" s="175">
        <v>28</v>
      </c>
      <c r="AD7" s="175">
        <v>29</v>
      </c>
      <c r="AE7" s="175">
        <v>30</v>
      </c>
      <c r="AF7" s="175">
        <v>31</v>
      </c>
      <c r="AG7" s="175">
        <v>32</v>
      </c>
      <c r="AH7" s="175">
        <v>33</v>
      </c>
      <c r="AI7" s="175">
        <v>34</v>
      </c>
      <c r="AJ7" s="175">
        <v>35</v>
      </c>
      <c r="AK7" s="175">
        <v>36</v>
      </c>
      <c r="AL7" s="175">
        <v>37</v>
      </c>
      <c r="AM7" s="175">
        <v>38</v>
      </c>
      <c r="AN7" s="175">
        <v>39</v>
      </c>
      <c r="AO7" s="175">
        <v>40</v>
      </c>
      <c r="AP7" s="175">
        <v>41</v>
      </c>
      <c r="AQ7" s="175">
        <v>42</v>
      </c>
      <c r="AR7" s="175">
        <v>43</v>
      </c>
      <c r="AS7" s="175">
        <v>44</v>
      </c>
      <c r="AT7" s="21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8" customFormat="1" ht="21" customHeight="1">
      <c r="A8" s="176" t="s">
        <v>154</v>
      </c>
      <c r="B8" s="179" t="s">
        <v>169</v>
      </c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0"/>
      <c r="W8" s="180"/>
      <c r="X8" s="180"/>
      <c r="Y8" s="180"/>
      <c r="Z8" s="180"/>
      <c r="AA8" s="180"/>
      <c r="AB8" s="180"/>
      <c r="AC8" s="180"/>
      <c r="AD8" s="180"/>
      <c r="AE8" s="180"/>
      <c r="AF8" s="180"/>
      <c r="AG8" s="180"/>
      <c r="AH8" s="180"/>
      <c r="AI8" s="180"/>
      <c r="AJ8" s="180"/>
      <c r="AK8" s="180"/>
      <c r="AL8" s="180"/>
      <c r="AM8" s="180"/>
      <c r="AN8" s="180"/>
      <c r="AO8" s="180"/>
      <c r="AP8" s="180"/>
      <c r="AQ8" s="180"/>
      <c r="AR8" s="180"/>
      <c r="AS8" s="181"/>
      <c r="AT8" s="177"/>
    </row>
    <row r="9" spans="1:91" s="65" customFormat="1" ht="18" customHeight="1">
      <c r="A9" s="253">
        <v>1</v>
      </c>
      <c r="B9" s="253" t="s">
        <v>159</v>
      </c>
      <c r="C9" s="255" t="str">
        <f>VLOOKUP(B9,DS,2,0)</f>
        <v>Nguyễn Thị Thu Sương</v>
      </c>
      <c r="D9" s="257" t="str">
        <f>VLOOKUP(B9,DS,3,0)</f>
        <v>Kinh Doanh</v>
      </c>
      <c r="E9" s="66" t="s">
        <v>32</v>
      </c>
      <c r="F9" s="141"/>
      <c r="G9" s="141">
        <v>8</v>
      </c>
      <c r="H9" s="141">
        <v>8</v>
      </c>
      <c r="I9" s="141">
        <v>8</v>
      </c>
      <c r="J9" s="141">
        <v>8</v>
      </c>
      <c r="K9" s="141">
        <v>8</v>
      </c>
      <c r="L9" s="141">
        <v>8</v>
      </c>
      <c r="M9" s="141"/>
      <c r="N9" s="141">
        <v>8</v>
      </c>
      <c r="O9" s="141">
        <v>8</v>
      </c>
      <c r="P9" s="141">
        <v>8</v>
      </c>
      <c r="Q9" s="141">
        <v>8</v>
      </c>
      <c r="R9" s="141">
        <v>8</v>
      </c>
      <c r="S9" s="141">
        <v>8</v>
      </c>
      <c r="T9" s="141"/>
      <c r="U9" s="141">
        <v>8</v>
      </c>
      <c r="V9" s="141">
        <v>8</v>
      </c>
      <c r="W9" s="141">
        <v>8</v>
      </c>
      <c r="X9" s="141">
        <v>8</v>
      </c>
      <c r="Y9" s="141">
        <v>8</v>
      </c>
      <c r="Z9" s="141">
        <v>8</v>
      </c>
      <c r="AA9" s="141"/>
      <c r="AB9" s="141">
        <v>8</v>
      </c>
      <c r="AC9" s="141">
        <v>8</v>
      </c>
      <c r="AD9" s="141">
        <v>8</v>
      </c>
      <c r="AE9" s="141">
        <v>8</v>
      </c>
      <c r="AF9" s="141">
        <v>8</v>
      </c>
      <c r="AG9" s="141">
        <v>8</v>
      </c>
      <c r="AH9" s="141"/>
      <c r="AI9" s="141">
        <v>8</v>
      </c>
      <c r="AJ9" s="141">
        <v>8</v>
      </c>
      <c r="AK9" s="259">
        <f>((SUM(F9:AJ9))/8)-(SUMIF($F$6:$AJ$6,"C.Nhật",F9:AJ9)/8)</f>
        <v>26</v>
      </c>
      <c r="AL9" s="259">
        <f>SUM(F10:AJ10)/8*1.5</f>
        <v>0</v>
      </c>
      <c r="AM9" s="262">
        <f>SUMIF($F$6:$AJ$6,"C.Nhật",$F9:$AJ10)/8*2</f>
        <v>0</v>
      </c>
      <c r="AN9" s="264">
        <f>SUM(AK9:AM10)</f>
        <v>26</v>
      </c>
      <c r="AO9" s="266">
        <v>0</v>
      </c>
      <c r="AP9" s="264"/>
      <c r="AQ9" s="264"/>
      <c r="AR9" s="264"/>
      <c r="AS9" s="268"/>
      <c r="AT9" s="21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5" customFormat="1" ht="18" customHeight="1">
      <c r="A10" s="254"/>
      <c r="B10" s="254"/>
      <c r="C10" s="256"/>
      <c r="D10" s="258"/>
      <c r="E10" s="67" t="s">
        <v>31</v>
      </c>
      <c r="F10" s="142"/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260"/>
      <c r="AL10" s="260"/>
      <c r="AM10" s="263"/>
      <c r="AN10" s="265"/>
      <c r="AO10" s="267"/>
      <c r="AP10" s="265"/>
      <c r="AQ10" s="265"/>
      <c r="AR10" s="265"/>
      <c r="AS10" s="269"/>
      <c r="AT10" s="21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5" customFormat="1" ht="18" customHeight="1">
      <c r="A11" s="253">
        <v>2</v>
      </c>
      <c r="B11" s="253" t="s">
        <v>160</v>
      </c>
      <c r="C11" s="255" t="str">
        <f>VLOOKUP(B11,DS,2,0)</f>
        <v>Trần Anh Nhựt</v>
      </c>
      <c r="D11" s="257" t="str">
        <f>VLOOKUP(B11,DS,3,0)</f>
        <v>Thiết Kế</v>
      </c>
      <c r="E11" s="66" t="s">
        <v>32</v>
      </c>
      <c r="F11" s="141"/>
      <c r="G11" s="141">
        <v>8</v>
      </c>
      <c r="H11" s="141">
        <v>8</v>
      </c>
      <c r="I11" s="141">
        <v>8</v>
      </c>
      <c r="J11" s="141">
        <v>8</v>
      </c>
      <c r="K11" s="141">
        <v>8</v>
      </c>
      <c r="L11" s="141">
        <v>8</v>
      </c>
      <c r="M11" s="141"/>
      <c r="N11" s="141">
        <v>8</v>
      </c>
      <c r="O11" s="141">
        <v>8</v>
      </c>
      <c r="P11" s="141">
        <v>8</v>
      </c>
      <c r="Q11" s="141">
        <v>8</v>
      </c>
      <c r="R11" s="141">
        <v>8</v>
      </c>
      <c r="S11" s="141">
        <v>8</v>
      </c>
      <c r="T11" s="141"/>
      <c r="U11" s="141">
        <v>8</v>
      </c>
      <c r="V11" s="141">
        <v>8</v>
      </c>
      <c r="W11" s="141">
        <v>8</v>
      </c>
      <c r="X11" s="141">
        <v>8</v>
      </c>
      <c r="Y11" s="141">
        <v>8</v>
      </c>
      <c r="Z11" s="141">
        <v>8</v>
      </c>
      <c r="AA11" s="141"/>
      <c r="AB11" s="141">
        <v>8</v>
      </c>
      <c r="AC11" s="141">
        <v>8</v>
      </c>
      <c r="AD11" s="141">
        <v>8</v>
      </c>
      <c r="AE11" s="141">
        <v>8</v>
      </c>
      <c r="AF11" s="141">
        <v>8</v>
      </c>
      <c r="AG11" s="141">
        <v>8</v>
      </c>
      <c r="AH11" s="141"/>
      <c r="AI11" s="141">
        <v>8</v>
      </c>
      <c r="AJ11" s="141">
        <v>8</v>
      </c>
      <c r="AK11" s="259">
        <f t="shared" ref="AK11" si="2">((SUM(F11:AJ11))/8)-(SUMIF($F$6:$AJ$6,"C.Nhật",F11:AJ11)/8)</f>
        <v>26</v>
      </c>
      <c r="AL11" s="259">
        <f t="shared" ref="AL11" si="3">SUM(F12:AJ12)/8*1.5</f>
        <v>0</v>
      </c>
      <c r="AM11" s="262">
        <f t="shared" ref="AM11:AM13" si="4">SUMIF($F$6:$AJ$6,"C.Nhật",$F11:$AJ12)/8*2</f>
        <v>0</v>
      </c>
      <c r="AN11" s="264">
        <f t="shared" ref="AN11" si="5">SUM(AK11:AM12)</f>
        <v>26</v>
      </c>
      <c r="AO11" s="266">
        <v>0</v>
      </c>
      <c r="AP11" s="264"/>
      <c r="AQ11" s="264"/>
      <c r="AR11" s="264"/>
      <c r="AS11" s="268"/>
      <c r="AT11" s="22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5" customFormat="1" ht="18" customHeight="1">
      <c r="A12" s="254"/>
      <c r="B12" s="254"/>
      <c r="C12" s="256"/>
      <c r="D12" s="258"/>
      <c r="E12" s="67" t="s">
        <v>31</v>
      </c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260"/>
      <c r="AL12" s="260"/>
      <c r="AM12" s="263"/>
      <c r="AN12" s="265"/>
      <c r="AO12" s="267"/>
      <c r="AP12" s="265"/>
      <c r="AQ12" s="265"/>
      <c r="AR12" s="265"/>
      <c r="AS12" s="269"/>
      <c r="AT12" s="22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5" customFormat="1" ht="18" customHeight="1">
      <c r="A13" s="253">
        <v>3</v>
      </c>
      <c r="B13" s="253" t="s">
        <v>168</v>
      </c>
      <c r="C13" s="255" t="str">
        <f>VLOOKUP(B13,DS,2,0)</f>
        <v>Huỳnh Minh Toàn</v>
      </c>
      <c r="D13" s="257" t="str">
        <f>VLOOKUP(B13,DS,3,0)</f>
        <v>Thủ Kho</v>
      </c>
      <c r="E13" s="66" t="s">
        <v>32</v>
      </c>
      <c r="F13" s="141"/>
      <c r="G13" s="141">
        <v>8</v>
      </c>
      <c r="H13" s="141">
        <v>8</v>
      </c>
      <c r="I13" s="141">
        <v>8</v>
      </c>
      <c r="J13" s="141">
        <v>8</v>
      </c>
      <c r="K13" s="141">
        <v>8</v>
      </c>
      <c r="L13" s="141">
        <v>8</v>
      </c>
      <c r="M13" s="141"/>
      <c r="N13" s="141">
        <v>8</v>
      </c>
      <c r="O13" s="141">
        <v>8</v>
      </c>
      <c r="P13" s="141">
        <v>8</v>
      </c>
      <c r="Q13" s="141">
        <v>8</v>
      </c>
      <c r="R13" s="141">
        <v>8</v>
      </c>
      <c r="S13" s="141">
        <v>8</v>
      </c>
      <c r="T13" s="141"/>
      <c r="U13" s="141">
        <v>8</v>
      </c>
      <c r="V13" s="141">
        <v>8</v>
      </c>
      <c r="W13" s="141">
        <v>8</v>
      </c>
      <c r="X13" s="141">
        <v>8</v>
      </c>
      <c r="Y13" s="141">
        <v>8</v>
      </c>
      <c r="Z13" s="141">
        <v>8</v>
      </c>
      <c r="AA13" s="141"/>
      <c r="AB13" s="141">
        <v>8</v>
      </c>
      <c r="AC13" s="141">
        <v>8</v>
      </c>
      <c r="AD13" s="141">
        <v>8</v>
      </c>
      <c r="AE13" s="141">
        <v>8</v>
      </c>
      <c r="AF13" s="141">
        <v>8</v>
      </c>
      <c r="AG13" s="141">
        <v>8</v>
      </c>
      <c r="AH13" s="141"/>
      <c r="AI13" s="141">
        <v>8</v>
      </c>
      <c r="AJ13" s="141">
        <v>8</v>
      </c>
      <c r="AK13" s="259">
        <f t="shared" ref="AK13" si="6">((SUM(F13:AJ13))/8)-(SUMIF($F$6:$AJ$6,"C.Nhật",F13:AJ13)/8)</f>
        <v>26</v>
      </c>
      <c r="AL13" s="259">
        <f t="shared" ref="AL13" si="7">SUM(F14:AJ14)/8*1.5</f>
        <v>0</v>
      </c>
      <c r="AM13" s="262">
        <f t="shared" si="4"/>
        <v>0</v>
      </c>
      <c r="AN13" s="264">
        <f t="shared" ref="AN13" si="8">SUM(AK13:AM14)</f>
        <v>26</v>
      </c>
      <c r="AO13" s="266">
        <v>0</v>
      </c>
      <c r="AP13" s="264"/>
      <c r="AQ13" s="264"/>
      <c r="AR13" s="264"/>
      <c r="AS13" s="268"/>
      <c r="AT13" s="219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5" customFormat="1" ht="18" customHeight="1">
      <c r="A14" s="254"/>
      <c r="B14" s="254"/>
      <c r="C14" s="256"/>
      <c r="D14" s="258"/>
      <c r="E14" s="67" t="s">
        <v>31</v>
      </c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260"/>
      <c r="AL14" s="260"/>
      <c r="AM14" s="263"/>
      <c r="AN14" s="265"/>
      <c r="AO14" s="267"/>
      <c r="AP14" s="265"/>
      <c r="AQ14" s="265"/>
      <c r="AR14" s="265"/>
      <c r="AS14" s="269"/>
      <c r="AT14" s="219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78" customFormat="1" ht="21" customHeight="1">
      <c r="A15" s="176" t="s">
        <v>155</v>
      </c>
      <c r="B15" s="179" t="s">
        <v>158</v>
      </c>
      <c r="C15" s="180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0"/>
      <c r="U15" s="180"/>
      <c r="V15" s="180"/>
      <c r="W15" s="180"/>
      <c r="X15" s="180"/>
      <c r="Y15" s="180"/>
      <c r="Z15" s="180"/>
      <c r="AA15" s="180"/>
      <c r="AB15" s="180"/>
      <c r="AC15" s="180"/>
      <c r="AD15" s="180"/>
      <c r="AE15" s="180"/>
      <c r="AF15" s="180"/>
      <c r="AG15" s="180"/>
      <c r="AH15" s="180"/>
      <c r="AI15" s="180"/>
      <c r="AJ15" s="180"/>
      <c r="AK15" s="180"/>
      <c r="AL15" s="180"/>
      <c r="AM15" s="180"/>
      <c r="AN15" s="180"/>
      <c r="AO15" s="180"/>
      <c r="AP15" s="180"/>
      <c r="AQ15" s="180"/>
      <c r="AR15" s="180"/>
      <c r="AS15" s="181"/>
      <c r="AT15" s="177"/>
    </row>
    <row r="16" spans="1:91" s="65" customFormat="1" ht="18" customHeight="1">
      <c r="A16" s="253">
        <v>1</v>
      </c>
      <c r="B16" s="253" t="s">
        <v>161</v>
      </c>
      <c r="C16" s="255" t="str">
        <f>VLOOKUP(B16,DS,2,0)</f>
        <v>Nguyễn Trường Giang</v>
      </c>
      <c r="D16" s="257" t="str">
        <f>VLOOKUP(B16,DS,3,0)</f>
        <v>Thợ in</v>
      </c>
      <c r="E16" s="66" t="s">
        <v>32</v>
      </c>
      <c r="F16" s="141"/>
      <c r="G16" s="141">
        <v>8</v>
      </c>
      <c r="H16" s="141">
        <v>8</v>
      </c>
      <c r="I16" s="141">
        <v>8</v>
      </c>
      <c r="J16" s="141">
        <v>8</v>
      </c>
      <c r="K16" s="141">
        <v>8</v>
      </c>
      <c r="L16" s="141">
        <v>8</v>
      </c>
      <c r="M16" s="141"/>
      <c r="N16" s="141">
        <v>8</v>
      </c>
      <c r="O16" s="141">
        <v>8</v>
      </c>
      <c r="P16" s="141">
        <v>8</v>
      </c>
      <c r="Q16" s="141">
        <v>8</v>
      </c>
      <c r="R16" s="141">
        <v>8</v>
      </c>
      <c r="S16" s="141">
        <v>8</v>
      </c>
      <c r="T16" s="141"/>
      <c r="U16" s="141">
        <v>8</v>
      </c>
      <c r="V16" s="141">
        <v>8</v>
      </c>
      <c r="W16" s="141">
        <v>8</v>
      </c>
      <c r="X16" s="141">
        <v>8</v>
      </c>
      <c r="Y16" s="141">
        <v>8</v>
      </c>
      <c r="Z16" s="141">
        <v>8</v>
      </c>
      <c r="AA16" s="141"/>
      <c r="AB16" s="141">
        <v>8</v>
      </c>
      <c r="AC16" s="141">
        <v>8</v>
      </c>
      <c r="AD16" s="141">
        <v>8</v>
      </c>
      <c r="AE16" s="141">
        <v>8</v>
      </c>
      <c r="AF16" s="141">
        <v>8</v>
      </c>
      <c r="AG16" s="141">
        <v>8</v>
      </c>
      <c r="AH16" s="141"/>
      <c r="AI16" s="141">
        <v>8</v>
      </c>
      <c r="AJ16" s="141">
        <v>8</v>
      </c>
      <c r="AK16" s="259">
        <f t="shared" ref="AK16" si="9">((SUM(F16:AJ16))/8)-(SUMIF($F$6:$AJ$6,"C.Nhật",F16:AJ16)/8)</f>
        <v>26</v>
      </c>
      <c r="AL16" s="259">
        <f t="shared" ref="AL16" si="10">SUM(F17:AJ17)/8*1.5</f>
        <v>0</v>
      </c>
      <c r="AM16" s="262">
        <f>SUMIF($F$6:$AJ$6,"C.Nhật",$F16:$AJ17)/8*2</f>
        <v>0</v>
      </c>
      <c r="AN16" s="264">
        <f>SUM(AK16:AM17)</f>
        <v>26</v>
      </c>
      <c r="AO16" s="266">
        <v>0</v>
      </c>
      <c r="AP16" s="264"/>
      <c r="AQ16" s="264"/>
      <c r="AR16" s="264"/>
      <c r="AS16" s="268"/>
      <c r="AT16" s="21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5" customFormat="1" ht="18" customHeight="1">
      <c r="A17" s="254"/>
      <c r="B17" s="254"/>
      <c r="C17" s="256"/>
      <c r="D17" s="258"/>
      <c r="E17" s="67" t="s">
        <v>31</v>
      </c>
      <c r="F17" s="142"/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  <c r="AA17" s="142"/>
      <c r="AB17" s="142"/>
      <c r="AC17" s="142"/>
      <c r="AD17" s="142"/>
      <c r="AE17" s="142"/>
      <c r="AF17" s="142"/>
      <c r="AG17" s="142"/>
      <c r="AH17" s="142"/>
      <c r="AI17" s="142"/>
      <c r="AJ17" s="142"/>
      <c r="AK17" s="260"/>
      <c r="AL17" s="260"/>
      <c r="AM17" s="263"/>
      <c r="AN17" s="265"/>
      <c r="AO17" s="267"/>
      <c r="AP17" s="265"/>
      <c r="AQ17" s="265"/>
      <c r="AR17" s="265"/>
      <c r="AS17" s="269"/>
      <c r="AT17" s="21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5" customFormat="1" ht="18" customHeight="1">
      <c r="A18" s="253">
        <v>2</v>
      </c>
      <c r="B18" s="253" t="s">
        <v>162</v>
      </c>
      <c r="C18" s="255" t="str">
        <f>VLOOKUP(B18,DS,2,0)</f>
        <v>Võ Văn Kiệt</v>
      </c>
      <c r="D18" s="257" t="str">
        <f>VLOOKUP(B18,DS,3,0)</f>
        <v>Công Đoạn 1</v>
      </c>
      <c r="E18" s="66" t="s">
        <v>32</v>
      </c>
      <c r="F18" s="141"/>
      <c r="G18" s="141">
        <v>8</v>
      </c>
      <c r="H18" s="141">
        <v>8</v>
      </c>
      <c r="I18" s="141">
        <v>8</v>
      </c>
      <c r="J18" s="141">
        <v>8</v>
      </c>
      <c r="K18" s="141">
        <v>8</v>
      </c>
      <c r="L18" s="141">
        <v>8</v>
      </c>
      <c r="M18" s="141"/>
      <c r="N18" s="141">
        <v>8</v>
      </c>
      <c r="O18" s="141">
        <v>8</v>
      </c>
      <c r="P18" s="141">
        <v>8</v>
      </c>
      <c r="Q18" s="141">
        <v>8</v>
      </c>
      <c r="R18" s="141">
        <v>8</v>
      </c>
      <c r="S18" s="141">
        <v>8</v>
      </c>
      <c r="T18" s="141"/>
      <c r="U18" s="141">
        <v>8</v>
      </c>
      <c r="V18" s="141">
        <v>8</v>
      </c>
      <c r="W18" s="141">
        <v>8</v>
      </c>
      <c r="X18" s="141">
        <v>8</v>
      </c>
      <c r="Y18" s="141">
        <v>8</v>
      </c>
      <c r="Z18" s="141">
        <v>8</v>
      </c>
      <c r="AA18" s="141"/>
      <c r="AB18" s="141">
        <v>8</v>
      </c>
      <c r="AC18" s="141">
        <v>8</v>
      </c>
      <c r="AD18" s="141">
        <v>8</v>
      </c>
      <c r="AE18" s="141">
        <v>8</v>
      </c>
      <c r="AF18" s="141">
        <v>8</v>
      </c>
      <c r="AG18" s="141">
        <v>8</v>
      </c>
      <c r="AH18" s="141"/>
      <c r="AI18" s="141">
        <v>8</v>
      </c>
      <c r="AJ18" s="141">
        <v>8</v>
      </c>
      <c r="AK18" s="259">
        <f t="shared" ref="AK18" si="11">((SUM(F18:AJ18))/8)-(SUMIF($F$6:$AJ$6,"C.Nhật",F18:AJ18)/8)</f>
        <v>26</v>
      </c>
      <c r="AL18" s="259">
        <f t="shared" ref="AL18" si="12">SUM(F19:AJ19)/8*1.5</f>
        <v>0</v>
      </c>
      <c r="AM18" s="262">
        <f>SUMIF($F$6:$AJ$6,"C.Nhật",$F18:$AJ19)/8*2</f>
        <v>0</v>
      </c>
      <c r="AN18" s="264">
        <f t="shared" ref="AN18" si="13">SUM(AK18:AM19)</f>
        <v>26</v>
      </c>
      <c r="AO18" s="266">
        <v>0</v>
      </c>
      <c r="AP18" s="264"/>
      <c r="AQ18" s="264"/>
      <c r="AR18" s="264"/>
      <c r="AS18" s="268"/>
      <c r="AT18" s="22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5" customFormat="1" ht="18" customHeight="1">
      <c r="A19" s="254"/>
      <c r="B19" s="254"/>
      <c r="C19" s="256"/>
      <c r="D19" s="258"/>
      <c r="E19" s="67" t="s">
        <v>31</v>
      </c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  <c r="Y19" s="142"/>
      <c r="Z19" s="142"/>
      <c r="AA19" s="142"/>
      <c r="AB19" s="142"/>
      <c r="AC19" s="142"/>
      <c r="AD19" s="142"/>
      <c r="AE19" s="142"/>
      <c r="AF19" s="142"/>
      <c r="AG19" s="142"/>
      <c r="AH19" s="142"/>
      <c r="AI19" s="142"/>
      <c r="AJ19" s="142"/>
      <c r="AK19" s="260"/>
      <c r="AL19" s="260"/>
      <c r="AM19" s="263"/>
      <c r="AN19" s="265"/>
      <c r="AO19" s="267"/>
      <c r="AP19" s="265"/>
      <c r="AQ19" s="265"/>
      <c r="AR19" s="265"/>
      <c r="AS19" s="269"/>
      <c r="AT19" s="22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5" customFormat="1" ht="18" customHeight="1">
      <c r="A20" s="253">
        <v>3</v>
      </c>
      <c r="B20" s="253" t="s">
        <v>163</v>
      </c>
      <c r="C20" s="255" t="str">
        <f>VLOOKUP(B20,DS,2,0)</f>
        <v>Diệp Văn Lân</v>
      </c>
      <c r="D20" s="257" t="str">
        <f>VLOOKUP(B20,DS,3,0)</f>
        <v>Công Đoạn 1</v>
      </c>
      <c r="E20" s="66" t="s">
        <v>32</v>
      </c>
      <c r="F20" s="141"/>
      <c r="G20" s="141">
        <v>8</v>
      </c>
      <c r="H20" s="141">
        <v>8</v>
      </c>
      <c r="I20" s="141">
        <v>8</v>
      </c>
      <c r="J20" s="141">
        <v>8</v>
      </c>
      <c r="K20" s="141">
        <v>8</v>
      </c>
      <c r="L20" s="141">
        <v>8</v>
      </c>
      <c r="M20" s="141"/>
      <c r="N20" s="141">
        <v>8</v>
      </c>
      <c r="O20" s="141">
        <v>8</v>
      </c>
      <c r="P20" s="141">
        <v>8</v>
      </c>
      <c r="Q20" s="141">
        <v>8</v>
      </c>
      <c r="R20" s="141">
        <v>8</v>
      </c>
      <c r="S20" s="141">
        <v>8</v>
      </c>
      <c r="T20" s="141"/>
      <c r="U20" s="141">
        <v>8</v>
      </c>
      <c r="V20" s="141">
        <v>8</v>
      </c>
      <c r="W20" s="141">
        <v>8</v>
      </c>
      <c r="X20" s="141">
        <v>8</v>
      </c>
      <c r="Y20" s="141">
        <v>8</v>
      </c>
      <c r="Z20" s="141">
        <v>8</v>
      </c>
      <c r="AA20" s="141"/>
      <c r="AB20" s="141">
        <v>8</v>
      </c>
      <c r="AC20" s="141">
        <v>8</v>
      </c>
      <c r="AD20" s="141">
        <v>8</v>
      </c>
      <c r="AE20" s="141">
        <v>8</v>
      </c>
      <c r="AF20" s="141">
        <v>8</v>
      </c>
      <c r="AG20" s="141">
        <v>8</v>
      </c>
      <c r="AH20" s="141"/>
      <c r="AI20" s="141">
        <v>8</v>
      </c>
      <c r="AJ20" s="141">
        <v>8</v>
      </c>
      <c r="AK20" s="259">
        <f t="shared" ref="AK20" si="14">((SUM(F20:AJ20))/8)-(SUMIF($F$6:$AJ$6,"C.Nhật",F20:AJ20)/8)</f>
        <v>26</v>
      </c>
      <c r="AL20" s="259">
        <f t="shared" ref="AL20" si="15">SUM(F21:AJ21)/8*1.5</f>
        <v>0</v>
      </c>
      <c r="AM20" s="262">
        <f>SUMIF($F$6:$AJ$6,"C.Nhật",$F20:$AJ21)/8*2</f>
        <v>0</v>
      </c>
      <c r="AN20" s="264">
        <f t="shared" ref="AN20" si="16">SUM(AK20:AM21)</f>
        <v>26</v>
      </c>
      <c r="AO20" s="266">
        <v>0</v>
      </c>
      <c r="AP20" s="264"/>
      <c r="AQ20" s="264"/>
      <c r="AR20" s="264"/>
      <c r="AS20" s="268"/>
      <c r="AT20" s="22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5" customFormat="1" ht="18" customHeight="1">
      <c r="A21" s="254"/>
      <c r="B21" s="254"/>
      <c r="C21" s="256"/>
      <c r="D21" s="258"/>
      <c r="E21" s="67" t="s">
        <v>31</v>
      </c>
      <c r="F21" s="142"/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142"/>
      <c r="AA21" s="142"/>
      <c r="AB21" s="142"/>
      <c r="AC21" s="142"/>
      <c r="AD21" s="142"/>
      <c r="AE21" s="142"/>
      <c r="AF21" s="142"/>
      <c r="AG21" s="142"/>
      <c r="AH21" s="142"/>
      <c r="AI21" s="142"/>
      <c r="AJ21" s="142"/>
      <c r="AK21" s="260"/>
      <c r="AL21" s="260"/>
      <c r="AM21" s="263"/>
      <c r="AN21" s="265"/>
      <c r="AO21" s="267"/>
      <c r="AP21" s="265"/>
      <c r="AQ21" s="265"/>
      <c r="AR21" s="265"/>
      <c r="AS21" s="269"/>
      <c r="AT21" s="22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5" customFormat="1" ht="18" customHeight="1">
      <c r="A22" s="253">
        <v>4</v>
      </c>
      <c r="B22" s="253" t="s">
        <v>176</v>
      </c>
      <c r="C22" s="255" t="str">
        <f>VLOOKUP(B22,DS,2,0)</f>
        <v>Dương Thế Kiệt</v>
      </c>
      <c r="D22" s="257" t="str">
        <f>VLOOKUP(B22,DS,3,0)</f>
        <v>Công Đoạn 1</v>
      </c>
      <c r="E22" s="66" t="s">
        <v>32</v>
      </c>
      <c r="F22" s="141"/>
      <c r="G22" s="141">
        <v>8</v>
      </c>
      <c r="H22" s="141">
        <v>8</v>
      </c>
      <c r="I22" s="141">
        <v>8</v>
      </c>
      <c r="J22" s="141">
        <v>8</v>
      </c>
      <c r="K22" s="141">
        <v>8</v>
      </c>
      <c r="L22" s="141">
        <v>8</v>
      </c>
      <c r="M22" s="141"/>
      <c r="N22" s="141">
        <v>8</v>
      </c>
      <c r="O22" s="141">
        <v>8</v>
      </c>
      <c r="P22" s="141">
        <v>8</v>
      </c>
      <c r="Q22" s="141">
        <v>8</v>
      </c>
      <c r="R22" s="141">
        <v>8</v>
      </c>
      <c r="S22" s="141">
        <v>8</v>
      </c>
      <c r="T22" s="141"/>
      <c r="U22" s="141">
        <v>8</v>
      </c>
      <c r="V22" s="141">
        <v>8</v>
      </c>
      <c r="W22" s="141">
        <v>8</v>
      </c>
      <c r="X22" s="141">
        <v>8</v>
      </c>
      <c r="Y22" s="141">
        <v>8</v>
      </c>
      <c r="Z22" s="141">
        <v>8</v>
      </c>
      <c r="AA22" s="141"/>
      <c r="AB22" s="141">
        <v>8</v>
      </c>
      <c r="AC22" s="141">
        <v>8</v>
      </c>
      <c r="AD22" s="141">
        <v>8</v>
      </c>
      <c r="AE22" s="141">
        <v>8</v>
      </c>
      <c r="AF22" s="141">
        <v>8</v>
      </c>
      <c r="AG22" s="141">
        <v>8</v>
      </c>
      <c r="AH22" s="141"/>
      <c r="AI22" s="141">
        <v>8</v>
      </c>
      <c r="AJ22" s="141">
        <v>8</v>
      </c>
      <c r="AK22" s="259">
        <f t="shared" ref="AK22" si="17">((SUM(F22:AJ22))/8)-(SUMIF($F$6:$AJ$6,"C.Nhật",F22:AJ22)/8)</f>
        <v>26</v>
      </c>
      <c r="AL22" s="259">
        <f t="shared" ref="AL22" si="18">SUM(F23:AJ23)/8*1.5</f>
        <v>0</v>
      </c>
      <c r="AM22" s="262">
        <f>SUMIF($F$6:$AJ$6,"C.Nhật",$F22:$AJ23)/8*2</f>
        <v>0</v>
      </c>
      <c r="AN22" s="264">
        <f t="shared" ref="AN22" si="19">SUM(AK22:AM23)</f>
        <v>26</v>
      </c>
      <c r="AO22" s="266">
        <v>0</v>
      </c>
      <c r="AP22" s="264"/>
      <c r="AQ22" s="264"/>
      <c r="AR22" s="264"/>
      <c r="AS22" s="268"/>
      <c r="AT22" s="22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5" customFormat="1" ht="18" customHeight="1">
      <c r="A23" s="254"/>
      <c r="B23" s="254"/>
      <c r="C23" s="256"/>
      <c r="D23" s="258"/>
      <c r="E23" s="67" t="s">
        <v>31</v>
      </c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  <c r="AA23" s="142"/>
      <c r="AB23" s="142"/>
      <c r="AC23" s="142"/>
      <c r="AD23" s="142"/>
      <c r="AE23" s="142"/>
      <c r="AF23" s="142"/>
      <c r="AG23" s="142"/>
      <c r="AH23" s="142"/>
      <c r="AI23" s="142"/>
      <c r="AJ23" s="142"/>
      <c r="AK23" s="260"/>
      <c r="AL23" s="260"/>
      <c r="AM23" s="263"/>
      <c r="AN23" s="265"/>
      <c r="AO23" s="267"/>
      <c r="AP23" s="265"/>
      <c r="AQ23" s="265"/>
      <c r="AR23" s="265"/>
      <c r="AS23" s="269"/>
      <c r="AT23" s="22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5" customFormat="1" ht="18" customHeight="1">
      <c r="A24" s="253">
        <v>5</v>
      </c>
      <c r="B24" s="253" t="s">
        <v>177</v>
      </c>
      <c r="C24" s="255" t="str">
        <f>VLOOKUP(B24,DS,2,0)</f>
        <v>Lê Văn Hữu</v>
      </c>
      <c r="D24" s="257" t="str">
        <f>VLOOKUP(B24,DS,3,0)</f>
        <v>Công Đoạn 2</v>
      </c>
      <c r="E24" s="66" t="s">
        <v>32</v>
      </c>
      <c r="F24" s="141"/>
      <c r="G24" s="141">
        <v>8</v>
      </c>
      <c r="H24" s="141">
        <v>8</v>
      </c>
      <c r="I24" s="141">
        <v>8</v>
      </c>
      <c r="J24" s="141">
        <v>8</v>
      </c>
      <c r="K24" s="141">
        <v>8</v>
      </c>
      <c r="L24" s="141">
        <v>8</v>
      </c>
      <c r="M24" s="141"/>
      <c r="N24" s="141">
        <v>8</v>
      </c>
      <c r="O24" s="141">
        <v>8</v>
      </c>
      <c r="P24" s="141">
        <v>8</v>
      </c>
      <c r="Q24" s="141">
        <v>8</v>
      </c>
      <c r="R24" s="141">
        <v>8</v>
      </c>
      <c r="S24" s="141">
        <v>8</v>
      </c>
      <c r="T24" s="141"/>
      <c r="U24" s="141">
        <v>8</v>
      </c>
      <c r="V24" s="141">
        <v>8</v>
      </c>
      <c r="W24" s="141">
        <v>8</v>
      </c>
      <c r="X24" s="141">
        <v>8</v>
      </c>
      <c r="Y24" s="141">
        <v>8</v>
      </c>
      <c r="Z24" s="141">
        <v>8</v>
      </c>
      <c r="AA24" s="141"/>
      <c r="AB24" s="141">
        <v>8</v>
      </c>
      <c r="AC24" s="141">
        <v>8</v>
      </c>
      <c r="AD24" s="141">
        <v>8</v>
      </c>
      <c r="AE24" s="141">
        <v>8</v>
      </c>
      <c r="AF24" s="141">
        <v>8</v>
      </c>
      <c r="AG24" s="141">
        <v>8</v>
      </c>
      <c r="AH24" s="141"/>
      <c r="AI24" s="141">
        <v>8</v>
      </c>
      <c r="AJ24" s="141">
        <v>8</v>
      </c>
      <c r="AK24" s="259">
        <f t="shared" ref="AK24" si="20">((SUM(F24:AJ24))/8)-(SUMIF($F$6:$AJ$6,"C.Nhật",F24:AJ24)/8)</f>
        <v>26</v>
      </c>
      <c r="AL24" s="259">
        <f t="shared" ref="AL24" si="21">SUM(F25:AJ25)/8*1.5</f>
        <v>0</v>
      </c>
      <c r="AM24" s="262">
        <f>SUMIF($F$6:$AJ$6,"C.Nhật",$F24:$AJ25)/8*2</f>
        <v>0</v>
      </c>
      <c r="AN24" s="264">
        <f t="shared" ref="AN24" si="22">SUM(AK24:AM25)</f>
        <v>26</v>
      </c>
      <c r="AO24" s="266">
        <v>0</v>
      </c>
      <c r="AP24" s="264"/>
      <c r="AQ24" s="264"/>
      <c r="AR24" s="264"/>
      <c r="AS24" s="268"/>
      <c r="AT24" s="22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5" customFormat="1" ht="18" customHeight="1">
      <c r="A25" s="254"/>
      <c r="B25" s="254"/>
      <c r="C25" s="256"/>
      <c r="D25" s="258"/>
      <c r="E25" s="67" t="s">
        <v>31</v>
      </c>
      <c r="F25" s="142"/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  <c r="AA25" s="142"/>
      <c r="AB25" s="142"/>
      <c r="AC25" s="142"/>
      <c r="AD25" s="142"/>
      <c r="AE25" s="142"/>
      <c r="AF25" s="142"/>
      <c r="AG25" s="142"/>
      <c r="AH25" s="142"/>
      <c r="AI25" s="142"/>
      <c r="AJ25" s="142"/>
      <c r="AK25" s="260"/>
      <c r="AL25" s="260"/>
      <c r="AM25" s="263"/>
      <c r="AN25" s="265"/>
      <c r="AO25" s="267"/>
      <c r="AP25" s="265"/>
      <c r="AQ25" s="265"/>
      <c r="AR25" s="265"/>
      <c r="AS25" s="269"/>
      <c r="AT25" s="22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5" customFormat="1" ht="18" customHeight="1">
      <c r="A26" s="253">
        <v>6</v>
      </c>
      <c r="B26" s="253" t="s">
        <v>178</v>
      </c>
      <c r="C26" s="255" t="str">
        <f>VLOOKUP(B26,DS,2,0)</f>
        <v>Bùi Trường Giang</v>
      </c>
      <c r="D26" s="257" t="str">
        <f>VLOOKUP(B26,DS,3,0)</f>
        <v>Công Đoạn 2</v>
      </c>
      <c r="E26" s="66" t="s">
        <v>32</v>
      </c>
      <c r="F26" s="141"/>
      <c r="G26" s="141">
        <v>8</v>
      </c>
      <c r="H26" s="141">
        <v>8</v>
      </c>
      <c r="I26" s="141">
        <v>8</v>
      </c>
      <c r="J26" s="141">
        <v>8</v>
      </c>
      <c r="K26" s="141">
        <v>8</v>
      </c>
      <c r="L26" s="141">
        <v>8</v>
      </c>
      <c r="M26" s="141"/>
      <c r="N26" s="141">
        <v>8</v>
      </c>
      <c r="O26" s="141">
        <v>8</v>
      </c>
      <c r="P26" s="141">
        <v>8</v>
      </c>
      <c r="Q26" s="141">
        <v>8</v>
      </c>
      <c r="R26" s="141">
        <v>8</v>
      </c>
      <c r="S26" s="141">
        <v>8</v>
      </c>
      <c r="T26" s="141"/>
      <c r="U26" s="141">
        <v>8</v>
      </c>
      <c r="V26" s="141">
        <v>8</v>
      </c>
      <c r="W26" s="141">
        <v>8</v>
      </c>
      <c r="X26" s="141">
        <v>8</v>
      </c>
      <c r="Y26" s="141">
        <v>8</v>
      </c>
      <c r="Z26" s="141">
        <v>8</v>
      </c>
      <c r="AA26" s="141"/>
      <c r="AB26" s="141">
        <v>8</v>
      </c>
      <c r="AC26" s="141">
        <v>8</v>
      </c>
      <c r="AD26" s="141">
        <v>8</v>
      </c>
      <c r="AE26" s="141">
        <v>8</v>
      </c>
      <c r="AF26" s="141">
        <v>8</v>
      </c>
      <c r="AG26" s="141">
        <v>8</v>
      </c>
      <c r="AH26" s="141"/>
      <c r="AI26" s="141">
        <v>8</v>
      </c>
      <c r="AJ26" s="141">
        <v>8</v>
      </c>
      <c r="AK26" s="259">
        <f t="shared" ref="AK26" si="23">((SUM(F26:AJ26))/8)-(SUMIF($F$6:$AJ$6,"C.Nhật",F26:AJ26)/8)</f>
        <v>26</v>
      </c>
      <c r="AL26" s="259">
        <f t="shared" ref="AL26" si="24">SUM(F27:AJ27)/8*1.5</f>
        <v>0</v>
      </c>
      <c r="AM26" s="262">
        <f>SUMIF($F$6:$AJ$6,"C.Nhật",$F26:$AJ27)/8*2</f>
        <v>0</v>
      </c>
      <c r="AN26" s="264">
        <f t="shared" ref="AN26" si="25">SUM(AK26:AM27)</f>
        <v>26</v>
      </c>
      <c r="AO26" s="266">
        <v>0</v>
      </c>
      <c r="AP26" s="264"/>
      <c r="AQ26" s="264"/>
      <c r="AR26" s="264"/>
      <c r="AS26" s="268"/>
      <c r="AT26" s="219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5" customFormat="1" ht="18" customHeight="1">
      <c r="A27" s="254"/>
      <c r="B27" s="254"/>
      <c r="C27" s="256"/>
      <c r="D27" s="258"/>
      <c r="E27" s="67" t="s">
        <v>31</v>
      </c>
      <c r="F27" s="142"/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142"/>
      <c r="Z27" s="142"/>
      <c r="AA27" s="142"/>
      <c r="AB27" s="142"/>
      <c r="AC27" s="142"/>
      <c r="AD27" s="142"/>
      <c r="AE27" s="142"/>
      <c r="AF27" s="142"/>
      <c r="AG27" s="142"/>
      <c r="AH27" s="142"/>
      <c r="AI27" s="142"/>
      <c r="AJ27" s="142"/>
      <c r="AK27" s="260"/>
      <c r="AL27" s="260"/>
      <c r="AM27" s="263"/>
      <c r="AN27" s="265"/>
      <c r="AO27" s="267"/>
      <c r="AP27" s="265"/>
      <c r="AQ27" s="265"/>
      <c r="AR27" s="265"/>
      <c r="AS27" s="269"/>
      <c r="AT27" s="219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5" customFormat="1" ht="18" customHeight="1">
      <c r="A28" s="253">
        <v>7</v>
      </c>
      <c r="B28" s="253" t="s">
        <v>179</v>
      </c>
      <c r="C28" s="255" t="str">
        <f>VLOOKUP(B28,DS,2,0)</f>
        <v>Nguyễn T Bích Thủy</v>
      </c>
      <c r="D28" s="257" t="str">
        <f>VLOOKUP(B28,DS,3,0)</f>
        <v>Công Đoạn 2</v>
      </c>
      <c r="E28" s="66" t="s">
        <v>32</v>
      </c>
      <c r="F28" s="141"/>
      <c r="G28" s="141">
        <v>8</v>
      </c>
      <c r="H28" s="141">
        <v>8</v>
      </c>
      <c r="I28" s="141">
        <v>8</v>
      </c>
      <c r="J28" s="141">
        <v>8</v>
      </c>
      <c r="K28" s="141">
        <v>8</v>
      </c>
      <c r="L28" s="141">
        <v>8</v>
      </c>
      <c r="M28" s="141"/>
      <c r="N28" s="141">
        <v>8</v>
      </c>
      <c r="O28" s="141">
        <v>8</v>
      </c>
      <c r="P28" s="141">
        <v>8</v>
      </c>
      <c r="Q28" s="141">
        <v>8</v>
      </c>
      <c r="R28" s="141">
        <v>8</v>
      </c>
      <c r="S28" s="141">
        <v>8</v>
      </c>
      <c r="T28" s="141"/>
      <c r="U28" s="141">
        <v>8</v>
      </c>
      <c r="V28" s="141">
        <v>8</v>
      </c>
      <c r="W28" s="141">
        <v>8</v>
      </c>
      <c r="X28" s="141">
        <v>8</v>
      </c>
      <c r="Y28" s="141">
        <v>8</v>
      </c>
      <c r="Z28" s="141">
        <v>8</v>
      </c>
      <c r="AA28" s="141"/>
      <c r="AB28" s="141">
        <v>8</v>
      </c>
      <c r="AC28" s="141">
        <v>8</v>
      </c>
      <c r="AD28" s="141">
        <v>8</v>
      </c>
      <c r="AE28" s="141">
        <v>8</v>
      </c>
      <c r="AF28" s="141">
        <v>8</v>
      </c>
      <c r="AG28" s="141">
        <v>8</v>
      </c>
      <c r="AH28" s="141"/>
      <c r="AI28" s="141">
        <v>8</v>
      </c>
      <c r="AJ28" s="141">
        <v>8</v>
      </c>
      <c r="AK28" s="259">
        <f t="shared" ref="AK28" si="26">((SUM(F28:AJ28))/8)-(SUMIF($F$6:$AJ$6,"C.Nhật",F28:AJ28)/8)</f>
        <v>26</v>
      </c>
      <c r="AL28" s="259">
        <f t="shared" ref="AL28" si="27">SUM(F29:AJ29)/8*1.5</f>
        <v>0</v>
      </c>
      <c r="AM28" s="262">
        <f>SUMIF($F$6:$AJ$6,"C.Nhật",$F28:$AJ29)/8*2</f>
        <v>0</v>
      </c>
      <c r="AN28" s="264">
        <f t="shared" ref="AN28" si="28">SUM(AK28:AM29)</f>
        <v>26</v>
      </c>
      <c r="AO28" s="266">
        <v>0</v>
      </c>
      <c r="AP28" s="264"/>
      <c r="AQ28" s="264"/>
      <c r="AR28" s="264"/>
      <c r="AS28" s="268"/>
      <c r="AT28" s="219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5" customFormat="1" ht="18" customHeight="1">
      <c r="A29" s="254"/>
      <c r="B29" s="254"/>
      <c r="C29" s="256"/>
      <c r="D29" s="258"/>
      <c r="E29" s="67" t="s">
        <v>31</v>
      </c>
      <c r="F29" s="142"/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  <c r="Y29" s="142"/>
      <c r="Z29" s="142"/>
      <c r="AA29" s="142"/>
      <c r="AB29" s="142"/>
      <c r="AC29" s="142"/>
      <c r="AD29" s="142"/>
      <c r="AE29" s="142"/>
      <c r="AF29" s="142"/>
      <c r="AG29" s="142"/>
      <c r="AH29" s="142"/>
      <c r="AI29" s="142"/>
      <c r="AJ29" s="142"/>
      <c r="AK29" s="260"/>
      <c r="AL29" s="260"/>
      <c r="AM29" s="263"/>
      <c r="AN29" s="265"/>
      <c r="AO29" s="267"/>
      <c r="AP29" s="265"/>
      <c r="AQ29" s="265"/>
      <c r="AR29" s="265"/>
      <c r="AS29" s="269"/>
      <c r="AT29" s="219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8" customFormat="1" ht="12.75">
      <c r="A30" s="14"/>
      <c r="B30" s="69"/>
      <c r="C30" s="4"/>
      <c r="D30" s="111"/>
      <c r="E30" s="4"/>
      <c r="F30" s="73"/>
      <c r="G30" s="73"/>
      <c r="H30" s="70"/>
      <c r="I30" s="70"/>
      <c r="J30" s="118"/>
      <c r="K30" s="73"/>
      <c r="L30" s="70"/>
      <c r="M30" s="73"/>
      <c r="N30" s="73"/>
      <c r="O30" s="73"/>
      <c r="P30" s="73"/>
      <c r="Q30" s="70"/>
      <c r="R30" s="73"/>
      <c r="S30" s="73"/>
      <c r="T30" s="118"/>
      <c r="U30" s="73"/>
      <c r="V30" s="73"/>
      <c r="W30" s="73"/>
      <c r="X30" s="69"/>
      <c r="Y30" s="73"/>
      <c r="Z30" s="73"/>
      <c r="AA30" s="73"/>
      <c r="AB30" s="73"/>
      <c r="AC30" s="73"/>
      <c r="AD30" s="70"/>
      <c r="AE30" s="73"/>
      <c r="AF30" s="73"/>
      <c r="AG30" s="73"/>
      <c r="AH30" s="73"/>
      <c r="AI30" s="73"/>
      <c r="AJ30" s="73"/>
      <c r="AK30" s="4"/>
      <c r="AL30" s="4"/>
      <c r="AM30" s="96"/>
      <c r="AN30" s="72"/>
      <c r="AO30" s="72"/>
      <c r="AP30" s="72"/>
      <c r="AQ30" s="72"/>
      <c r="AR30" s="72"/>
      <c r="AS30" s="4"/>
      <c r="AT30" s="102"/>
    </row>
    <row r="31" spans="1:90" s="68" customFormat="1" ht="12.75">
      <c r="A31" s="14"/>
      <c r="B31" s="69"/>
      <c r="C31" s="14" t="s">
        <v>14</v>
      </c>
      <c r="D31" s="111"/>
      <c r="E31" s="4"/>
      <c r="F31" s="73"/>
      <c r="G31" s="73"/>
      <c r="H31" s="70"/>
      <c r="I31" s="70"/>
      <c r="J31" s="118"/>
      <c r="K31" s="73"/>
      <c r="L31" s="70"/>
      <c r="M31" s="73"/>
      <c r="N31" s="73"/>
      <c r="O31" s="73"/>
      <c r="P31" s="73"/>
      <c r="Q31" s="70"/>
      <c r="R31" s="73"/>
      <c r="S31" s="73"/>
      <c r="T31" s="118"/>
      <c r="U31" s="73"/>
      <c r="V31" s="73"/>
      <c r="W31" s="73"/>
      <c r="X31" s="69"/>
      <c r="Y31" s="73"/>
      <c r="Z31" s="73"/>
      <c r="AA31" s="73"/>
      <c r="AB31" s="73"/>
      <c r="AC31" s="73"/>
      <c r="AD31" s="70"/>
      <c r="AE31" s="73"/>
      <c r="AF31" s="73"/>
      <c r="AG31" s="73"/>
      <c r="AH31" s="73"/>
      <c r="AI31" s="73"/>
      <c r="AJ31" s="73"/>
      <c r="AK31" s="4"/>
      <c r="AL31" s="4"/>
      <c r="AM31" s="96"/>
      <c r="AN31" s="72"/>
      <c r="AO31" s="72"/>
      <c r="AP31" s="72"/>
      <c r="AQ31" s="72"/>
      <c r="AR31" s="72"/>
      <c r="AS31" s="4"/>
      <c r="AT31" s="102"/>
    </row>
    <row r="32" spans="1:90" s="68" customFormat="1" ht="12.75">
      <c r="A32" s="12"/>
      <c r="B32" s="12"/>
      <c r="C32" s="4"/>
      <c r="D32" s="111"/>
      <c r="E32" s="4"/>
      <c r="F32" s="73"/>
      <c r="G32" s="73"/>
      <c r="H32" s="119"/>
      <c r="I32" s="119"/>
      <c r="J32" s="119"/>
      <c r="K32" s="73"/>
      <c r="L32" s="119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119"/>
      <c r="AE32" s="73"/>
      <c r="AF32" s="73"/>
      <c r="AG32" s="73"/>
      <c r="AH32" s="73"/>
      <c r="AI32" s="73"/>
      <c r="AJ32" s="73"/>
      <c r="AK32" s="4"/>
      <c r="AL32" s="4"/>
      <c r="AM32" s="96"/>
      <c r="AN32" s="74"/>
      <c r="AO32" s="74"/>
      <c r="AP32" s="74"/>
      <c r="AQ32" s="74"/>
      <c r="AR32" s="74"/>
      <c r="AS32" s="4"/>
      <c r="AT32" s="102"/>
    </row>
    <row r="33" spans="1:91" s="71" customFormat="1" ht="15" customHeight="1">
      <c r="A33" s="12"/>
      <c r="B33" s="12"/>
      <c r="C33" s="4"/>
      <c r="D33" s="111"/>
      <c r="E33" s="4"/>
      <c r="F33" s="73"/>
      <c r="G33" s="73"/>
      <c r="H33" s="119"/>
      <c r="I33" s="119"/>
      <c r="J33" s="119"/>
      <c r="K33" s="73"/>
      <c r="L33" s="119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119"/>
      <c r="AE33" s="73"/>
      <c r="AF33" s="73"/>
      <c r="AG33" s="73"/>
      <c r="AH33" s="73"/>
      <c r="AI33" s="73"/>
      <c r="AJ33" s="73"/>
      <c r="AK33" s="4"/>
      <c r="AL33" s="4"/>
      <c r="AM33" s="96"/>
      <c r="AN33" s="74"/>
      <c r="AO33" s="74"/>
      <c r="AP33" s="74"/>
      <c r="AQ33" s="74"/>
      <c r="AR33" s="74"/>
      <c r="AS33" s="4"/>
      <c r="AT33" s="4"/>
    </row>
    <row r="34" spans="1:91" s="71" customFormat="1" ht="11.25">
      <c r="A34" s="12"/>
      <c r="B34" s="12"/>
      <c r="C34" s="4"/>
      <c r="D34" s="111"/>
      <c r="E34" s="4"/>
      <c r="F34" s="73"/>
      <c r="G34" s="73"/>
      <c r="H34" s="119"/>
      <c r="I34" s="119"/>
      <c r="J34" s="119"/>
      <c r="K34" s="73"/>
      <c r="L34" s="119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119"/>
      <c r="AE34" s="73"/>
      <c r="AF34" s="73"/>
      <c r="AG34" s="73"/>
      <c r="AH34" s="73"/>
      <c r="AI34" s="73"/>
      <c r="AJ34" s="73"/>
      <c r="AK34" s="4"/>
      <c r="AL34" s="4"/>
      <c r="AM34" s="96"/>
      <c r="AN34" s="74"/>
      <c r="AO34" s="74"/>
      <c r="AP34" s="74"/>
      <c r="AQ34" s="74"/>
      <c r="AR34" s="74"/>
      <c r="AS34" s="4"/>
      <c r="AT34" s="4"/>
    </row>
    <row r="35" spans="1:91" s="71" customFormat="1" ht="11.25">
      <c r="A35" s="12"/>
      <c r="B35" s="12"/>
      <c r="C35" s="4"/>
      <c r="D35" s="111"/>
      <c r="E35" s="4"/>
      <c r="F35" s="73"/>
      <c r="G35" s="73"/>
      <c r="H35" s="119"/>
      <c r="I35" s="119"/>
      <c r="J35" s="119"/>
      <c r="K35" s="73"/>
      <c r="L35" s="119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119"/>
      <c r="AE35" s="73"/>
      <c r="AF35" s="73"/>
      <c r="AG35" s="73"/>
      <c r="AH35" s="73"/>
      <c r="AI35" s="73"/>
      <c r="AJ35" s="73"/>
      <c r="AK35" s="4"/>
      <c r="AL35" s="4"/>
      <c r="AM35" s="96"/>
      <c r="AN35" s="74"/>
      <c r="AO35" s="74"/>
      <c r="AP35" s="74"/>
      <c r="AQ35" s="74"/>
      <c r="AR35" s="74"/>
      <c r="AS35" s="4"/>
      <c r="AT35" s="4"/>
    </row>
    <row r="36" spans="1:91" s="71" customFormat="1" ht="11.25">
      <c r="A36" s="10"/>
      <c r="B36" s="10"/>
      <c r="C36" s="14"/>
      <c r="D36" s="112"/>
      <c r="E36" s="75"/>
      <c r="F36" s="118"/>
      <c r="G36" s="120"/>
      <c r="H36" s="70"/>
      <c r="I36" s="70"/>
      <c r="J36" s="70"/>
      <c r="K36" s="120"/>
      <c r="L36" s="70"/>
      <c r="M36" s="120"/>
      <c r="N36" s="120"/>
      <c r="O36" s="120"/>
      <c r="P36" s="120"/>
      <c r="Q36" s="70"/>
      <c r="R36" s="118"/>
      <c r="S36" s="120"/>
      <c r="T36" s="120"/>
      <c r="U36" s="70"/>
      <c r="V36" s="120"/>
      <c r="W36" s="120"/>
      <c r="X36" s="70"/>
      <c r="Y36" s="120"/>
      <c r="Z36" s="120"/>
      <c r="AA36" s="120"/>
      <c r="AB36" s="120"/>
      <c r="AC36" s="120"/>
      <c r="AD36" s="70"/>
      <c r="AE36" s="120"/>
      <c r="AF36" s="120"/>
      <c r="AG36" s="120"/>
      <c r="AH36" s="120"/>
      <c r="AI36" s="120"/>
      <c r="AJ36" s="120"/>
      <c r="AK36" s="75"/>
      <c r="AM36" s="97"/>
      <c r="AN36" s="10"/>
      <c r="AO36" s="10"/>
      <c r="AP36" s="10"/>
      <c r="AQ36" s="10"/>
      <c r="AR36" s="10"/>
      <c r="AS36" s="14"/>
      <c r="AT36" s="4"/>
    </row>
    <row r="37" spans="1:91" s="71" customFormat="1" ht="12.75">
      <c r="A37" s="2"/>
      <c r="B37" s="2" t="s">
        <v>0</v>
      </c>
      <c r="C37" s="2"/>
      <c r="D37" s="217"/>
      <c r="E37" s="2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2"/>
      <c r="AI37" s="122"/>
      <c r="AJ37" s="122"/>
      <c r="AK37" s="2"/>
      <c r="AL37" s="2"/>
      <c r="AM37" s="98"/>
      <c r="AN37" s="2"/>
      <c r="AO37" s="2"/>
      <c r="AP37" s="2"/>
      <c r="AQ37" s="2"/>
      <c r="AR37" s="2"/>
      <c r="AS37" s="2"/>
      <c r="AT37" s="4"/>
    </row>
    <row r="38" spans="1:91" s="71" customFormat="1" ht="12.75">
      <c r="A38" s="2"/>
      <c r="B38" s="2"/>
      <c r="C38" s="2" t="s">
        <v>46</v>
      </c>
      <c r="D38" s="217"/>
      <c r="E38" s="2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1"/>
      <c r="AD38" s="121"/>
      <c r="AE38" s="121"/>
      <c r="AF38" s="121"/>
      <c r="AG38" s="121"/>
      <c r="AH38" s="122"/>
      <c r="AI38" s="122"/>
      <c r="AJ38" s="122"/>
      <c r="AK38" s="2"/>
      <c r="AL38" s="2"/>
      <c r="AM38" s="98"/>
      <c r="AN38" s="2"/>
      <c r="AO38" s="2"/>
      <c r="AP38" s="2"/>
      <c r="AQ38" s="2"/>
      <c r="AR38" s="2"/>
      <c r="AS38" s="2"/>
      <c r="AT38" s="14"/>
    </row>
    <row r="39" spans="1:91" ht="15" customHeight="1">
      <c r="C39" s="2" t="s">
        <v>47</v>
      </c>
    </row>
    <row r="40" spans="1:91" ht="15" customHeight="1">
      <c r="C40" s="2" t="s">
        <v>48</v>
      </c>
    </row>
    <row r="41" spans="1:91" s="217" customFormat="1" ht="15" customHeight="1">
      <c r="A41" s="2"/>
      <c r="B41" s="2"/>
      <c r="C41" s="2" t="s">
        <v>49</v>
      </c>
      <c r="E41" s="2"/>
      <c r="F41" s="121"/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121"/>
      <c r="AA41" s="121"/>
      <c r="AB41" s="121"/>
      <c r="AC41" s="121"/>
      <c r="AD41" s="121"/>
      <c r="AE41" s="121"/>
      <c r="AF41" s="121"/>
      <c r="AG41" s="121"/>
      <c r="AH41" s="122"/>
      <c r="AI41" s="122"/>
      <c r="AJ41" s="122"/>
      <c r="AK41" s="2"/>
      <c r="AL41" s="2"/>
      <c r="AM41" s="98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 s="217" customFormat="1" ht="15" customHeight="1">
      <c r="A42" s="2"/>
      <c r="B42" s="2"/>
      <c r="C42" s="2" t="s">
        <v>50</v>
      </c>
      <c r="E42" s="2"/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121"/>
      <c r="AA42" s="121"/>
      <c r="AB42" s="121"/>
      <c r="AC42" s="121"/>
      <c r="AD42" s="121"/>
      <c r="AE42" s="121"/>
      <c r="AF42" s="121"/>
      <c r="AG42" s="121"/>
      <c r="AH42" s="122"/>
      <c r="AI42" s="122"/>
      <c r="AJ42" s="122"/>
      <c r="AK42" s="2"/>
      <c r="AL42" s="2"/>
      <c r="AM42" s="98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 s="217" customFormat="1" ht="15" customHeight="1">
      <c r="A43" s="2"/>
      <c r="B43" s="2"/>
      <c r="C43" s="2" t="s">
        <v>51</v>
      </c>
      <c r="E43" s="2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121"/>
      <c r="AA43" s="121"/>
      <c r="AB43" s="121"/>
      <c r="AC43" s="121"/>
      <c r="AD43" s="121"/>
      <c r="AE43" s="121"/>
      <c r="AF43" s="121"/>
      <c r="AG43" s="121"/>
      <c r="AH43" s="122"/>
      <c r="AI43" s="122"/>
      <c r="AJ43" s="122"/>
      <c r="AK43" s="2"/>
      <c r="AL43" s="2"/>
      <c r="AM43" s="98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 s="217" customFormat="1" ht="15" customHeight="1">
      <c r="A44" s="2"/>
      <c r="B44" s="2"/>
      <c r="C44" s="2" t="s">
        <v>52</v>
      </c>
      <c r="E44" s="2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121"/>
      <c r="AA44" s="121"/>
      <c r="AB44" s="121"/>
      <c r="AC44" s="121"/>
      <c r="AD44" s="121"/>
      <c r="AE44" s="121"/>
      <c r="AF44" s="121"/>
      <c r="AG44" s="121"/>
      <c r="AH44" s="122"/>
      <c r="AI44" s="122"/>
      <c r="AJ44" s="122"/>
      <c r="AK44" s="2"/>
      <c r="AL44" s="2"/>
      <c r="AM44" s="98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  <row r="45" spans="1:91" s="217" customFormat="1" ht="15" customHeight="1">
      <c r="A45" s="2"/>
      <c r="B45" s="2"/>
      <c r="C45" s="2" t="s">
        <v>53</v>
      </c>
      <c r="E45" s="2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121"/>
      <c r="AA45" s="121"/>
      <c r="AB45" s="121"/>
      <c r="AC45" s="121"/>
      <c r="AD45" s="121"/>
      <c r="AE45" s="121"/>
      <c r="AF45" s="121"/>
      <c r="AG45" s="121"/>
      <c r="AH45" s="122"/>
      <c r="AI45" s="122"/>
      <c r="AJ45" s="122"/>
      <c r="AK45" s="2"/>
      <c r="AL45" s="2"/>
      <c r="AM45" s="98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</row>
    <row r="46" spans="1:91" s="217" customFormat="1" ht="15" customHeight="1">
      <c r="A46" s="2"/>
      <c r="B46" s="2"/>
      <c r="C46" s="2" t="s">
        <v>54</v>
      </c>
      <c r="E46" s="2"/>
      <c r="F46" s="121"/>
      <c r="G46" s="121"/>
      <c r="H46" s="121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121"/>
      <c r="AA46" s="121"/>
      <c r="AB46" s="121"/>
      <c r="AC46" s="121"/>
      <c r="AD46" s="121"/>
      <c r="AE46" s="121"/>
      <c r="AF46" s="121"/>
      <c r="AG46" s="121"/>
      <c r="AH46" s="122"/>
      <c r="AI46" s="122"/>
      <c r="AJ46" s="122"/>
      <c r="AK46" s="2"/>
      <c r="AL46" s="2"/>
      <c r="AM46" s="98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2:J35 Q30:Q31" name="Range1_1_1_1"/>
    <protectedRange password="CC78" sqref="J36" name="Range1_3_1_1"/>
    <protectedRange password="CC78" sqref="A16:A29" name="Range1_1_2"/>
    <protectedRange password="CC78" sqref="C16:E29 A16:A29" name="Range1_6_2"/>
    <protectedRange password="CC78" sqref="B16:B29" name="Range1_4_2"/>
  </protectedRanges>
  <mergeCells count="144">
    <mergeCell ref="AR20:AR21"/>
    <mergeCell ref="AS20:AS21"/>
    <mergeCell ref="AL20:AL21"/>
    <mergeCell ref="AM20:AM21"/>
    <mergeCell ref="AN20:AN21"/>
    <mergeCell ref="AO20:AO21"/>
    <mergeCell ref="AP20:AP21"/>
    <mergeCell ref="A20:A21"/>
    <mergeCell ref="B20:B21"/>
    <mergeCell ref="C20:C21"/>
    <mergeCell ref="D20:D21"/>
    <mergeCell ref="AK20:AK21"/>
    <mergeCell ref="AR24:AR25"/>
    <mergeCell ref="AS24:AS25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S18:AS19"/>
    <mergeCell ref="AL24:AL25"/>
    <mergeCell ref="AM24:AM25"/>
    <mergeCell ref="AN24:AN25"/>
    <mergeCell ref="AO24:AO25"/>
    <mergeCell ref="AP24:AP25"/>
    <mergeCell ref="A24:A25"/>
    <mergeCell ref="B24:B25"/>
    <mergeCell ref="C24:C25"/>
    <mergeCell ref="AQ20:AQ21"/>
    <mergeCell ref="AK24:AK25"/>
    <mergeCell ref="AQ11:AQ12"/>
    <mergeCell ref="AR11:AR12"/>
    <mergeCell ref="AS11:AS12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P22:AP23"/>
    <mergeCell ref="AQ22:AQ23"/>
    <mergeCell ref="AR22:AR23"/>
    <mergeCell ref="AS22:AS23"/>
    <mergeCell ref="AL11:AL12"/>
    <mergeCell ref="AM11:AM12"/>
    <mergeCell ref="AN11:AN12"/>
    <mergeCell ref="AO11:AO12"/>
    <mergeCell ref="AP11:AP12"/>
    <mergeCell ref="A11:A12"/>
    <mergeCell ref="AQ24:AQ25"/>
    <mergeCell ref="B11:B12"/>
    <mergeCell ref="C11:C12"/>
    <mergeCell ref="D11:D12"/>
    <mergeCell ref="AK11:AK12"/>
    <mergeCell ref="AP26:AP27"/>
    <mergeCell ref="AQ26:AQ27"/>
    <mergeCell ref="AR26:AR27"/>
    <mergeCell ref="AS26:AS27"/>
    <mergeCell ref="AS28:AS29"/>
    <mergeCell ref="AR28:AR29"/>
    <mergeCell ref="AM28:AM29"/>
    <mergeCell ref="AN28:AN29"/>
    <mergeCell ref="AO28:AO29"/>
    <mergeCell ref="AP28:AP29"/>
    <mergeCell ref="AQ28:AQ29"/>
    <mergeCell ref="AL28:AL29"/>
    <mergeCell ref="AS16:AS17"/>
    <mergeCell ref="AM16:AM17"/>
    <mergeCell ref="AN16:AN17"/>
    <mergeCell ref="AO16:AO17"/>
    <mergeCell ref="AP16:AP17"/>
    <mergeCell ref="AQ16:AQ17"/>
    <mergeCell ref="AR13:AR14"/>
    <mergeCell ref="D24:D25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A28:A29"/>
    <mergeCell ref="B28:B29"/>
    <mergeCell ref="C28:C29"/>
    <mergeCell ref="D28:D29"/>
    <mergeCell ref="AK28:AK29"/>
    <mergeCell ref="AS13:AS14"/>
    <mergeCell ref="A16:A17"/>
    <mergeCell ref="B16:B17"/>
    <mergeCell ref="C16:C17"/>
    <mergeCell ref="D16:D17"/>
    <mergeCell ref="AK16:AK17"/>
    <mergeCell ref="AL16:AL17"/>
    <mergeCell ref="AR16:AR17"/>
    <mergeCell ref="AL13:AL14"/>
    <mergeCell ref="AM13:AM14"/>
    <mergeCell ref="AN13:AN14"/>
    <mergeCell ref="AO13:AO14"/>
    <mergeCell ref="A13:A14"/>
    <mergeCell ref="B13:B14"/>
    <mergeCell ref="C13:C14"/>
    <mergeCell ref="D13:D14"/>
    <mergeCell ref="AK13:AK14"/>
    <mergeCell ref="AP13:AP14"/>
    <mergeCell ref="AQ13:AQ14"/>
    <mergeCell ref="AT5:AT6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9:A10"/>
    <mergeCell ref="B9:B10"/>
    <mergeCell ref="C9:C10"/>
    <mergeCell ref="D9:D10"/>
    <mergeCell ref="AK9:AK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0 F13:AJ14">
    <cfRule type="expression" dxfId="150" priority="27" stopIfTrue="1">
      <formula>IF(WEEKDAY(F$5)=1,TRUE,FALSE)</formula>
    </cfRule>
  </conditionalFormatting>
  <conditionalFormatting sqref="F9:AJ10 F13:AJ14">
    <cfRule type="expression" dxfId="149" priority="26" stopIfTrue="1">
      <formula>IF(WEEKDAY(F$5)=1,TRUE,FALSE)</formula>
    </cfRule>
  </conditionalFormatting>
  <conditionalFormatting sqref="F16:AJ17 F26:AJ29">
    <cfRule type="expression" dxfId="148" priority="8" stopIfTrue="1">
      <formula>IF(WEEKDAY(F$5)=1,TRUE,FALSE)</formula>
    </cfRule>
  </conditionalFormatting>
  <conditionalFormatting sqref="F16:AJ17 F26:AJ29">
    <cfRule type="expression" dxfId="147" priority="7" stopIfTrue="1">
      <formula>IF(WEEKDAY(F$5)=1,TRUE,FALSE)</formula>
    </cfRule>
  </conditionalFormatting>
  <conditionalFormatting sqref="F11:AJ12">
    <cfRule type="expression" dxfId="146" priority="6" stopIfTrue="1">
      <formula>IF(WEEKDAY(F$5)=1,TRUE,FALSE)</formula>
    </cfRule>
  </conditionalFormatting>
  <conditionalFormatting sqref="F11:AJ12">
    <cfRule type="expression" dxfId="145" priority="5" stopIfTrue="1">
      <formula>IF(WEEKDAY(F$5)=1,TRUE,FALSE)</formula>
    </cfRule>
  </conditionalFormatting>
  <conditionalFormatting sqref="F22:AJ25">
    <cfRule type="expression" dxfId="144" priority="4" stopIfTrue="1">
      <formula>IF(WEEKDAY(F$5)=1,TRUE,FALSE)</formula>
    </cfRule>
  </conditionalFormatting>
  <conditionalFormatting sqref="F22:AJ25">
    <cfRule type="expression" dxfId="143" priority="3" stopIfTrue="1">
      <formula>IF(WEEKDAY(F$5)=1,TRUE,FALSE)</formula>
    </cfRule>
  </conditionalFormatting>
  <conditionalFormatting sqref="F18:AJ21">
    <cfRule type="expression" dxfId="142" priority="2" stopIfTrue="1">
      <formula>IF(WEEKDAY(F$5)=1,TRUE,FALSE)</formula>
    </cfRule>
  </conditionalFormatting>
  <conditionalFormatting sqref="F18:AJ21">
    <cfRule type="expression" dxfId="141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5"/>
  <sheetViews>
    <sheetView zoomScaleNormal="70" workbookViewId="0">
      <pane xSplit="3" ySplit="8" topLeftCell="D18" activePane="bottomRight" state="frozen"/>
      <selection activeCell="X10" sqref="X10"/>
      <selection pane="topRight" activeCell="X10" sqref="X10"/>
      <selection pane="bottomLeft" activeCell="X10" sqref="X10"/>
      <selection pane="bottomRight" activeCell="S24" activeCellId="1" sqref="S14 S24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9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7"/>
      <c r="B1" s="221"/>
      <c r="C1" s="221"/>
      <c r="D1" s="270" t="str">
        <f>"BẢNG THANH TOÁN LƯƠNG THÁNG"&amp;" "&amp;TEXT($E$4,"mm")&amp;" / "&amp;TEXT($E$4,"yyyy")</f>
        <v>BẢNG THANH TOÁN LƯƠNG THÁNG 03 / 2015</v>
      </c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1"/>
      <c r="R1" s="272" t="s">
        <v>170</v>
      </c>
      <c r="S1" s="273"/>
      <c r="T1" s="274"/>
      <c r="U1" s="128" t="s">
        <v>58</v>
      </c>
      <c r="V1" s="108" t="s">
        <v>37</v>
      </c>
      <c r="W1" s="81"/>
      <c r="X1" s="81"/>
      <c r="Y1" s="5"/>
      <c r="Z1" s="5"/>
    </row>
    <row r="2" spans="1:31" s="4" customFormat="1" ht="15" customHeight="1">
      <c r="A2" s="137"/>
      <c r="B2" s="221"/>
      <c r="C2" s="221"/>
      <c r="D2" s="221"/>
      <c r="E2" s="79"/>
      <c r="F2" s="221"/>
      <c r="G2" s="221"/>
      <c r="H2" s="221"/>
      <c r="I2" s="221"/>
      <c r="J2" s="80"/>
      <c r="K2" s="221"/>
      <c r="L2" s="221"/>
      <c r="M2" s="221"/>
      <c r="N2" s="221"/>
      <c r="O2" s="221"/>
      <c r="P2" s="221"/>
      <c r="Q2" s="221"/>
      <c r="R2" s="221"/>
      <c r="S2" s="221"/>
      <c r="T2" s="57"/>
      <c r="U2" s="78">
        <f>MAX(F10:F24)</f>
        <v>26</v>
      </c>
      <c r="V2" s="109">
        <v>31</v>
      </c>
      <c r="W2" s="81"/>
      <c r="X2" s="81"/>
      <c r="Y2" s="5"/>
      <c r="Z2" s="5"/>
    </row>
    <row r="3" spans="1:31" s="4" customFormat="1" ht="15" customHeight="1">
      <c r="A3" s="137"/>
      <c r="B3" s="221"/>
      <c r="C3" s="221"/>
      <c r="D3" s="221"/>
      <c r="E3" s="79"/>
      <c r="F3" s="221"/>
      <c r="G3" s="221"/>
      <c r="H3" s="221"/>
      <c r="I3" s="221"/>
      <c r="J3" s="80"/>
      <c r="K3" s="221"/>
      <c r="L3" s="221"/>
      <c r="M3" s="221"/>
      <c r="N3" s="221"/>
      <c r="O3" s="221"/>
      <c r="P3" s="221"/>
      <c r="Q3" s="221"/>
      <c r="R3" s="221"/>
      <c r="S3" s="221"/>
      <c r="T3" s="57"/>
      <c r="U3" s="129"/>
      <c r="V3" s="130"/>
      <c r="W3" s="81"/>
      <c r="X3" s="81"/>
      <c r="Y3" s="5"/>
      <c r="Z3" s="5"/>
    </row>
    <row r="4" spans="1:31" s="103" customFormat="1" ht="14.25" customHeight="1">
      <c r="A4" s="101"/>
      <c r="B4" s="102"/>
      <c r="C4" s="102"/>
      <c r="D4" s="102"/>
      <c r="E4" s="187">
        <f>'CC -3'!$E$4</f>
        <v>42064</v>
      </c>
      <c r="F4" s="102"/>
      <c r="G4" s="102"/>
      <c r="H4" s="102"/>
      <c r="I4" s="102"/>
      <c r="J4" s="102"/>
      <c r="K4" s="102"/>
      <c r="L4" s="102"/>
      <c r="M4" s="102"/>
      <c r="N4" s="160">
        <v>0.08</v>
      </c>
      <c r="O4" s="160">
        <v>1.4999999999999999E-2</v>
      </c>
      <c r="P4" s="160">
        <v>0.01</v>
      </c>
      <c r="Q4" s="102"/>
      <c r="R4" s="102"/>
      <c r="S4" s="102"/>
      <c r="T4" s="102"/>
      <c r="U4" s="102"/>
      <c r="V4" s="104"/>
      <c r="W4" s="104"/>
      <c r="X4" s="104"/>
      <c r="Y4" s="104"/>
      <c r="Z4" s="104"/>
    </row>
    <row r="5" spans="1:31" s="26" customFormat="1" ht="24" customHeight="1">
      <c r="A5" s="275" t="s">
        <v>19</v>
      </c>
      <c r="B5" s="275" t="s">
        <v>20</v>
      </c>
      <c r="C5" s="238" t="s">
        <v>1</v>
      </c>
      <c r="D5" s="238" t="s">
        <v>2</v>
      </c>
      <c r="E5" s="241" t="s">
        <v>56</v>
      </c>
      <c r="F5" s="278" t="s">
        <v>26</v>
      </c>
      <c r="G5" s="279"/>
      <c r="H5" s="279"/>
      <c r="I5" s="279"/>
      <c r="J5" s="279"/>
      <c r="K5" s="280"/>
      <c r="L5" s="277" t="s">
        <v>57</v>
      </c>
      <c r="M5" s="277" t="s">
        <v>5</v>
      </c>
      <c r="N5" s="238" t="s">
        <v>6</v>
      </c>
      <c r="O5" s="238"/>
      <c r="P5" s="238"/>
      <c r="Q5" s="277" t="s">
        <v>7</v>
      </c>
      <c r="R5" s="277" t="s">
        <v>8</v>
      </c>
      <c r="S5" s="277" t="s">
        <v>9</v>
      </c>
      <c r="T5" s="239" t="s">
        <v>10</v>
      </c>
      <c r="U5" s="102"/>
      <c r="V5" s="27"/>
      <c r="W5" s="27"/>
      <c r="X5" s="5"/>
      <c r="Y5" s="5"/>
      <c r="Z5" s="5"/>
      <c r="AA5" s="4"/>
      <c r="AB5" s="4"/>
      <c r="AC5" s="4"/>
      <c r="AD5" s="4"/>
      <c r="AE5" s="4"/>
    </row>
    <row r="6" spans="1:31" s="26" customFormat="1" ht="33.75" customHeight="1">
      <c r="A6" s="276"/>
      <c r="B6" s="276"/>
      <c r="C6" s="238"/>
      <c r="D6" s="238"/>
      <c r="E6" s="241"/>
      <c r="F6" s="278" t="s">
        <v>59</v>
      </c>
      <c r="G6" s="280"/>
      <c r="H6" s="278" t="s">
        <v>157</v>
      </c>
      <c r="I6" s="279"/>
      <c r="J6" s="284" t="s">
        <v>27</v>
      </c>
      <c r="K6" s="277" t="s">
        <v>4</v>
      </c>
      <c r="L6" s="281"/>
      <c r="M6" s="281"/>
      <c r="N6" s="286" t="s">
        <v>12</v>
      </c>
      <c r="O6" s="277" t="s">
        <v>13</v>
      </c>
      <c r="P6" s="277" t="s">
        <v>34</v>
      </c>
      <c r="Q6" s="281"/>
      <c r="R6" s="281"/>
      <c r="S6" s="281"/>
      <c r="T6" s="240"/>
      <c r="U6" s="102"/>
      <c r="V6" s="27"/>
      <c r="W6" s="27"/>
      <c r="X6" s="5"/>
      <c r="Y6" s="5"/>
      <c r="Z6" s="5"/>
      <c r="AA6" s="4"/>
      <c r="AB6" s="4"/>
      <c r="AC6" s="4"/>
      <c r="AD6" s="4"/>
      <c r="AE6" s="4"/>
    </row>
    <row r="7" spans="1:31" s="26" customFormat="1" ht="35.25" customHeight="1">
      <c r="A7" s="276"/>
      <c r="B7" s="276"/>
      <c r="C7" s="277"/>
      <c r="D7" s="277"/>
      <c r="E7" s="241"/>
      <c r="F7" s="220" t="s">
        <v>40</v>
      </c>
      <c r="G7" s="218" t="s">
        <v>18</v>
      </c>
      <c r="H7" s="220" t="s">
        <v>40</v>
      </c>
      <c r="I7" s="126" t="s">
        <v>18</v>
      </c>
      <c r="J7" s="285"/>
      <c r="K7" s="281"/>
      <c r="L7" s="282"/>
      <c r="M7" s="282"/>
      <c r="N7" s="287"/>
      <c r="O7" s="281"/>
      <c r="P7" s="281"/>
      <c r="Q7" s="281"/>
      <c r="R7" s="281"/>
      <c r="S7" s="281"/>
      <c r="T7" s="240"/>
      <c r="U7" s="102"/>
      <c r="V7" s="27"/>
      <c r="W7" s="27"/>
      <c r="X7" s="5"/>
      <c r="Y7" s="5"/>
      <c r="Z7" s="5"/>
      <c r="AA7" s="4"/>
      <c r="AB7" s="4"/>
      <c r="AC7" s="4"/>
      <c r="AD7" s="4"/>
      <c r="AE7" s="4"/>
    </row>
    <row r="8" spans="1:31" s="83" customFormat="1" ht="12.75" customHeight="1">
      <c r="A8" s="82">
        <v>1</v>
      </c>
      <c r="B8" s="82">
        <v>2</v>
      </c>
      <c r="C8" s="82">
        <v>3</v>
      </c>
      <c r="D8" s="82">
        <v>4</v>
      </c>
      <c r="E8" s="82">
        <v>5</v>
      </c>
      <c r="F8" s="82">
        <v>7</v>
      </c>
      <c r="G8" s="82">
        <v>8</v>
      </c>
      <c r="H8" s="82">
        <v>9</v>
      </c>
      <c r="I8" s="82">
        <v>10</v>
      </c>
      <c r="J8" s="82">
        <v>13</v>
      </c>
      <c r="K8" s="82">
        <v>14</v>
      </c>
      <c r="L8" s="82">
        <v>16</v>
      </c>
      <c r="M8" s="82">
        <v>17</v>
      </c>
      <c r="N8" s="82">
        <v>18</v>
      </c>
      <c r="O8" s="82">
        <v>19</v>
      </c>
      <c r="P8" s="82">
        <v>20</v>
      </c>
      <c r="Q8" s="82">
        <v>21</v>
      </c>
      <c r="R8" s="82">
        <v>22</v>
      </c>
      <c r="S8" s="82">
        <v>23</v>
      </c>
      <c r="T8" s="82">
        <v>24</v>
      </c>
      <c r="U8" s="102"/>
      <c r="V8" s="84"/>
      <c r="W8" s="84"/>
      <c r="X8" s="85"/>
      <c r="Y8" s="85"/>
      <c r="Z8" s="85"/>
      <c r="AA8" s="86"/>
      <c r="AB8" s="86"/>
      <c r="AC8" s="86"/>
      <c r="AD8" s="86"/>
      <c r="AE8" s="86"/>
    </row>
    <row r="9" spans="1:31" s="83" customFormat="1" ht="24" customHeight="1">
      <c r="A9" s="186" t="s">
        <v>154</v>
      </c>
      <c r="B9" s="185" t="s">
        <v>171</v>
      </c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02"/>
      <c r="V9" s="84"/>
      <c r="W9" s="84"/>
      <c r="X9" s="85"/>
      <c r="Y9" s="85"/>
      <c r="Z9" s="85"/>
      <c r="AA9" s="86"/>
      <c r="AB9" s="86"/>
      <c r="AC9" s="86"/>
      <c r="AD9" s="86"/>
      <c r="AE9" s="86"/>
    </row>
    <row r="10" spans="1:31" s="35" customFormat="1" ht="24" customHeight="1">
      <c r="A10" s="37">
        <v>1</v>
      </c>
      <c r="B10" s="139" t="s">
        <v>159</v>
      </c>
      <c r="C10" s="87" t="str">
        <f t="shared" ref="C10:C12" si="0">VLOOKUP(B10,DS,2,0)</f>
        <v>Nguyễn Thị Thu Sương</v>
      </c>
      <c r="D10" s="114" t="str">
        <f t="shared" ref="D10:D12" si="1">VLOOKUP(B10,DS,3,0)</f>
        <v>Kinh Doanh</v>
      </c>
      <c r="E10" s="88">
        <f t="shared" ref="E10:E12" si="2">VLOOKUP(B10,DS,4,0)</f>
        <v>5000000</v>
      </c>
      <c r="F10" s="90">
        <f>VLOOKUP(B10,'CC -3'!$B$8:$AS$29,36,0)</f>
        <v>26</v>
      </c>
      <c r="G10" s="143">
        <f t="shared" ref="G10:G12" si="3">ROUND(E10/$U$2*F10,0)</f>
        <v>5000000</v>
      </c>
      <c r="H10" s="90">
        <f>(VLOOKUP(B10,'CC -3'!$B$8:$AS$29,37,0)+VLOOKUP(B10,'CC -3'!$B$8:$AS$29,38,0))</f>
        <v>0</v>
      </c>
      <c r="I10" s="143">
        <f t="shared" ref="I10:I12" si="4">ROUND(E10/$U$2*H10,0)</f>
        <v>0</v>
      </c>
      <c r="J10" s="91">
        <f t="shared" ref="J10:K12" si="5">F10+H10</f>
        <v>26</v>
      </c>
      <c r="K10" s="38">
        <f>G10+I10</f>
        <v>5000000</v>
      </c>
      <c r="L10" s="88">
        <f t="shared" ref="L10:L12" si="6">+F10*15000</f>
        <v>390000</v>
      </c>
      <c r="M10" s="39">
        <f t="shared" ref="M10:M12" si="7">K10+L10</f>
        <v>5390000</v>
      </c>
      <c r="N10" s="39">
        <f>IF(VLOOKUP(B10,DS,9,0)="x",E10*$N$4,0)</f>
        <v>0</v>
      </c>
      <c r="O10" s="39">
        <f>IF(VLOOKUP(B10,DS,9,0)="x",E10*$O$4,0)</f>
        <v>0</v>
      </c>
      <c r="P10" s="39">
        <f>IF(VLOOKUP(B10,DS,9,0)="x",E10*$P$4,0)</f>
        <v>0</v>
      </c>
      <c r="Q10" s="38">
        <f t="shared" ref="Q10:Q12" si="8">M10-SUM(N10:P10)</f>
        <v>5390000</v>
      </c>
      <c r="R10" s="38">
        <f>VLOOKUP(B10,DS,23,0)</f>
        <v>0</v>
      </c>
      <c r="S10" s="44">
        <f t="shared" ref="S10:S12" si="9">Q10-R10</f>
        <v>5390000</v>
      </c>
      <c r="T10" s="38"/>
      <c r="U10" s="102"/>
      <c r="V10" s="36"/>
      <c r="W10" s="27"/>
      <c r="X10" s="5"/>
      <c r="Y10" s="5"/>
      <c r="Z10" s="5"/>
      <c r="AA10" s="4"/>
      <c r="AB10" s="4"/>
      <c r="AC10" s="4"/>
      <c r="AD10" s="4"/>
      <c r="AE10" s="4"/>
    </row>
    <row r="11" spans="1:31" s="35" customFormat="1" ht="24" customHeight="1">
      <c r="A11" s="37">
        <v>2</v>
      </c>
      <c r="B11" s="139" t="s">
        <v>160</v>
      </c>
      <c r="C11" s="87" t="str">
        <f t="shared" ref="C11" si="10">VLOOKUP(B11,DS,2,0)</f>
        <v>Trần Anh Nhựt</v>
      </c>
      <c r="D11" s="114" t="str">
        <f t="shared" ref="D11" si="11">VLOOKUP(B11,DS,3,0)</f>
        <v>Thiết Kế</v>
      </c>
      <c r="E11" s="88">
        <f t="shared" ref="E11" si="12">VLOOKUP(B11,DS,4,0)</f>
        <v>5000000</v>
      </c>
      <c r="F11" s="90">
        <f>VLOOKUP(B11,'CC -3'!$B$8:$AS$29,36,0)</f>
        <v>26</v>
      </c>
      <c r="G11" s="143">
        <f t="shared" ref="G11" si="13">ROUND(E11/$U$2*F11,0)</f>
        <v>5000000</v>
      </c>
      <c r="H11" s="90">
        <f>(VLOOKUP(B11,'CC -3'!$B$8:$AS$29,37,0)+VLOOKUP(B11,'CC -3'!$B$8:$AS$29,38,0))</f>
        <v>0</v>
      </c>
      <c r="I11" s="143">
        <f t="shared" ref="I11" si="14">ROUND(E11/$U$2*H11,0)</f>
        <v>0</v>
      </c>
      <c r="J11" s="91">
        <f t="shared" ref="J11" si="15">F11+H11</f>
        <v>26</v>
      </c>
      <c r="K11" s="38">
        <f t="shared" ref="K11" si="16">G11+I11</f>
        <v>5000000</v>
      </c>
      <c r="L11" s="88">
        <f t="shared" ref="L11" si="17">+F11*15000</f>
        <v>390000</v>
      </c>
      <c r="M11" s="39">
        <f t="shared" ref="M11" si="18">K11+L11</f>
        <v>5390000</v>
      </c>
      <c r="N11" s="39">
        <f>IF(VLOOKUP(B11,DS,9,0)="x",E11*$N$4,0)</f>
        <v>0</v>
      </c>
      <c r="O11" s="39">
        <f>IF(VLOOKUP(B11,DS,9,0)="x",E11*$O$4,0)</f>
        <v>0</v>
      </c>
      <c r="P11" s="39">
        <f>IF(VLOOKUP(B11,DS,9,0)="x",E11*$P$4,0)</f>
        <v>0</v>
      </c>
      <c r="Q11" s="38">
        <f t="shared" ref="Q11" si="19">M11-SUM(N11:P11)</f>
        <v>5390000</v>
      </c>
      <c r="R11" s="38">
        <f>VLOOKUP(B11,DS,23,0)</f>
        <v>0</v>
      </c>
      <c r="S11" s="44">
        <f t="shared" ref="S11" si="20">Q11-R11</f>
        <v>5390000</v>
      </c>
      <c r="T11" s="38"/>
      <c r="U11" s="102"/>
      <c r="V11" s="36"/>
      <c r="W11" s="27"/>
      <c r="X11" s="5"/>
      <c r="Y11" s="5"/>
      <c r="Z11" s="5"/>
      <c r="AA11" s="4"/>
      <c r="AB11" s="4"/>
      <c r="AC11" s="4"/>
      <c r="AD11" s="4"/>
      <c r="AE11" s="4"/>
    </row>
    <row r="12" spans="1:31" s="35" customFormat="1" ht="24" customHeight="1">
      <c r="A12" s="37">
        <v>3</v>
      </c>
      <c r="B12" s="139" t="s">
        <v>168</v>
      </c>
      <c r="C12" s="87" t="str">
        <f t="shared" si="0"/>
        <v>Huỳnh Minh Toàn</v>
      </c>
      <c r="D12" s="114" t="str">
        <f t="shared" si="1"/>
        <v>Thủ Kho</v>
      </c>
      <c r="E12" s="88">
        <f t="shared" si="2"/>
        <v>5500000</v>
      </c>
      <c r="F12" s="90">
        <f>VLOOKUP(B12,'CC -3'!$B$8:$AS$29,36,0)</f>
        <v>26</v>
      </c>
      <c r="G12" s="143">
        <f t="shared" si="3"/>
        <v>5500000</v>
      </c>
      <c r="H12" s="90">
        <f>(VLOOKUP(B12,'CC -3'!$B$8:$AS$29,37,0)+VLOOKUP(B12,'CC -3'!$B$8:$AS$29,38,0))</f>
        <v>0</v>
      </c>
      <c r="I12" s="143">
        <f t="shared" si="4"/>
        <v>0</v>
      </c>
      <c r="J12" s="91">
        <f t="shared" si="5"/>
        <v>26</v>
      </c>
      <c r="K12" s="38">
        <f t="shared" si="5"/>
        <v>5500000</v>
      </c>
      <c r="L12" s="88">
        <f t="shared" si="6"/>
        <v>390000</v>
      </c>
      <c r="M12" s="39">
        <f t="shared" si="7"/>
        <v>5890000</v>
      </c>
      <c r="N12" s="39">
        <f>IF(VLOOKUP(B12,DS,9,0)="x",E12*$N$4,0)</f>
        <v>0</v>
      </c>
      <c r="O12" s="39">
        <f>IF(VLOOKUP(B12,DS,9,0)="x",E12*$O$4,0)</f>
        <v>0</v>
      </c>
      <c r="P12" s="39">
        <f>IF(VLOOKUP(B12,DS,9,0)="x",E12*$P$4,0)</f>
        <v>0</v>
      </c>
      <c r="Q12" s="38">
        <f t="shared" si="8"/>
        <v>5890000</v>
      </c>
      <c r="R12" s="38">
        <f>VLOOKUP(B12,DS,23,0)</f>
        <v>0</v>
      </c>
      <c r="S12" s="44">
        <f t="shared" si="9"/>
        <v>5890000</v>
      </c>
      <c r="T12" s="38"/>
      <c r="U12" s="102"/>
      <c r="V12" s="36"/>
      <c r="W12" s="27"/>
      <c r="X12" s="5"/>
      <c r="Y12" s="5"/>
      <c r="Z12" s="5"/>
      <c r="AA12" s="4"/>
      <c r="AB12" s="4"/>
      <c r="AC12" s="4"/>
      <c r="AD12" s="4"/>
      <c r="AE12" s="4"/>
    </row>
    <row r="13" spans="1:31" s="35" customFormat="1" ht="24" customHeight="1">
      <c r="A13" s="201"/>
      <c r="B13" s="202"/>
      <c r="C13" s="203"/>
      <c r="D13" s="204"/>
      <c r="E13" s="205"/>
      <c r="F13" s="206"/>
      <c r="G13" s="207"/>
      <c r="H13" s="206"/>
      <c r="I13" s="207"/>
      <c r="J13" s="208"/>
      <c r="K13" s="209"/>
      <c r="L13" s="205"/>
      <c r="M13" s="210"/>
      <c r="N13" s="210"/>
      <c r="O13" s="210"/>
      <c r="P13" s="210"/>
      <c r="Q13" s="209"/>
      <c r="R13" s="209"/>
      <c r="S13" s="211"/>
      <c r="T13" s="209"/>
      <c r="U13" s="102"/>
      <c r="V13" s="36"/>
      <c r="W13" s="27"/>
      <c r="X13" s="5"/>
      <c r="Y13" s="5"/>
      <c r="Z13" s="5"/>
      <c r="AA13" s="4"/>
      <c r="AB13" s="4"/>
      <c r="AC13" s="4"/>
      <c r="AD13" s="4"/>
      <c r="AE13" s="4"/>
    </row>
    <row r="14" spans="1:31" s="31" customFormat="1" ht="21" customHeight="1">
      <c r="A14" s="283" t="s">
        <v>25</v>
      </c>
      <c r="B14" s="283"/>
      <c r="C14" s="283"/>
      <c r="D14" s="283"/>
      <c r="E14" s="138">
        <f>SUM(E9:E12)</f>
        <v>15500000</v>
      </c>
      <c r="F14" s="138"/>
      <c r="G14" s="138">
        <f>SUM(G9:G12)</f>
        <v>15500000</v>
      </c>
      <c r="H14" s="138"/>
      <c r="I14" s="138">
        <f>SUM(I9:I12)</f>
        <v>0</v>
      </c>
      <c r="J14" s="138"/>
      <c r="K14" s="138">
        <f t="shared" ref="K14:S14" si="21">SUM(K9:K12)</f>
        <v>15500000</v>
      </c>
      <c r="L14" s="138">
        <f t="shared" si="21"/>
        <v>1170000</v>
      </c>
      <c r="M14" s="138">
        <f t="shared" si="21"/>
        <v>16670000</v>
      </c>
      <c r="N14" s="138">
        <f t="shared" si="21"/>
        <v>0</v>
      </c>
      <c r="O14" s="138">
        <f t="shared" si="21"/>
        <v>0</v>
      </c>
      <c r="P14" s="138">
        <f t="shared" si="21"/>
        <v>0</v>
      </c>
      <c r="Q14" s="138">
        <f t="shared" si="21"/>
        <v>16670000</v>
      </c>
      <c r="R14" s="138">
        <f t="shared" si="21"/>
        <v>0</v>
      </c>
      <c r="S14" s="138">
        <f t="shared" si="21"/>
        <v>16670000</v>
      </c>
      <c r="T14" s="25"/>
      <c r="U14" s="102"/>
      <c r="V14" s="32"/>
      <c r="W14" s="32"/>
      <c r="X14" s="32"/>
      <c r="Y14" s="32"/>
      <c r="Z14" s="32"/>
    </row>
    <row r="15" spans="1:31" s="83" customFormat="1" ht="24" customHeight="1">
      <c r="A15" s="186" t="s">
        <v>155</v>
      </c>
      <c r="B15" s="185" t="s">
        <v>156</v>
      </c>
      <c r="C15" s="184"/>
      <c r="D15" s="184"/>
      <c r="E15" s="184"/>
      <c r="F15" s="184"/>
      <c r="G15" s="184"/>
      <c r="H15" s="184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02"/>
      <c r="V15" s="84"/>
      <c r="W15" s="84"/>
      <c r="X15" s="85"/>
      <c r="Y15" s="85"/>
      <c r="Z15" s="85"/>
      <c r="AA15" s="86"/>
      <c r="AB15" s="86"/>
      <c r="AC15" s="86"/>
      <c r="AD15" s="86"/>
      <c r="AE15" s="86"/>
    </row>
    <row r="16" spans="1:31" s="35" customFormat="1" ht="24" customHeight="1">
      <c r="A16" s="37">
        <v>1</v>
      </c>
      <c r="B16" s="139" t="s">
        <v>161</v>
      </c>
      <c r="C16" s="87" t="str">
        <f t="shared" ref="C16:C20" si="22">VLOOKUP(B16,DS,2,0)</f>
        <v>Nguyễn Trường Giang</v>
      </c>
      <c r="D16" s="114" t="str">
        <f t="shared" ref="D16:D20" si="23">VLOOKUP(B16,DS,3,0)</f>
        <v>Thợ in</v>
      </c>
      <c r="E16" s="88">
        <f t="shared" ref="E16:E20" si="24">VLOOKUP(B16,DS,4,0)</f>
        <v>5000000</v>
      </c>
      <c r="F16" s="90">
        <f>VLOOKUP(B16,'CC -3'!$B$8:$AS$29,36,0)</f>
        <v>26</v>
      </c>
      <c r="G16" s="143">
        <f t="shared" ref="G16:G20" si="25">ROUND(E16/$U$2*F16,0)</f>
        <v>5000000</v>
      </c>
      <c r="H16" s="90">
        <f>(VLOOKUP(B16,'CC -3'!$B$8:$AS$29,37,0)+VLOOKUP(B16,'CC -3'!$B$8:$AS$29,38,0))</f>
        <v>0</v>
      </c>
      <c r="I16" s="143">
        <f t="shared" ref="I16:I20" si="26">ROUND(E16/$U$2*H16,0)</f>
        <v>0</v>
      </c>
      <c r="J16" s="144">
        <f t="shared" ref="J16:K20" si="27">F16+H16</f>
        <v>26</v>
      </c>
      <c r="K16" s="38">
        <f t="shared" si="27"/>
        <v>5000000</v>
      </c>
      <c r="L16" s="88">
        <f t="shared" ref="L16:L20" si="28">+F16*15000</f>
        <v>390000</v>
      </c>
      <c r="M16" s="39">
        <f t="shared" ref="M16:M20" si="29">K16+L16</f>
        <v>5390000</v>
      </c>
      <c r="N16" s="39">
        <f>IF(VLOOKUP(B16,DS,9,0)="x",'L - 3'!E16*$N$4,0)</f>
        <v>0</v>
      </c>
      <c r="O16" s="39">
        <f t="shared" ref="O16:O20" si="30">IF(VLOOKUP(B16,DS,9,0)="x",E16*0.015,0)</f>
        <v>0</v>
      </c>
      <c r="P16" s="39">
        <f t="shared" ref="P16:P20" si="31">IF(VLOOKUP(B16,DS,9,0)="x",E16*0.01,0)</f>
        <v>0</v>
      </c>
      <c r="Q16" s="38">
        <f>M16-SUM(N16:P16)</f>
        <v>5390000</v>
      </c>
      <c r="R16" s="38">
        <f t="shared" ref="R16:R20" si="32">VLOOKUP(B16,DS,23,0)</f>
        <v>0</v>
      </c>
      <c r="S16" s="44">
        <f>Q16-R16</f>
        <v>5390000</v>
      </c>
      <c r="T16" s="38"/>
      <c r="U16" s="102"/>
      <c r="V16" s="36"/>
      <c r="W16" s="27"/>
      <c r="X16" s="5"/>
      <c r="Y16" s="5"/>
      <c r="Z16" s="5"/>
      <c r="AA16" s="4"/>
      <c r="AB16" s="4"/>
      <c r="AC16" s="4"/>
      <c r="AD16" s="4"/>
      <c r="AE16" s="4"/>
    </row>
    <row r="17" spans="1:31" s="35" customFormat="1" ht="24" customHeight="1">
      <c r="A17" s="37">
        <v>2</v>
      </c>
      <c r="B17" s="139" t="s">
        <v>162</v>
      </c>
      <c r="C17" s="87" t="str">
        <f t="shared" ref="C17:C18" si="33">VLOOKUP(B17,DS,2,0)</f>
        <v>Võ Văn Kiệt</v>
      </c>
      <c r="D17" s="114" t="str">
        <f t="shared" ref="D17:D18" si="34">VLOOKUP(B17,DS,3,0)</f>
        <v>Công Đoạn 1</v>
      </c>
      <c r="E17" s="88">
        <f t="shared" ref="E17:E18" si="35">VLOOKUP(B17,DS,4,0)</f>
        <v>5000000</v>
      </c>
      <c r="F17" s="90">
        <f>VLOOKUP(B17,'CC -3'!$B$8:$AS$29,36,0)</f>
        <v>26</v>
      </c>
      <c r="G17" s="143">
        <f t="shared" ref="G17:G18" si="36">ROUND(E17/$U$2*F17,0)</f>
        <v>5000000</v>
      </c>
      <c r="H17" s="90">
        <f>(VLOOKUP(B17,'CC -3'!$B$8:$AS$29,37,0)+VLOOKUP(B17,'CC -3'!$B$8:$AS$29,38,0))</f>
        <v>0</v>
      </c>
      <c r="I17" s="143">
        <f t="shared" ref="I17:I18" si="37">ROUND(E17/$U$2*H17,0)</f>
        <v>0</v>
      </c>
      <c r="J17" s="144">
        <f t="shared" ref="J17:J18" si="38">F17+H17</f>
        <v>26</v>
      </c>
      <c r="K17" s="38">
        <f t="shared" ref="K17:K18" si="39">G17+I17</f>
        <v>5000000</v>
      </c>
      <c r="L17" s="88">
        <f t="shared" ref="L17:L18" si="40">+F17*15000</f>
        <v>390000</v>
      </c>
      <c r="M17" s="39">
        <f t="shared" ref="M17:M18" si="41">K17+L17</f>
        <v>5390000</v>
      </c>
      <c r="N17" s="39">
        <f>IF(VLOOKUP(B17,DS,9,0)="x",'L - 3'!E17*$N$4,0)</f>
        <v>0</v>
      </c>
      <c r="O17" s="39">
        <f t="shared" ref="O17:O18" si="42">IF(VLOOKUP(B17,DS,9,0)="x",E17*0.015,0)</f>
        <v>0</v>
      </c>
      <c r="P17" s="39">
        <f t="shared" ref="P17:P18" si="43">IF(VLOOKUP(B17,DS,9,0)="x",E17*0.01,0)</f>
        <v>0</v>
      </c>
      <c r="Q17" s="38">
        <f t="shared" ref="Q17:Q18" si="44">M17-SUM(N17:P17)</f>
        <v>5390000</v>
      </c>
      <c r="R17" s="38">
        <f t="shared" ref="R17:R18" si="45">VLOOKUP(B17,DS,23,0)</f>
        <v>0</v>
      </c>
      <c r="S17" s="44">
        <f t="shared" ref="S17:S18" si="46">Q17-R17</f>
        <v>5390000</v>
      </c>
      <c r="T17" s="38"/>
      <c r="U17" s="102"/>
      <c r="V17" s="36"/>
      <c r="W17" s="27"/>
      <c r="X17" s="5"/>
      <c r="Y17" s="5"/>
      <c r="Z17" s="5"/>
      <c r="AA17" s="4"/>
      <c r="AB17" s="4"/>
      <c r="AC17" s="4"/>
      <c r="AD17" s="4"/>
      <c r="AE17" s="4"/>
    </row>
    <row r="18" spans="1:31" s="35" customFormat="1" ht="24" customHeight="1">
      <c r="A18" s="37">
        <v>3</v>
      </c>
      <c r="B18" s="139" t="s">
        <v>163</v>
      </c>
      <c r="C18" s="87" t="str">
        <f t="shared" si="33"/>
        <v>Diệp Văn Lân</v>
      </c>
      <c r="D18" s="114" t="str">
        <f t="shared" si="34"/>
        <v>Công Đoạn 1</v>
      </c>
      <c r="E18" s="88">
        <f t="shared" si="35"/>
        <v>4200000</v>
      </c>
      <c r="F18" s="90">
        <f>VLOOKUP(B18,'CC -3'!$B$8:$AS$29,36,0)</f>
        <v>26</v>
      </c>
      <c r="G18" s="143">
        <f t="shared" si="36"/>
        <v>4200000</v>
      </c>
      <c r="H18" s="90">
        <f>(VLOOKUP(B18,'CC -3'!$B$8:$AS$29,37,0)+VLOOKUP(B18,'CC -3'!$B$8:$AS$29,38,0))</f>
        <v>0</v>
      </c>
      <c r="I18" s="143">
        <f t="shared" si="37"/>
        <v>0</v>
      </c>
      <c r="J18" s="144">
        <f t="shared" si="38"/>
        <v>26</v>
      </c>
      <c r="K18" s="38">
        <f t="shared" si="39"/>
        <v>4200000</v>
      </c>
      <c r="L18" s="88">
        <f t="shared" si="40"/>
        <v>390000</v>
      </c>
      <c r="M18" s="39">
        <f t="shared" si="41"/>
        <v>4590000</v>
      </c>
      <c r="N18" s="39">
        <f>IF(VLOOKUP(B18,DS,9,0)="x",'L - 3'!E18*$N$4,0)</f>
        <v>0</v>
      </c>
      <c r="O18" s="39">
        <f t="shared" si="42"/>
        <v>0</v>
      </c>
      <c r="P18" s="39">
        <f t="shared" si="43"/>
        <v>0</v>
      </c>
      <c r="Q18" s="38">
        <f t="shared" si="44"/>
        <v>4590000</v>
      </c>
      <c r="R18" s="38">
        <f t="shared" si="45"/>
        <v>0</v>
      </c>
      <c r="S18" s="44">
        <f t="shared" si="46"/>
        <v>4590000</v>
      </c>
      <c r="T18" s="38"/>
      <c r="U18" s="102"/>
      <c r="V18" s="36"/>
      <c r="W18" s="27"/>
      <c r="X18" s="5"/>
      <c r="Y18" s="5"/>
      <c r="Z18" s="5"/>
      <c r="AA18" s="4"/>
      <c r="AB18" s="4"/>
      <c r="AC18" s="4"/>
      <c r="AD18" s="4"/>
      <c r="AE18" s="4"/>
    </row>
    <row r="19" spans="1:31" s="35" customFormat="1" ht="24" customHeight="1">
      <c r="A19" s="37">
        <v>4</v>
      </c>
      <c r="B19" s="139" t="s">
        <v>176</v>
      </c>
      <c r="C19" s="87" t="str">
        <f t="shared" si="22"/>
        <v>Dương Thế Kiệt</v>
      </c>
      <c r="D19" s="114" t="str">
        <f t="shared" si="23"/>
        <v>Công Đoạn 1</v>
      </c>
      <c r="E19" s="88">
        <f t="shared" si="24"/>
        <v>4200000</v>
      </c>
      <c r="F19" s="90">
        <f>VLOOKUP(B19,'CC -3'!$B$8:$AS$29,36,0)</f>
        <v>26</v>
      </c>
      <c r="G19" s="143">
        <f t="shared" si="25"/>
        <v>4200000</v>
      </c>
      <c r="H19" s="90">
        <f>(VLOOKUP(B19,'CC -3'!$B$8:$AS$29,37,0)+VLOOKUP(B19,'CC -3'!$B$8:$AS$29,38,0))</f>
        <v>0</v>
      </c>
      <c r="I19" s="143">
        <f t="shared" si="26"/>
        <v>0</v>
      </c>
      <c r="J19" s="144">
        <f t="shared" si="27"/>
        <v>26</v>
      </c>
      <c r="K19" s="38">
        <f t="shared" si="27"/>
        <v>4200000</v>
      </c>
      <c r="L19" s="88">
        <f t="shared" si="28"/>
        <v>390000</v>
      </c>
      <c r="M19" s="39">
        <f t="shared" si="29"/>
        <v>4590000</v>
      </c>
      <c r="N19" s="39">
        <f>IF(VLOOKUP(B19,DS,9,0)="x",'L - 3'!E19*$N$4,0)</f>
        <v>0</v>
      </c>
      <c r="O19" s="39">
        <f t="shared" si="30"/>
        <v>0</v>
      </c>
      <c r="P19" s="39">
        <f t="shared" si="31"/>
        <v>0</v>
      </c>
      <c r="Q19" s="38">
        <f t="shared" ref="Q19:Q20" si="47">M19-SUM(N19:P19)</f>
        <v>4590000</v>
      </c>
      <c r="R19" s="38">
        <f t="shared" si="32"/>
        <v>0</v>
      </c>
      <c r="S19" s="44">
        <f t="shared" ref="S19:S20" si="48">Q19-R19</f>
        <v>4590000</v>
      </c>
      <c r="T19" s="38"/>
      <c r="U19" s="102"/>
      <c r="V19" s="36"/>
      <c r="W19" s="27"/>
      <c r="X19" s="5"/>
      <c r="Y19" s="5"/>
      <c r="Z19" s="5"/>
      <c r="AA19" s="4"/>
      <c r="AB19" s="4"/>
      <c r="AC19" s="4"/>
      <c r="AD19" s="4"/>
      <c r="AE19" s="4"/>
    </row>
    <row r="20" spans="1:31" s="35" customFormat="1" ht="24" customHeight="1">
      <c r="A20" s="37">
        <v>5</v>
      </c>
      <c r="B20" s="139" t="s">
        <v>177</v>
      </c>
      <c r="C20" s="87" t="str">
        <f t="shared" si="22"/>
        <v>Lê Văn Hữu</v>
      </c>
      <c r="D20" s="114" t="str">
        <f t="shared" si="23"/>
        <v>Công Đoạn 2</v>
      </c>
      <c r="E20" s="88">
        <f t="shared" si="24"/>
        <v>5000000</v>
      </c>
      <c r="F20" s="90">
        <f>VLOOKUP(B20,'CC -3'!$B$8:$AS$29,36,0)</f>
        <v>26</v>
      </c>
      <c r="G20" s="143">
        <f t="shared" si="25"/>
        <v>5000000</v>
      </c>
      <c r="H20" s="90">
        <f>(VLOOKUP(B20,'CC -3'!$B$8:$AS$29,37,0)+VLOOKUP(B20,'CC -3'!$B$8:$AS$29,38,0))</f>
        <v>0</v>
      </c>
      <c r="I20" s="143">
        <f t="shared" si="26"/>
        <v>0</v>
      </c>
      <c r="J20" s="144">
        <f t="shared" si="27"/>
        <v>26</v>
      </c>
      <c r="K20" s="38">
        <f t="shared" si="27"/>
        <v>5000000</v>
      </c>
      <c r="L20" s="88">
        <f t="shared" si="28"/>
        <v>390000</v>
      </c>
      <c r="M20" s="39">
        <f t="shared" si="29"/>
        <v>5390000</v>
      </c>
      <c r="N20" s="39">
        <f>IF(VLOOKUP(B20,DS,9,0)="x",'L - 3'!E20*$N$4,0)</f>
        <v>0</v>
      </c>
      <c r="O20" s="39">
        <f t="shared" si="30"/>
        <v>0</v>
      </c>
      <c r="P20" s="39">
        <f t="shared" si="31"/>
        <v>0</v>
      </c>
      <c r="Q20" s="38">
        <f t="shared" si="47"/>
        <v>5390000</v>
      </c>
      <c r="R20" s="38">
        <f t="shared" si="32"/>
        <v>0</v>
      </c>
      <c r="S20" s="44">
        <f t="shared" si="48"/>
        <v>5390000</v>
      </c>
      <c r="T20" s="38"/>
      <c r="U20" s="102"/>
      <c r="V20" s="36"/>
      <c r="W20" s="27"/>
      <c r="X20" s="5"/>
      <c r="Y20" s="5"/>
      <c r="Z20" s="5"/>
      <c r="AA20" s="4"/>
      <c r="AB20" s="4"/>
      <c r="AC20" s="4"/>
      <c r="AD20" s="4"/>
      <c r="AE20" s="4"/>
    </row>
    <row r="21" spans="1:31" s="35" customFormat="1" ht="24" customHeight="1">
      <c r="A21" s="37">
        <v>6</v>
      </c>
      <c r="B21" s="139" t="s">
        <v>178</v>
      </c>
      <c r="C21" s="87" t="str">
        <f t="shared" ref="C21:C22" si="49">VLOOKUP(B21,DS,2,0)</f>
        <v>Bùi Trường Giang</v>
      </c>
      <c r="D21" s="114" t="str">
        <f t="shared" ref="D21:D22" si="50">VLOOKUP(B21,DS,3,0)</f>
        <v>Công Đoạn 2</v>
      </c>
      <c r="E21" s="88">
        <f t="shared" ref="E21:E22" si="51">VLOOKUP(B21,DS,4,0)</f>
        <v>4200000</v>
      </c>
      <c r="F21" s="90">
        <f>VLOOKUP(B21,'CC -3'!$B$8:$AS$29,36,0)</f>
        <v>26</v>
      </c>
      <c r="G21" s="143">
        <f t="shared" ref="G21:G22" si="52">ROUND(E21/$U$2*F21,0)</f>
        <v>4200000</v>
      </c>
      <c r="H21" s="90">
        <f>(VLOOKUP(B21,'CC -3'!$B$8:$AS$29,37,0)+VLOOKUP(B21,'CC -3'!$B$8:$AS$29,38,0))</f>
        <v>0</v>
      </c>
      <c r="I21" s="143">
        <f t="shared" ref="I21:I22" si="53">ROUND(E21/$U$2*H21,0)</f>
        <v>0</v>
      </c>
      <c r="J21" s="144">
        <f t="shared" ref="J21:J22" si="54">F21+H21</f>
        <v>26</v>
      </c>
      <c r="K21" s="38">
        <f t="shared" ref="K21:K22" si="55">G21+I21</f>
        <v>4200000</v>
      </c>
      <c r="L21" s="88">
        <f t="shared" ref="L21:L22" si="56">+F21*15000</f>
        <v>390000</v>
      </c>
      <c r="M21" s="39">
        <f t="shared" ref="M21:M22" si="57">K21+L21</f>
        <v>4590000</v>
      </c>
      <c r="N21" s="39">
        <f>IF(VLOOKUP(B21,DS,9,0)="x",'L - 3'!E21*$N$4,0)</f>
        <v>0</v>
      </c>
      <c r="O21" s="39">
        <f t="shared" ref="O21:O22" si="58">IF(VLOOKUP(B21,DS,9,0)="x",E21*0.015,0)</f>
        <v>0</v>
      </c>
      <c r="P21" s="39">
        <f t="shared" ref="P21:P22" si="59">IF(VLOOKUP(B21,DS,9,0)="x",E21*0.01,0)</f>
        <v>0</v>
      </c>
      <c r="Q21" s="38">
        <f t="shared" ref="Q21:Q22" si="60">M21-SUM(N21:P21)</f>
        <v>4590000</v>
      </c>
      <c r="R21" s="38">
        <f t="shared" ref="R21:R22" si="61">VLOOKUP(B21,DS,23,0)</f>
        <v>0</v>
      </c>
      <c r="S21" s="44">
        <f t="shared" ref="S21:S22" si="62">Q21-R21</f>
        <v>4590000</v>
      </c>
      <c r="T21" s="38"/>
      <c r="U21" s="102"/>
      <c r="V21" s="36"/>
      <c r="W21" s="27"/>
      <c r="X21" s="5"/>
      <c r="Y21" s="5"/>
      <c r="Z21" s="5"/>
      <c r="AA21" s="4"/>
      <c r="AB21" s="4"/>
      <c r="AC21" s="4"/>
      <c r="AD21" s="4"/>
      <c r="AE21" s="4"/>
    </row>
    <row r="22" spans="1:31" s="35" customFormat="1" ht="24" customHeight="1">
      <c r="A22" s="37">
        <v>7</v>
      </c>
      <c r="B22" s="139" t="s">
        <v>179</v>
      </c>
      <c r="C22" s="87" t="str">
        <f t="shared" si="49"/>
        <v>Nguyễn T Bích Thủy</v>
      </c>
      <c r="D22" s="114" t="str">
        <f t="shared" si="50"/>
        <v>Công Đoạn 2</v>
      </c>
      <c r="E22" s="88">
        <f t="shared" si="51"/>
        <v>4200000</v>
      </c>
      <c r="F22" s="90">
        <f>VLOOKUP(B22,'CC -3'!$B$8:$AS$29,36,0)</f>
        <v>26</v>
      </c>
      <c r="G22" s="143">
        <f t="shared" si="52"/>
        <v>4200000</v>
      </c>
      <c r="H22" s="90">
        <f>(VLOOKUP(B22,'CC -3'!$B$8:$AS$29,37,0)+VLOOKUP(B22,'CC -3'!$B$8:$AS$29,38,0))</f>
        <v>0</v>
      </c>
      <c r="I22" s="143">
        <f t="shared" si="53"/>
        <v>0</v>
      </c>
      <c r="J22" s="144">
        <f t="shared" si="54"/>
        <v>26</v>
      </c>
      <c r="K22" s="38">
        <f t="shared" si="55"/>
        <v>4200000</v>
      </c>
      <c r="L22" s="88">
        <f t="shared" si="56"/>
        <v>390000</v>
      </c>
      <c r="M22" s="39">
        <f t="shared" si="57"/>
        <v>4590000</v>
      </c>
      <c r="N22" s="39">
        <f>IF(VLOOKUP(B22,DS,9,0)="x",'L - 3'!E22*$N$4,0)</f>
        <v>0</v>
      </c>
      <c r="O22" s="39">
        <f t="shared" si="58"/>
        <v>0</v>
      </c>
      <c r="P22" s="39">
        <f t="shared" si="59"/>
        <v>0</v>
      </c>
      <c r="Q22" s="38">
        <f t="shared" si="60"/>
        <v>4590000</v>
      </c>
      <c r="R22" s="38">
        <f t="shared" si="61"/>
        <v>0</v>
      </c>
      <c r="S22" s="44">
        <f t="shared" si="62"/>
        <v>4590000</v>
      </c>
      <c r="T22" s="38"/>
      <c r="U22" s="102"/>
      <c r="V22" s="36"/>
      <c r="W22" s="27"/>
      <c r="X22" s="5"/>
      <c r="Y22" s="5"/>
      <c r="Z22" s="5"/>
      <c r="AA22" s="4"/>
      <c r="AB22" s="4"/>
      <c r="AC22" s="4"/>
      <c r="AD22" s="4"/>
      <c r="AE22" s="4"/>
    </row>
    <row r="23" spans="1:31" s="35" customFormat="1" ht="22.5" customHeight="1">
      <c r="A23" s="40"/>
      <c r="B23" s="183"/>
      <c r="C23" s="41"/>
      <c r="D23" s="3"/>
      <c r="E23" s="42"/>
      <c r="F23" s="42"/>
      <c r="G23" s="42"/>
      <c r="H23" s="42"/>
      <c r="I23" s="42"/>
      <c r="J23" s="43"/>
      <c r="K23" s="42"/>
      <c r="L23" s="42"/>
      <c r="M23" s="182"/>
      <c r="N23" s="42"/>
      <c r="O23" s="42"/>
      <c r="P23" s="42"/>
      <c r="Q23" s="42"/>
      <c r="R23" s="42"/>
      <c r="S23" s="42"/>
      <c r="T23" s="38"/>
      <c r="U23" s="102"/>
      <c r="V23" s="36"/>
      <c r="W23" s="36"/>
      <c r="X23" s="36"/>
      <c r="Y23" s="36"/>
      <c r="Z23" s="36"/>
    </row>
    <row r="24" spans="1:31" s="31" customFormat="1" ht="21" customHeight="1">
      <c r="A24" s="283" t="s">
        <v>25</v>
      </c>
      <c r="B24" s="283"/>
      <c r="C24" s="283"/>
      <c r="D24" s="283"/>
      <c r="E24" s="138">
        <f>SUM(E15:E23)</f>
        <v>31800000</v>
      </c>
      <c r="F24" s="138"/>
      <c r="G24" s="138">
        <f>SUM(G15:G23)</f>
        <v>31800000</v>
      </c>
      <c r="H24" s="138"/>
      <c r="I24" s="138">
        <f>SUM(I15:I23)</f>
        <v>0</v>
      </c>
      <c r="J24" s="138"/>
      <c r="K24" s="138">
        <f t="shared" ref="K24:S24" si="63">SUM(K15:K23)</f>
        <v>31800000</v>
      </c>
      <c r="L24" s="138">
        <f t="shared" si="63"/>
        <v>2730000</v>
      </c>
      <c r="M24" s="138">
        <f t="shared" si="63"/>
        <v>34530000</v>
      </c>
      <c r="N24" s="138">
        <f t="shared" si="63"/>
        <v>0</v>
      </c>
      <c r="O24" s="138">
        <f t="shared" si="63"/>
        <v>0</v>
      </c>
      <c r="P24" s="138">
        <f t="shared" si="63"/>
        <v>0</v>
      </c>
      <c r="Q24" s="138">
        <f t="shared" si="63"/>
        <v>34530000</v>
      </c>
      <c r="R24" s="138">
        <f t="shared" si="63"/>
        <v>0</v>
      </c>
      <c r="S24" s="138">
        <f t="shared" si="63"/>
        <v>34530000</v>
      </c>
      <c r="T24" s="25"/>
      <c r="U24" s="102"/>
      <c r="V24" s="32"/>
      <c r="W24" s="32"/>
      <c r="X24" s="32"/>
      <c r="Y24" s="32"/>
      <c r="Z24" s="32"/>
    </row>
    <row r="25" spans="1:31" ht="11.25" customHeight="1">
      <c r="A25" s="8"/>
      <c r="B25" s="8"/>
      <c r="C25" s="9"/>
      <c r="D25" s="115"/>
      <c r="E25" s="92"/>
      <c r="F25" s="9"/>
      <c r="G25" s="9"/>
      <c r="H25" s="9"/>
      <c r="I25" s="9"/>
      <c r="K25" s="9"/>
      <c r="L25" s="9"/>
      <c r="M25" s="100"/>
      <c r="N25" s="9"/>
      <c r="O25" s="9"/>
      <c r="P25" s="9"/>
      <c r="Q25" s="9"/>
      <c r="R25" s="9"/>
      <c r="S25" s="9"/>
      <c r="T25" s="9"/>
      <c r="U25" s="102"/>
    </row>
    <row r="26" spans="1:31" s="35" customFormat="1" ht="11.25" customHeight="1">
      <c r="A26" s="76"/>
      <c r="B26" s="76"/>
      <c r="C26" s="76"/>
      <c r="D26" s="131"/>
      <c r="E26" s="132"/>
      <c r="F26" s="76"/>
      <c r="G26" s="76"/>
      <c r="H26" s="76"/>
      <c r="I26" s="76"/>
      <c r="J26" s="133"/>
      <c r="K26" s="132"/>
      <c r="L26" s="76"/>
      <c r="M26" s="76"/>
      <c r="N26" s="76"/>
      <c r="O26" s="76"/>
      <c r="P26" s="76"/>
      <c r="Q26" s="76"/>
      <c r="R26" s="76"/>
      <c r="S26" s="106" t="str">
        <f>"Long An, ngày  "&amp;$V$2&amp;"   tháng   "&amp;TEXT(E4,"mm")&amp;"   năm "&amp;TEXT(E4,"yyyy")</f>
        <v>Long An, ngày  31   tháng   03   năm 2015</v>
      </c>
      <c r="T26" s="76"/>
      <c r="U26" s="134"/>
      <c r="V26" s="36"/>
      <c r="W26" s="36"/>
      <c r="X26" s="36"/>
      <c r="Y26" s="36"/>
      <c r="Z26" s="36"/>
    </row>
    <row r="27" spans="1:31" s="35" customFormat="1" ht="12.75">
      <c r="A27" s="28"/>
      <c r="B27" s="28"/>
      <c r="C27" s="28" t="s">
        <v>60</v>
      </c>
      <c r="D27" s="135"/>
      <c r="E27" s="77"/>
      <c r="F27" s="134"/>
      <c r="G27" s="77"/>
      <c r="H27" s="77"/>
      <c r="I27" s="77"/>
      <c r="J27" s="136"/>
      <c r="K27" s="36"/>
      <c r="L27" s="28"/>
      <c r="M27" s="145"/>
      <c r="N27" s="19"/>
      <c r="O27" s="19"/>
      <c r="P27" s="19"/>
      <c r="Q27" s="19"/>
      <c r="S27" s="134" t="s">
        <v>22</v>
      </c>
      <c r="T27" s="134"/>
      <c r="U27" s="134"/>
      <c r="V27" s="36"/>
      <c r="W27" s="36"/>
      <c r="X27" s="36"/>
      <c r="Y27" s="36"/>
      <c r="Z27" s="36"/>
    </row>
    <row r="28" spans="1:31" ht="12">
      <c r="A28" s="8"/>
      <c r="B28" s="8"/>
      <c r="C28" s="15"/>
      <c r="E28" s="13"/>
      <c r="F28" s="12"/>
      <c r="G28" s="13"/>
      <c r="H28" s="13"/>
      <c r="I28" s="13"/>
      <c r="K28" s="7"/>
      <c r="L28" s="15"/>
      <c r="N28" s="11"/>
      <c r="O28" s="11"/>
      <c r="P28" s="11"/>
      <c r="Q28" s="11"/>
      <c r="S28" s="11"/>
      <c r="T28" s="12"/>
      <c r="U28" s="102"/>
    </row>
    <row r="29" spans="1:31" ht="12">
      <c r="C29" s="15"/>
      <c r="L29" s="15"/>
      <c r="T29" s="15"/>
      <c r="U29" s="102"/>
    </row>
    <row r="30" spans="1:31" ht="12">
      <c r="U30" s="102"/>
    </row>
    <row r="31" spans="1:31" ht="12">
      <c r="U31" s="102"/>
    </row>
    <row r="32" spans="1:31" ht="12">
      <c r="U32" s="102"/>
    </row>
    <row r="33" spans="21:21" ht="12">
      <c r="U33" s="102"/>
    </row>
    <row r="34" spans="21:21" ht="12">
      <c r="U34" s="102"/>
    </row>
    <row r="35" spans="21:21" ht="12">
      <c r="U35" s="102"/>
    </row>
  </sheetData>
  <protectedRanges>
    <protectedRange password="CC78" sqref="V23:IK24 C5:D7 B27:C27 V5:W9 A23:A28 B23:B26 B28 V15:W15 Q5:T7 E5:I6 N5:P6 L5 L27 J6:K7 L7 A30:T63 U36:U63 N23:S23 V30:IK63 J23:L23 A64:IK65331 AF15:IK15 V14:IK14 D14:T14 D24:T24 Q10:S13 W10:W13 AF5:IK13 A10:B14" name="Range1"/>
    <protectedRange password="CC78" sqref="F7:H7" name="Range1_4"/>
    <protectedRange password="CC78" sqref="V27:IK28 S27:T28 N27:Q28 E27:I28" name="Range1_1_1"/>
    <protectedRange password="CC78" sqref="U1 W1:IK3 V4:IK4 B4:T4 R2:S3 B1:Q3 U23:U35 X15:AE15 U4:U15 X5:AE13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6:W22 Q16:S22 AF16:IK22 A16:B22" name="Range1_5"/>
    <protectedRange password="CC78" sqref="U16:U22 X16:AE22" name="Range1_2_3"/>
    <protectedRange password="CC78" sqref="V16:V22" name="Range1_1_3"/>
    <protectedRange password="CC78" sqref="K10:K13 K16:K22" name="Range1_6"/>
    <protectedRange password="CC78" sqref="A2:A3" name="Range1_2_1_3"/>
    <protectedRange password="CC78" sqref="U2" name="Range1_2_2_1_1"/>
  </protectedRanges>
  <autoFilter ref="A7:AE10"/>
  <mergeCells count="24">
    <mergeCell ref="A14:D14"/>
    <mergeCell ref="A24:D24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6"/>
  <sheetViews>
    <sheetView zoomScaleNormal="115" workbookViewId="0">
      <pane xSplit="3" ySplit="6" topLeftCell="D13" activePane="bottomRight" state="frozen"/>
      <selection activeCell="X10" sqref="X10"/>
      <selection pane="topRight" activeCell="X10" sqref="X10"/>
      <selection pane="bottomLeft" activeCell="X10" sqref="X10"/>
      <selection pane="bottomRight" activeCell="A16" sqref="A16:B2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7" customWidth="1"/>
    <col min="5" max="5" width="7.140625" style="2" customWidth="1"/>
    <col min="6" max="33" width="3.42578125" style="121" customWidth="1"/>
    <col min="34" max="35" width="3.42578125" style="122" customWidth="1"/>
    <col min="36" max="37" width="4.42578125" style="2" customWidth="1"/>
    <col min="38" max="38" width="5.5703125" style="98" customWidth="1"/>
    <col min="39" max="39" width="6.140625" style="2" customWidth="1"/>
    <col min="40" max="42" width="5" style="2" hidden="1" customWidth="1"/>
    <col min="43" max="43" width="5" style="2" customWidth="1"/>
    <col min="44" max="44" width="11.7109375" style="2" customWidth="1"/>
    <col min="45" max="45" width="9.85546875" style="2" customWidth="1"/>
    <col min="46" max="46" width="3.7109375" style="2" customWidth="1"/>
    <col min="47" max="47" width="8.5703125" style="2" customWidth="1"/>
    <col min="48" max="16384" width="3.7109375" style="2"/>
  </cols>
  <sheetData>
    <row r="1" spans="1:90" ht="37.5" customHeight="1">
      <c r="A1" s="137"/>
      <c r="B1" s="52"/>
      <c r="C1" s="52"/>
      <c r="D1" s="56"/>
      <c r="E1" s="52"/>
      <c r="F1" s="56"/>
      <c r="G1" s="56"/>
      <c r="H1" s="56"/>
      <c r="I1" s="56"/>
      <c r="J1" s="56"/>
      <c r="K1" s="117"/>
      <c r="L1" s="117"/>
      <c r="M1" s="117"/>
      <c r="N1" s="117"/>
      <c r="O1" s="117"/>
      <c r="P1" s="117"/>
      <c r="Q1" s="117"/>
      <c r="R1" s="117"/>
      <c r="S1" s="54" t="str">
        <f>CONCATENATE("BẢNG CHẤM CÔNG THÁNG ",TEXT($E$4,"mm")," NĂM ",TEXT($E$4,"yyyy"))</f>
        <v>BẢNG CHẤM CÔNG THÁNG 04 NĂM 2015</v>
      </c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53"/>
      <c r="AK1" s="53"/>
      <c r="AL1" s="242" t="s">
        <v>170</v>
      </c>
      <c r="AM1" s="243"/>
      <c r="AN1" s="243"/>
      <c r="AO1" s="243"/>
      <c r="AP1" s="243"/>
      <c r="AQ1" s="243"/>
      <c r="AR1" s="244"/>
      <c r="AS1" s="55"/>
    </row>
    <row r="2" spans="1:90" ht="20.25">
      <c r="A2" s="137"/>
      <c r="B2" s="56"/>
      <c r="C2" s="56"/>
      <c r="D2" s="56"/>
      <c r="E2" s="56"/>
      <c r="F2" s="56"/>
      <c r="G2" s="56"/>
      <c r="H2" s="56"/>
      <c r="I2" s="56"/>
      <c r="J2" s="56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53"/>
      <c r="AK2" s="53"/>
      <c r="AL2" s="94"/>
      <c r="AM2" s="57"/>
      <c r="AN2" s="57"/>
      <c r="AO2" s="57"/>
      <c r="AP2" s="57"/>
      <c r="AQ2" s="57"/>
      <c r="AR2" s="93"/>
      <c r="AS2" s="93"/>
    </row>
    <row r="3" spans="1:90" ht="21" customHeight="1">
      <c r="A3" s="137"/>
      <c r="B3" s="58"/>
      <c r="C3" s="58"/>
      <c r="D3" s="59"/>
      <c r="E3" s="59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53"/>
      <c r="AK3" s="53"/>
      <c r="AL3" s="94"/>
      <c r="AM3" s="55"/>
      <c r="AN3" s="55"/>
      <c r="AO3" s="55"/>
      <c r="AP3" s="55"/>
      <c r="AQ3" s="55"/>
      <c r="AR3" s="60"/>
      <c r="AS3" s="60"/>
    </row>
    <row r="4" spans="1:90" ht="14.25" customHeight="1">
      <c r="A4" s="61"/>
      <c r="B4" s="61"/>
      <c r="C4" s="154"/>
      <c r="D4" s="153"/>
      <c r="E4" s="62">
        <v>42095</v>
      </c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4"/>
      <c r="AI4" s="64"/>
      <c r="AJ4" s="61"/>
      <c r="AK4" s="61"/>
      <c r="AL4" s="95"/>
      <c r="AM4" s="61"/>
      <c r="AN4" s="61"/>
      <c r="AO4" s="61"/>
      <c r="AP4" s="61"/>
      <c r="AQ4" s="61"/>
      <c r="AR4" s="61"/>
      <c r="AS4" s="99"/>
    </row>
    <row r="5" spans="1:90" s="65" customFormat="1" ht="18.75" customHeight="1">
      <c r="A5" s="245" t="s">
        <v>28</v>
      </c>
      <c r="B5" s="245" t="s">
        <v>3</v>
      </c>
      <c r="C5" s="245" t="s">
        <v>1</v>
      </c>
      <c r="D5" s="247" t="s">
        <v>29</v>
      </c>
      <c r="E5" s="245" t="s">
        <v>30</v>
      </c>
      <c r="F5" s="116">
        <f>+E4</f>
        <v>42095</v>
      </c>
      <c r="G5" s="116">
        <f t="shared" ref="G5:AI5" si="0">F5+1</f>
        <v>42096</v>
      </c>
      <c r="H5" s="116">
        <f t="shared" si="0"/>
        <v>42097</v>
      </c>
      <c r="I5" s="116">
        <f t="shared" si="0"/>
        <v>42098</v>
      </c>
      <c r="J5" s="116">
        <f t="shared" si="0"/>
        <v>42099</v>
      </c>
      <c r="K5" s="116">
        <f t="shared" si="0"/>
        <v>42100</v>
      </c>
      <c r="L5" s="116">
        <f t="shared" si="0"/>
        <v>42101</v>
      </c>
      <c r="M5" s="116">
        <f t="shared" si="0"/>
        <v>42102</v>
      </c>
      <c r="N5" s="116">
        <f t="shared" si="0"/>
        <v>42103</v>
      </c>
      <c r="O5" s="116">
        <f t="shared" si="0"/>
        <v>42104</v>
      </c>
      <c r="P5" s="116">
        <f t="shared" si="0"/>
        <v>42105</v>
      </c>
      <c r="Q5" s="116">
        <f t="shared" si="0"/>
        <v>42106</v>
      </c>
      <c r="R5" s="116">
        <f t="shared" si="0"/>
        <v>42107</v>
      </c>
      <c r="S5" s="116">
        <f t="shared" si="0"/>
        <v>42108</v>
      </c>
      <c r="T5" s="116">
        <f t="shared" si="0"/>
        <v>42109</v>
      </c>
      <c r="U5" s="116">
        <f t="shared" si="0"/>
        <v>42110</v>
      </c>
      <c r="V5" s="116">
        <f t="shared" si="0"/>
        <v>42111</v>
      </c>
      <c r="W5" s="116">
        <f t="shared" si="0"/>
        <v>42112</v>
      </c>
      <c r="X5" s="116">
        <f t="shared" si="0"/>
        <v>42113</v>
      </c>
      <c r="Y5" s="116">
        <f t="shared" si="0"/>
        <v>42114</v>
      </c>
      <c r="Z5" s="116">
        <f t="shared" si="0"/>
        <v>42115</v>
      </c>
      <c r="AA5" s="116">
        <f t="shared" si="0"/>
        <v>42116</v>
      </c>
      <c r="AB5" s="116">
        <f t="shared" si="0"/>
        <v>42117</v>
      </c>
      <c r="AC5" s="116">
        <f t="shared" si="0"/>
        <v>42118</v>
      </c>
      <c r="AD5" s="116">
        <f t="shared" si="0"/>
        <v>42119</v>
      </c>
      <c r="AE5" s="116">
        <f t="shared" si="0"/>
        <v>42120</v>
      </c>
      <c r="AF5" s="116">
        <f t="shared" si="0"/>
        <v>42121</v>
      </c>
      <c r="AG5" s="116">
        <f t="shared" si="0"/>
        <v>42122</v>
      </c>
      <c r="AH5" s="116">
        <f>AG5+1</f>
        <v>42123</v>
      </c>
      <c r="AI5" s="116">
        <f t="shared" si="0"/>
        <v>42124</v>
      </c>
      <c r="AJ5" s="248" t="s">
        <v>15</v>
      </c>
      <c r="AK5" s="249"/>
      <c r="AL5" s="250"/>
      <c r="AM5" s="251" t="s">
        <v>45</v>
      </c>
      <c r="AN5" s="251" t="s">
        <v>41</v>
      </c>
      <c r="AO5" s="251" t="s">
        <v>42</v>
      </c>
      <c r="AP5" s="251" t="s">
        <v>43</v>
      </c>
      <c r="AQ5" s="251" t="s">
        <v>44</v>
      </c>
      <c r="AR5" s="247" t="s">
        <v>0</v>
      </c>
      <c r="AS5" s="261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</row>
    <row r="6" spans="1:90" s="65" customFormat="1" ht="39.75" customHeight="1">
      <c r="A6" s="246"/>
      <c r="B6" s="246"/>
      <c r="C6" s="246"/>
      <c r="D6" s="246"/>
      <c r="E6" s="246"/>
      <c r="F6" s="172" t="str">
        <f>CHOOSE(WEEKDAY(F5),"C.Nhật","T.Hai","T.Ba","T.Tư","T.Năm","T.Sáu","T.Bảy")</f>
        <v>T.Tư</v>
      </c>
      <c r="G6" s="172" t="str">
        <f t="shared" ref="G6:AI6" si="1">CHOOSE(WEEKDAY(G5),"C.Nhật","T.Hai","T.Ba","T.Tư","T.Năm","T.Sáu","T.Bảy")</f>
        <v>T.Năm</v>
      </c>
      <c r="H6" s="172" t="str">
        <f t="shared" si="1"/>
        <v>T.Sáu</v>
      </c>
      <c r="I6" s="172" t="str">
        <f t="shared" si="1"/>
        <v>T.Bảy</v>
      </c>
      <c r="J6" s="172" t="str">
        <f t="shared" si="1"/>
        <v>C.Nhật</v>
      </c>
      <c r="K6" s="172" t="str">
        <f t="shared" si="1"/>
        <v>T.Hai</v>
      </c>
      <c r="L6" s="172" t="str">
        <f t="shared" si="1"/>
        <v>T.Ba</v>
      </c>
      <c r="M6" s="172" t="str">
        <f t="shared" si="1"/>
        <v>T.Tư</v>
      </c>
      <c r="N6" s="172" t="str">
        <f t="shared" si="1"/>
        <v>T.Năm</v>
      </c>
      <c r="O6" s="172" t="str">
        <f t="shared" si="1"/>
        <v>T.Sáu</v>
      </c>
      <c r="P6" s="172" t="str">
        <f t="shared" si="1"/>
        <v>T.Bảy</v>
      </c>
      <c r="Q6" s="172" t="str">
        <f t="shared" si="1"/>
        <v>C.Nhật</v>
      </c>
      <c r="R6" s="172" t="str">
        <f t="shared" si="1"/>
        <v>T.Hai</v>
      </c>
      <c r="S6" s="172" t="str">
        <f t="shared" si="1"/>
        <v>T.Ba</v>
      </c>
      <c r="T6" s="172" t="str">
        <f t="shared" si="1"/>
        <v>T.Tư</v>
      </c>
      <c r="U6" s="172" t="str">
        <f t="shared" si="1"/>
        <v>T.Năm</v>
      </c>
      <c r="V6" s="172" t="str">
        <f t="shared" si="1"/>
        <v>T.Sáu</v>
      </c>
      <c r="W6" s="172" t="str">
        <f t="shared" si="1"/>
        <v>T.Bảy</v>
      </c>
      <c r="X6" s="172" t="str">
        <f t="shared" si="1"/>
        <v>C.Nhật</v>
      </c>
      <c r="Y6" s="172" t="str">
        <f t="shared" si="1"/>
        <v>T.Hai</v>
      </c>
      <c r="Z6" s="172" t="str">
        <f t="shared" si="1"/>
        <v>T.Ba</v>
      </c>
      <c r="AA6" s="172" t="str">
        <f t="shared" si="1"/>
        <v>T.Tư</v>
      </c>
      <c r="AB6" s="172" t="str">
        <f t="shared" si="1"/>
        <v>T.Năm</v>
      </c>
      <c r="AC6" s="172" t="str">
        <f t="shared" si="1"/>
        <v>T.Sáu</v>
      </c>
      <c r="AD6" s="172" t="str">
        <f t="shared" si="1"/>
        <v>T.Bảy</v>
      </c>
      <c r="AE6" s="172" t="str">
        <f t="shared" si="1"/>
        <v>C.Nhật</v>
      </c>
      <c r="AF6" s="172" t="str">
        <f t="shared" si="1"/>
        <v>T.Hai</v>
      </c>
      <c r="AG6" s="172" t="str">
        <f t="shared" si="1"/>
        <v>T.Ba</v>
      </c>
      <c r="AH6" s="172" t="str">
        <f t="shared" si="1"/>
        <v>T.Tư</v>
      </c>
      <c r="AI6" s="172" t="str">
        <f t="shared" si="1"/>
        <v>T.Năm</v>
      </c>
      <c r="AJ6" s="173" t="s">
        <v>16</v>
      </c>
      <c r="AK6" s="173" t="s">
        <v>31</v>
      </c>
      <c r="AL6" s="174" t="s">
        <v>17</v>
      </c>
      <c r="AM6" s="252"/>
      <c r="AN6" s="252"/>
      <c r="AO6" s="252"/>
      <c r="AP6" s="252"/>
      <c r="AQ6" s="252"/>
      <c r="AR6" s="246"/>
      <c r="AS6" s="261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</row>
    <row r="7" spans="1:90" s="65" customFormat="1" ht="12.75" customHeight="1">
      <c r="A7" s="175">
        <v>1</v>
      </c>
      <c r="B7" s="175">
        <v>1</v>
      </c>
      <c r="C7" s="175">
        <v>2</v>
      </c>
      <c r="D7" s="175">
        <v>3</v>
      </c>
      <c r="E7" s="175">
        <v>4</v>
      </c>
      <c r="F7" s="175">
        <v>5</v>
      </c>
      <c r="G7" s="175">
        <v>6</v>
      </c>
      <c r="H7" s="175">
        <v>7</v>
      </c>
      <c r="I7" s="175">
        <v>8</v>
      </c>
      <c r="J7" s="175">
        <v>9</v>
      </c>
      <c r="K7" s="175">
        <v>10</v>
      </c>
      <c r="L7" s="175">
        <v>11</v>
      </c>
      <c r="M7" s="175">
        <v>12</v>
      </c>
      <c r="N7" s="175">
        <v>13</v>
      </c>
      <c r="O7" s="175">
        <v>14</v>
      </c>
      <c r="P7" s="175">
        <v>15</v>
      </c>
      <c r="Q7" s="175">
        <v>16</v>
      </c>
      <c r="R7" s="175">
        <v>17</v>
      </c>
      <c r="S7" s="175">
        <v>18</v>
      </c>
      <c r="T7" s="175">
        <v>19</v>
      </c>
      <c r="U7" s="175">
        <v>20</v>
      </c>
      <c r="V7" s="175">
        <v>21</v>
      </c>
      <c r="W7" s="175">
        <v>22</v>
      </c>
      <c r="X7" s="175">
        <v>23</v>
      </c>
      <c r="Y7" s="175">
        <v>24</v>
      </c>
      <c r="Z7" s="175">
        <v>25</v>
      </c>
      <c r="AA7" s="175">
        <v>26</v>
      </c>
      <c r="AB7" s="175">
        <v>27</v>
      </c>
      <c r="AC7" s="175">
        <v>28</v>
      </c>
      <c r="AD7" s="175">
        <v>29</v>
      </c>
      <c r="AE7" s="175">
        <v>30</v>
      </c>
      <c r="AF7" s="175">
        <v>31</v>
      </c>
      <c r="AG7" s="175">
        <v>32</v>
      </c>
      <c r="AH7" s="175">
        <v>33</v>
      </c>
      <c r="AI7" s="175">
        <v>34</v>
      </c>
      <c r="AJ7" s="175">
        <v>36</v>
      </c>
      <c r="AK7" s="175">
        <v>37</v>
      </c>
      <c r="AL7" s="175">
        <v>38</v>
      </c>
      <c r="AM7" s="175">
        <v>39</v>
      </c>
      <c r="AN7" s="175">
        <v>40</v>
      </c>
      <c r="AO7" s="175">
        <v>41</v>
      </c>
      <c r="AP7" s="175">
        <v>42</v>
      </c>
      <c r="AQ7" s="175">
        <v>43</v>
      </c>
      <c r="AR7" s="175">
        <v>44</v>
      </c>
      <c r="AS7" s="219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</row>
    <row r="8" spans="1:90" s="178" customFormat="1" ht="21" customHeight="1">
      <c r="A8" s="176" t="s">
        <v>154</v>
      </c>
      <c r="B8" s="179" t="s">
        <v>169</v>
      </c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0"/>
      <c r="W8" s="180"/>
      <c r="X8" s="180"/>
      <c r="Y8" s="180"/>
      <c r="Z8" s="180"/>
      <c r="AA8" s="180"/>
      <c r="AB8" s="180"/>
      <c r="AC8" s="180"/>
      <c r="AD8" s="180"/>
      <c r="AE8" s="180"/>
      <c r="AF8" s="180"/>
      <c r="AG8" s="180"/>
      <c r="AH8" s="180"/>
      <c r="AI8" s="180"/>
      <c r="AJ8" s="180"/>
      <c r="AK8" s="180"/>
      <c r="AL8" s="180"/>
      <c r="AM8" s="180"/>
      <c r="AN8" s="180"/>
      <c r="AO8" s="180"/>
      <c r="AP8" s="180"/>
      <c r="AQ8" s="180"/>
      <c r="AR8" s="181"/>
      <c r="AS8" s="177"/>
    </row>
    <row r="9" spans="1:90" s="65" customFormat="1" ht="18" customHeight="1">
      <c r="A9" s="253">
        <v>1</v>
      </c>
      <c r="B9" s="253" t="s">
        <v>159</v>
      </c>
      <c r="C9" s="255" t="str">
        <f>VLOOKUP(B9,DS,2,0)</f>
        <v>Nguyễn Thị Thu Sương</v>
      </c>
      <c r="D9" s="257" t="str">
        <f>VLOOKUP(B9,DS,3,0)</f>
        <v>Kinh Doanh</v>
      </c>
      <c r="E9" s="66" t="s">
        <v>32</v>
      </c>
      <c r="F9" s="141">
        <v>8</v>
      </c>
      <c r="G9" s="141">
        <v>8</v>
      </c>
      <c r="H9" s="141">
        <v>8</v>
      </c>
      <c r="I9" s="141">
        <v>8</v>
      </c>
      <c r="J9" s="141"/>
      <c r="K9" s="141">
        <v>8</v>
      </c>
      <c r="L9" s="141">
        <v>8</v>
      </c>
      <c r="M9" s="141">
        <v>8</v>
      </c>
      <c r="N9" s="141">
        <v>8</v>
      </c>
      <c r="O9" s="141">
        <v>8</v>
      </c>
      <c r="P9" s="141">
        <v>8</v>
      </c>
      <c r="Q9" s="141"/>
      <c r="R9" s="141">
        <v>8</v>
      </c>
      <c r="S9" s="141">
        <v>8</v>
      </c>
      <c r="T9" s="141">
        <v>8</v>
      </c>
      <c r="U9" s="141">
        <v>8</v>
      </c>
      <c r="V9" s="141">
        <v>8</v>
      </c>
      <c r="W9" s="141">
        <v>8</v>
      </c>
      <c r="X9" s="141"/>
      <c r="Y9" s="141">
        <v>8</v>
      </c>
      <c r="Z9" s="141">
        <v>8</v>
      </c>
      <c r="AA9" s="141">
        <v>8</v>
      </c>
      <c r="AB9" s="141">
        <v>8</v>
      </c>
      <c r="AC9" s="141">
        <v>8</v>
      </c>
      <c r="AD9" s="141">
        <v>8</v>
      </c>
      <c r="AE9" s="141"/>
      <c r="AF9" s="141">
        <v>8</v>
      </c>
      <c r="AG9" s="141">
        <v>8</v>
      </c>
      <c r="AH9" s="141">
        <v>8</v>
      </c>
      <c r="AI9" s="141"/>
      <c r="AJ9" s="259">
        <f>((SUM(F9:AI9))/8)-(SUMIF($F$6:$AI$6,"C.Nhật",F9:AI9)/8)</f>
        <v>25</v>
      </c>
      <c r="AK9" s="259">
        <f>SUM(F10:AI10)/8*1.5</f>
        <v>0</v>
      </c>
      <c r="AL9" s="262">
        <f>SUMIF($F$6:$AI$6,"C.Nhật",$F9:$AI10)/8*2</f>
        <v>0</v>
      </c>
      <c r="AM9" s="264">
        <f>SUM(AJ9:AL10)</f>
        <v>25</v>
      </c>
      <c r="AN9" s="266">
        <v>0</v>
      </c>
      <c r="AO9" s="264"/>
      <c r="AP9" s="264"/>
      <c r="AQ9" s="264"/>
      <c r="AR9" s="268"/>
      <c r="AS9" s="219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</row>
    <row r="10" spans="1:90" s="65" customFormat="1" ht="18" customHeight="1">
      <c r="A10" s="254"/>
      <c r="B10" s="254"/>
      <c r="C10" s="256"/>
      <c r="D10" s="258"/>
      <c r="E10" s="67" t="s">
        <v>31</v>
      </c>
      <c r="F10" s="142"/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J10" s="260"/>
      <c r="AK10" s="260"/>
      <c r="AL10" s="263"/>
      <c r="AM10" s="265"/>
      <c r="AN10" s="267"/>
      <c r="AO10" s="265"/>
      <c r="AP10" s="265"/>
      <c r="AQ10" s="265"/>
      <c r="AR10" s="269"/>
      <c r="AS10" s="219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</row>
    <row r="11" spans="1:90" s="65" customFormat="1" ht="18" customHeight="1">
      <c r="A11" s="253">
        <v>2</v>
      </c>
      <c r="B11" s="253" t="s">
        <v>160</v>
      </c>
      <c r="C11" s="255" t="str">
        <f>VLOOKUP(B11,DS,2,0)</f>
        <v>Trần Anh Nhựt</v>
      </c>
      <c r="D11" s="257" t="str">
        <f>VLOOKUP(B11,DS,3,0)</f>
        <v>Thiết Kế</v>
      </c>
      <c r="E11" s="66" t="s">
        <v>32</v>
      </c>
      <c r="F11" s="141">
        <v>8</v>
      </c>
      <c r="G11" s="141">
        <v>8</v>
      </c>
      <c r="H11" s="141">
        <v>8</v>
      </c>
      <c r="I11" s="141">
        <v>8</v>
      </c>
      <c r="J11" s="141"/>
      <c r="K11" s="141">
        <v>8</v>
      </c>
      <c r="L11" s="141">
        <v>8</v>
      </c>
      <c r="M11" s="141">
        <v>8</v>
      </c>
      <c r="N11" s="141">
        <v>8</v>
      </c>
      <c r="O11" s="141">
        <v>8</v>
      </c>
      <c r="P11" s="141">
        <v>8</v>
      </c>
      <c r="Q11" s="141"/>
      <c r="R11" s="141">
        <v>8</v>
      </c>
      <c r="S11" s="141">
        <v>8</v>
      </c>
      <c r="T11" s="141">
        <v>8</v>
      </c>
      <c r="U11" s="141">
        <v>8</v>
      </c>
      <c r="V11" s="141">
        <v>8</v>
      </c>
      <c r="W11" s="141">
        <v>8</v>
      </c>
      <c r="X11" s="141"/>
      <c r="Y11" s="141">
        <v>8</v>
      </c>
      <c r="Z11" s="141">
        <v>8</v>
      </c>
      <c r="AA11" s="141">
        <v>8</v>
      </c>
      <c r="AB11" s="141">
        <v>8</v>
      </c>
      <c r="AC11" s="141">
        <v>8</v>
      </c>
      <c r="AD11" s="141">
        <v>8</v>
      </c>
      <c r="AE11" s="141"/>
      <c r="AF11" s="141">
        <v>8</v>
      </c>
      <c r="AG11" s="141">
        <v>8</v>
      </c>
      <c r="AH11" s="141">
        <v>8</v>
      </c>
      <c r="AI11" s="141"/>
      <c r="AJ11" s="259">
        <f>((SUM(F11:AI11))/8)-(SUMIF($F$6:$AI$6,"C.Nhật",F11:AI11)/8)</f>
        <v>25</v>
      </c>
      <c r="AK11" s="259">
        <f>SUM(F12:AI12)/8*1.5</f>
        <v>0</v>
      </c>
      <c r="AL11" s="262">
        <f>SUMIF($F$6:$AI$6,"C.Nhật",$F11:$AI12)/8*2</f>
        <v>0</v>
      </c>
      <c r="AM11" s="264">
        <f t="shared" ref="AM11" si="2">SUM(AJ11:AL12)</f>
        <v>25</v>
      </c>
      <c r="AN11" s="266">
        <v>0</v>
      </c>
      <c r="AO11" s="264"/>
      <c r="AP11" s="264"/>
      <c r="AQ11" s="264"/>
      <c r="AR11" s="268"/>
      <c r="AS11" s="227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</row>
    <row r="12" spans="1:90" s="65" customFormat="1" ht="18" customHeight="1">
      <c r="A12" s="254"/>
      <c r="B12" s="254"/>
      <c r="C12" s="256"/>
      <c r="D12" s="258"/>
      <c r="E12" s="67" t="s">
        <v>31</v>
      </c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260"/>
      <c r="AK12" s="260"/>
      <c r="AL12" s="263"/>
      <c r="AM12" s="265"/>
      <c r="AN12" s="267"/>
      <c r="AO12" s="265"/>
      <c r="AP12" s="265"/>
      <c r="AQ12" s="265"/>
      <c r="AR12" s="269"/>
      <c r="AS12" s="227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0" s="65" customFormat="1" ht="18" customHeight="1">
      <c r="A13" s="253">
        <v>3</v>
      </c>
      <c r="B13" s="253" t="s">
        <v>168</v>
      </c>
      <c r="C13" s="255" t="str">
        <f>VLOOKUP(B13,DS,2,0)</f>
        <v>Huỳnh Minh Toàn</v>
      </c>
      <c r="D13" s="257" t="str">
        <f>VLOOKUP(B13,DS,3,0)</f>
        <v>Thủ Kho</v>
      </c>
      <c r="E13" s="66" t="s">
        <v>32</v>
      </c>
      <c r="F13" s="141">
        <v>8</v>
      </c>
      <c r="G13" s="141">
        <v>8</v>
      </c>
      <c r="H13" s="141">
        <v>8</v>
      </c>
      <c r="I13" s="141">
        <v>8</v>
      </c>
      <c r="J13" s="141"/>
      <c r="K13" s="141">
        <v>8</v>
      </c>
      <c r="L13" s="141">
        <v>8</v>
      </c>
      <c r="M13" s="141">
        <v>8</v>
      </c>
      <c r="N13" s="141">
        <v>8</v>
      </c>
      <c r="O13" s="141">
        <v>8</v>
      </c>
      <c r="P13" s="141">
        <v>8</v>
      </c>
      <c r="Q13" s="141"/>
      <c r="R13" s="141">
        <v>8</v>
      </c>
      <c r="S13" s="141">
        <v>8</v>
      </c>
      <c r="T13" s="141">
        <v>8</v>
      </c>
      <c r="U13" s="141">
        <v>8</v>
      </c>
      <c r="V13" s="141">
        <v>8</v>
      </c>
      <c r="W13" s="141">
        <v>8</v>
      </c>
      <c r="X13" s="141"/>
      <c r="Y13" s="141">
        <v>8</v>
      </c>
      <c r="Z13" s="141">
        <v>8</v>
      </c>
      <c r="AA13" s="141">
        <v>8</v>
      </c>
      <c r="AB13" s="141">
        <v>8</v>
      </c>
      <c r="AC13" s="141">
        <v>8</v>
      </c>
      <c r="AD13" s="141">
        <v>8</v>
      </c>
      <c r="AE13" s="141"/>
      <c r="AF13" s="141">
        <v>8</v>
      </c>
      <c r="AG13" s="141">
        <v>8</v>
      </c>
      <c r="AH13" s="141">
        <v>8</v>
      </c>
      <c r="AI13" s="141"/>
      <c r="AJ13" s="259">
        <f>((SUM(F13:AI13))/8)-(SUMIF($F$6:$AI$6,"C.Nhật",F13:AI13)/8)</f>
        <v>25</v>
      </c>
      <c r="AK13" s="259">
        <f>SUM(F14:AI14)/8*1.5</f>
        <v>0</v>
      </c>
      <c r="AL13" s="262">
        <f>SUMIF($F$6:$AI$6,"C.Nhật",$F13:$AI14)/8*2</f>
        <v>0</v>
      </c>
      <c r="AM13" s="264">
        <f t="shared" ref="AM13" si="3">SUM(AJ13:AL14)</f>
        <v>25</v>
      </c>
      <c r="AN13" s="266">
        <v>0</v>
      </c>
      <c r="AO13" s="264"/>
      <c r="AP13" s="264"/>
      <c r="AQ13" s="264"/>
      <c r="AR13" s="268"/>
      <c r="AS13" s="219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0" s="65" customFormat="1" ht="18" customHeight="1">
      <c r="A14" s="254"/>
      <c r="B14" s="254"/>
      <c r="C14" s="256"/>
      <c r="D14" s="258"/>
      <c r="E14" s="67" t="s">
        <v>31</v>
      </c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260"/>
      <c r="AK14" s="260"/>
      <c r="AL14" s="263"/>
      <c r="AM14" s="265"/>
      <c r="AN14" s="267"/>
      <c r="AO14" s="265"/>
      <c r="AP14" s="265"/>
      <c r="AQ14" s="265"/>
      <c r="AR14" s="269"/>
      <c r="AS14" s="219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0" s="178" customFormat="1" ht="21" customHeight="1">
      <c r="A15" s="176" t="s">
        <v>155</v>
      </c>
      <c r="B15" s="179" t="s">
        <v>158</v>
      </c>
      <c r="C15" s="180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0"/>
      <c r="U15" s="180"/>
      <c r="V15" s="180"/>
      <c r="W15" s="180"/>
      <c r="X15" s="180"/>
      <c r="Y15" s="180"/>
      <c r="Z15" s="180"/>
      <c r="AA15" s="180"/>
      <c r="AB15" s="180"/>
      <c r="AC15" s="180"/>
      <c r="AD15" s="180"/>
      <c r="AE15" s="180"/>
      <c r="AF15" s="180"/>
      <c r="AG15" s="180"/>
      <c r="AH15" s="180"/>
      <c r="AI15" s="180"/>
      <c r="AJ15" s="180"/>
      <c r="AK15" s="180"/>
      <c r="AL15" s="180"/>
      <c r="AM15" s="180"/>
      <c r="AN15" s="180"/>
      <c r="AO15" s="180"/>
      <c r="AP15" s="180"/>
      <c r="AQ15" s="180"/>
      <c r="AR15" s="181"/>
      <c r="AS15" s="177"/>
    </row>
    <row r="16" spans="1:90" s="65" customFormat="1" ht="18" customHeight="1">
      <c r="A16" s="253">
        <v>1</v>
      </c>
      <c r="B16" s="253" t="s">
        <v>161</v>
      </c>
      <c r="C16" s="255" t="str">
        <f>VLOOKUP(B16,DS,2,0)</f>
        <v>Nguyễn Trường Giang</v>
      </c>
      <c r="D16" s="257" t="str">
        <f>VLOOKUP(B16,DS,3,0)</f>
        <v>Thợ in</v>
      </c>
      <c r="E16" s="66" t="s">
        <v>32</v>
      </c>
      <c r="F16" s="141">
        <v>8</v>
      </c>
      <c r="G16" s="141">
        <v>8</v>
      </c>
      <c r="H16" s="141">
        <v>8</v>
      </c>
      <c r="I16" s="141">
        <v>8</v>
      </c>
      <c r="J16" s="141"/>
      <c r="K16" s="141">
        <v>8</v>
      </c>
      <c r="L16" s="141">
        <v>8</v>
      </c>
      <c r="M16" s="141">
        <v>8</v>
      </c>
      <c r="N16" s="141">
        <v>8</v>
      </c>
      <c r="O16" s="141">
        <v>8</v>
      </c>
      <c r="P16" s="141">
        <v>8</v>
      </c>
      <c r="Q16" s="141"/>
      <c r="R16" s="141">
        <v>8</v>
      </c>
      <c r="S16" s="141">
        <v>8</v>
      </c>
      <c r="T16" s="141">
        <v>8</v>
      </c>
      <c r="U16" s="141">
        <v>8</v>
      </c>
      <c r="V16" s="141">
        <v>8</v>
      </c>
      <c r="W16" s="141">
        <v>8</v>
      </c>
      <c r="X16" s="141"/>
      <c r="Y16" s="141">
        <v>8</v>
      </c>
      <c r="Z16" s="141">
        <v>8</v>
      </c>
      <c r="AA16" s="141">
        <v>8</v>
      </c>
      <c r="AB16" s="141">
        <v>8</v>
      </c>
      <c r="AC16" s="141">
        <v>8</v>
      </c>
      <c r="AD16" s="141">
        <v>8</v>
      </c>
      <c r="AE16" s="141"/>
      <c r="AF16" s="141">
        <v>8</v>
      </c>
      <c r="AG16" s="141">
        <v>8</v>
      </c>
      <c r="AH16" s="141">
        <v>8</v>
      </c>
      <c r="AI16" s="141"/>
      <c r="AJ16" s="259">
        <f>((SUM(F16:AI16))/8)-(SUMIF($F$6:$AI$6,"C.Nhật",F16:AI16)/8)</f>
        <v>25</v>
      </c>
      <c r="AK16" s="259">
        <f>SUM(F17:AI17)/8*1.5</f>
        <v>0</v>
      </c>
      <c r="AL16" s="262">
        <f>SUMIF($F$6:$AI$6,"C.Nhật",$F16:$AI17)/8*2</f>
        <v>0</v>
      </c>
      <c r="AM16" s="264">
        <f>SUM(AJ16:AL17)</f>
        <v>25</v>
      </c>
      <c r="AN16" s="266">
        <v>0</v>
      </c>
      <c r="AO16" s="264"/>
      <c r="AP16" s="264"/>
      <c r="AQ16" s="264"/>
      <c r="AR16" s="268"/>
      <c r="AS16" s="219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</row>
    <row r="17" spans="1:89" s="65" customFormat="1" ht="18" customHeight="1">
      <c r="A17" s="254"/>
      <c r="B17" s="254"/>
      <c r="C17" s="256"/>
      <c r="D17" s="258"/>
      <c r="E17" s="67" t="s">
        <v>31</v>
      </c>
      <c r="F17" s="142"/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  <c r="AA17" s="142"/>
      <c r="AB17" s="142"/>
      <c r="AC17" s="142"/>
      <c r="AD17" s="142"/>
      <c r="AE17" s="142"/>
      <c r="AF17" s="142"/>
      <c r="AG17" s="142"/>
      <c r="AH17" s="142"/>
      <c r="AI17" s="142"/>
      <c r="AJ17" s="260"/>
      <c r="AK17" s="260"/>
      <c r="AL17" s="263"/>
      <c r="AM17" s="265"/>
      <c r="AN17" s="267"/>
      <c r="AO17" s="265"/>
      <c r="AP17" s="265"/>
      <c r="AQ17" s="265"/>
      <c r="AR17" s="269"/>
      <c r="AS17" s="219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</row>
    <row r="18" spans="1:89" s="65" customFormat="1" ht="18" customHeight="1">
      <c r="A18" s="253">
        <v>2</v>
      </c>
      <c r="B18" s="253" t="s">
        <v>162</v>
      </c>
      <c r="C18" s="255" t="str">
        <f>VLOOKUP(B18,DS,2,0)</f>
        <v>Võ Văn Kiệt</v>
      </c>
      <c r="D18" s="257" t="str">
        <f>VLOOKUP(B18,DS,3,0)</f>
        <v>Công Đoạn 1</v>
      </c>
      <c r="E18" s="66" t="s">
        <v>32</v>
      </c>
      <c r="F18" s="141">
        <v>8</v>
      </c>
      <c r="G18" s="141">
        <v>8</v>
      </c>
      <c r="H18" s="141">
        <v>8</v>
      </c>
      <c r="I18" s="141">
        <v>8</v>
      </c>
      <c r="J18" s="141"/>
      <c r="K18" s="141">
        <v>8</v>
      </c>
      <c r="L18" s="141">
        <v>8</v>
      </c>
      <c r="M18" s="141">
        <v>8</v>
      </c>
      <c r="N18" s="141">
        <v>8</v>
      </c>
      <c r="O18" s="141">
        <v>8</v>
      </c>
      <c r="P18" s="141">
        <v>8</v>
      </c>
      <c r="Q18" s="141"/>
      <c r="R18" s="141">
        <v>8</v>
      </c>
      <c r="S18" s="141">
        <v>8</v>
      </c>
      <c r="T18" s="141">
        <v>8</v>
      </c>
      <c r="U18" s="141">
        <v>8</v>
      </c>
      <c r="V18" s="141">
        <v>8</v>
      </c>
      <c r="W18" s="141">
        <v>8</v>
      </c>
      <c r="X18" s="141"/>
      <c r="Y18" s="141">
        <v>8</v>
      </c>
      <c r="Z18" s="141">
        <v>8</v>
      </c>
      <c r="AA18" s="141">
        <v>8</v>
      </c>
      <c r="AB18" s="141">
        <v>8</v>
      </c>
      <c r="AC18" s="141">
        <v>8</v>
      </c>
      <c r="AD18" s="141">
        <v>8</v>
      </c>
      <c r="AE18" s="141"/>
      <c r="AF18" s="141">
        <v>8</v>
      </c>
      <c r="AG18" s="141">
        <v>8</v>
      </c>
      <c r="AH18" s="141">
        <v>8</v>
      </c>
      <c r="AI18" s="141"/>
      <c r="AJ18" s="259">
        <f>((SUM(F18:AI18))/8)-(SUMIF($F$6:$AI$6,"C.Nhật",F18:AI18)/8)</f>
        <v>25</v>
      </c>
      <c r="AK18" s="259">
        <f>SUM(F19:AI19)/8*1.5</f>
        <v>0</v>
      </c>
      <c r="AL18" s="262">
        <f>SUMIF($F$6:$AI$6,"C.Nhật",$F18:$AI19)/8*2</f>
        <v>0</v>
      </c>
      <c r="AM18" s="264">
        <f t="shared" ref="AM18" si="4">SUM(AJ18:AL19)</f>
        <v>25</v>
      </c>
      <c r="AN18" s="266">
        <v>0</v>
      </c>
      <c r="AO18" s="264"/>
      <c r="AP18" s="264"/>
      <c r="AQ18" s="264"/>
      <c r="AR18" s="268"/>
      <c r="AS18" s="227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</row>
    <row r="19" spans="1:89" s="65" customFormat="1" ht="18" customHeight="1">
      <c r="A19" s="254"/>
      <c r="B19" s="254"/>
      <c r="C19" s="256"/>
      <c r="D19" s="258"/>
      <c r="E19" s="67" t="s">
        <v>31</v>
      </c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  <c r="Y19" s="142"/>
      <c r="Z19" s="142"/>
      <c r="AA19" s="142"/>
      <c r="AB19" s="142"/>
      <c r="AC19" s="142"/>
      <c r="AD19" s="142"/>
      <c r="AE19" s="142"/>
      <c r="AF19" s="142"/>
      <c r="AG19" s="142"/>
      <c r="AH19" s="142"/>
      <c r="AI19" s="142"/>
      <c r="AJ19" s="260"/>
      <c r="AK19" s="260"/>
      <c r="AL19" s="263"/>
      <c r="AM19" s="265"/>
      <c r="AN19" s="267"/>
      <c r="AO19" s="265"/>
      <c r="AP19" s="265"/>
      <c r="AQ19" s="265"/>
      <c r="AR19" s="269"/>
      <c r="AS19" s="227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</row>
    <row r="20" spans="1:89" s="65" customFormat="1" ht="18" customHeight="1">
      <c r="A20" s="253">
        <v>3</v>
      </c>
      <c r="B20" s="253" t="s">
        <v>163</v>
      </c>
      <c r="C20" s="255" t="str">
        <f>VLOOKUP(B20,DS,2,0)</f>
        <v>Diệp Văn Lân</v>
      </c>
      <c r="D20" s="257" t="str">
        <f>VLOOKUP(B20,DS,3,0)</f>
        <v>Công Đoạn 1</v>
      </c>
      <c r="E20" s="66" t="s">
        <v>32</v>
      </c>
      <c r="F20" s="141">
        <v>8</v>
      </c>
      <c r="G20" s="141">
        <v>8</v>
      </c>
      <c r="H20" s="141">
        <v>8</v>
      </c>
      <c r="I20" s="141">
        <v>8</v>
      </c>
      <c r="J20" s="141"/>
      <c r="K20" s="141">
        <v>8</v>
      </c>
      <c r="L20" s="141">
        <v>8</v>
      </c>
      <c r="M20" s="141">
        <v>8</v>
      </c>
      <c r="N20" s="141">
        <v>8</v>
      </c>
      <c r="O20" s="141">
        <v>8</v>
      </c>
      <c r="P20" s="141">
        <v>8</v>
      </c>
      <c r="Q20" s="141"/>
      <c r="R20" s="141">
        <v>8</v>
      </c>
      <c r="S20" s="141">
        <v>8</v>
      </c>
      <c r="T20" s="141">
        <v>8</v>
      </c>
      <c r="U20" s="141">
        <v>8</v>
      </c>
      <c r="V20" s="141">
        <v>8</v>
      </c>
      <c r="W20" s="141">
        <v>8</v>
      </c>
      <c r="X20" s="141"/>
      <c r="Y20" s="141">
        <v>8</v>
      </c>
      <c r="Z20" s="141">
        <v>8</v>
      </c>
      <c r="AA20" s="141">
        <v>8</v>
      </c>
      <c r="AB20" s="141">
        <v>8</v>
      </c>
      <c r="AC20" s="141">
        <v>8</v>
      </c>
      <c r="AD20" s="141">
        <v>8</v>
      </c>
      <c r="AE20" s="141"/>
      <c r="AF20" s="141">
        <v>8</v>
      </c>
      <c r="AG20" s="141">
        <v>8</v>
      </c>
      <c r="AH20" s="141">
        <v>8</v>
      </c>
      <c r="AI20" s="141"/>
      <c r="AJ20" s="259">
        <f>((SUM(F20:AI20))/8)-(SUMIF($F$6:$AI$6,"C.Nhật",F20:AI20)/8)</f>
        <v>25</v>
      </c>
      <c r="AK20" s="259">
        <f>SUM(F21:AI21)/8*1.5</f>
        <v>0</v>
      </c>
      <c r="AL20" s="262">
        <f>SUMIF($F$6:$AI$6,"C.Nhật",$F20:$AI21)/8*2</f>
        <v>0</v>
      </c>
      <c r="AM20" s="264">
        <f t="shared" ref="AM20" si="5">SUM(AJ20:AL21)</f>
        <v>25</v>
      </c>
      <c r="AN20" s="266">
        <v>0</v>
      </c>
      <c r="AO20" s="264"/>
      <c r="AP20" s="264"/>
      <c r="AQ20" s="264"/>
      <c r="AR20" s="268"/>
      <c r="AS20" s="227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</row>
    <row r="21" spans="1:89" s="65" customFormat="1" ht="18" customHeight="1">
      <c r="A21" s="254"/>
      <c r="B21" s="254"/>
      <c r="C21" s="256"/>
      <c r="D21" s="258"/>
      <c r="E21" s="67" t="s">
        <v>31</v>
      </c>
      <c r="F21" s="142"/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142"/>
      <c r="AA21" s="142"/>
      <c r="AB21" s="142"/>
      <c r="AC21" s="142"/>
      <c r="AD21" s="142"/>
      <c r="AE21" s="142"/>
      <c r="AF21" s="142"/>
      <c r="AG21" s="142"/>
      <c r="AH21" s="142"/>
      <c r="AI21" s="142"/>
      <c r="AJ21" s="260"/>
      <c r="AK21" s="260"/>
      <c r="AL21" s="263"/>
      <c r="AM21" s="265"/>
      <c r="AN21" s="267"/>
      <c r="AO21" s="265"/>
      <c r="AP21" s="265"/>
      <c r="AQ21" s="265"/>
      <c r="AR21" s="269"/>
      <c r="AS21" s="227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</row>
    <row r="22" spans="1:89" s="65" customFormat="1" ht="18" customHeight="1">
      <c r="A22" s="253">
        <v>4</v>
      </c>
      <c r="B22" s="253" t="s">
        <v>176</v>
      </c>
      <c r="C22" s="255" t="str">
        <f>VLOOKUP(B22,DS,2,0)</f>
        <v>Dương Thế Kiệt</v>
      </c>
      <c r="D22" s="257" t="str">
        <f>VLOOKUP(B22,DS,3,0)</f>
        <v>Công Đoạn 1</v>
      </c>
      <c r="E22" s="66" t="s">
        <v>32</v>
      </c>
      <c r="F22" s="141">
        <v>8</v>
      </c>
      <c r="G22" s="141">
        <v>8</v>
      </c>
      <c r="H22" s="141">
        <v>8</v>
      </c>
      <c r="I22" s="141">
        <v>8</v>
      </c>
      <c r="J22" s="141"/>
      <c r="K22" s="141">
        <v>8</v>
      </c>
      <c r="L22" s="141">
        <v>8</v>
      </c>
      <c r="M22" s="141">
        <v>8</v>
      </c>
      <c r="N22" s="141">
        <v>8</v>
      </c>
      <c r="O22" s="141">
        <v>8</v>
      </c>
      <c r="P22" s="141">
        <v>8</v>
      </c>
      <c r="Q22" s="141"/>
      <c r="R22" s="141">
        <v>8</v>
      </c>
      <c r="S22" s="141">
        <v>8</v>
      </c>
      <c r="T22" s="141">
        <v>8</v>
      </c>
      <c r="U22" s="141">
        <v>8</v>
      </c>
      <c r="V22" s="141">
        <v>8</v>
      </c>
      <c r="W22" s="141">
        <v>8</v>
      </c>
      <c r="X22" s="141"/>
      <c r="Y22" s="141">
        <v>8</v>
      </c>
      <c r="Z22" s="141">
        <v>8</v>
      </c>
      <c r="AA22" s="141">
        <v>8</v>
      </c>
      <c r="AB22" s="141">
        <v>8</v>
      </c>
      <c r="AC22" s="141">
        <v>8</v>
      </c>
      <c r="AD22" s="141">
        <v>8</v>
      </c>
      <c r="AE22" s="141"/>
      <c r="AF22" s="141">
        <v>8</v>
      </c>
      <c r="AG22" s="141">
        <v>8</v>
      </c>
      <c r="AH22" s="141">
        <v>8</v>
      </c>
      <c r="AI22" s="141"/>
      <c r="AJ22" s="259">
        <f>((SUM(F22:AI22))/8)-(SUMIF($F$6:$AI$6,"C.Nhật",F22:AI22)/8)</f>
        <v>25</v>
      </c>
      <c r="AK22" s="259">
        <f>SUM(F23:AI23)/8*1.5</f>
        <v>0</v>
      </c>
      <c r="AL22" s="262">
        <f>SUMIF($F$6:$AI$6,"C.Nhật",$F22:$AI23)/8*2</f>
        <v>0</v>
      </c>
      <c r="AM22" s="264">
        <f t="shared" ref="AM22" si="6">SUM(AJ22:AL23)</f>
        <v>25</v>
      </c>
      <c r="AN22" s="266">
        <v>0</v>
      </c>
      <c r="AO22" s="264"/>
      <c r="AP22" s="264"/>
      <c r="AQ22" s="264"/>
      <c r="AR22" s="268"/>
      <c r="AS22" s="227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</row>
    <row r="23" spans="1:89" s="65" customFormat="1" ht="18" customHeight="1">
      <c r="A23" s="254"/>
      <c r="B23" s="254"/>
      <c r="C23" s="256"/>
      <c r="D23" s="258"/>
      <c r="E23" s="67" t="s">
        <v>31</v>
      </c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  <c r="AA23" s="142"/>
      <c r="AB23" s="142"/>
      <c r="AC23" s="142"/>
      <c r="AD23" s="142"/>
      <c r="AE23" s="142"/>
      <c r="AF23" s="142"/>
      <c r="AG23" s="142"/>
      <c r="AH23" s="142"/>
      <c r="AI23" s="142"/>
      <c r="AJ23" s="260"/>
      <c r="AK23" s="260"/>
      <c r="AL23" s="263"/>
      <c r="AM23" s="265"/>
      <c r="AN23" s="267"/>
      <c r="AO23" s="265"/>
      <c r="AP23" s="265"/>
      <c r="AQ23" s="265"/>
      <c r="AR23" s="269"/>
      <c r="AS23" s="227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</row>
    <row r="24" spans="1:89" s="65" customFormat="1" ht="18" customHeight="1">
      <c r="A24" s="253">
        <v>5</v>
      </c>
      <c r="B24" s="253" t="s">
        <v>177</v>
      </c>
      <c r="C24" s="255" t="str">
        <f>VLOOKUP(B24,DS,2,0)</f>
        <v>Lê Văn Hữu</v>
      </c>
      <c r="D24" s="257" t="str">
        <f>VLOOKUP(B24,DS,3,0)</f>
        <v>Công Đoạn 2</v>
      </c>
      <c r="E24" s="66" t="s">
        <v>32</v>
      </c>
      <c r="F24" s="141">
        <v>8</v>
      </c>
      <c r="G24" s="141">
        <v>8</v>
      </c>
      <c r="H24" s="141">
        <v>8</v>
      </c>
      <c r="I24" s="141">
        <v>8</v>
      </c>
      <c r="J24" s="141"/>
      <c r="K24" s="141">
        <v>8</v>
      </c>
      <c r="L24" s="141">
        <v>8</v>
      </c>
      <c r="M24" s="141">
        <v>8</v>
      </c>
      <c r="N24" s="141">
        <v>8</v>
      </c>
      <c r="O24" s="141">
        <v>8</v>
      </c>
      <c r="P24" s="141">
        <v>8</v>
      </c>
      <c r="Q24" s="141"/>
      <c r="R24" s="141">
        <v>8</v>
      </c>
      <c r="S24" s="141">
        <v>8</v>
      </c>
      <c r="T24" s="141">
        <v>8</v>
      </c>
      <c r="U24" s="141">
        <v>8</v>
      </c>
      <c r="V24" s="141">
        <v>8</v>
      </c>
      <c r="W24" s="141">
        <v>8</v>
      </c>
      <c r="X24" s="141"/>
      <c r="Y24" s="141">
        <v>8</v>
      </c>
      <c r="Z24" s="141">
        <v>8</v>
      </c>
      <c r="AA24" s="141">
        <v>8</v>
      </c>
      <c r="AB24" s="141">
        <v>8</v>
      </c>
      <c r="AC24" s="141">
        <v>8</v>
      </c>
      <c r="AD24" s="141">
        <v>8</v>
      </c>
      <c r="AE24" s="141"/>
      <c r="AF24" s="141">
        <v>8</v>
      </c>
      <c r="AG24" s="141">
        <v>8</v>
      </c>
      <c r="AH24" s="141">
        <v>8</v>
      </c>
      <c r="AI24" s="141"/>
      <c r="AJ24" s="259">
        <f>((SUM(F24:AI24))/8)-(SUMIF($F$6:$AI$6,"C.Nhật",F24:AI24)/8)</f>
        <v>25</v>
      </c>
      <c r="AK24" s="259">
        <f>SUM(F25:AI25)/8*1.5</f>
        <v>0</v>
      </c>
      <c r="AL24" s="262">
        <f>SUMIF($F$6:$AI$6,"C.Nhật",$F24:$AI25)/8*2</f>
        <v>0</v>
      </c>
      <c r="AM24" s="264">
        <f t="shared" ref="AM24" si="7">SUM(AJ24:AL25)</f>
        <v>25</v>
      </c>
      <c r="AN24" s="266">
        <v>0</v>
      </c>
      <c r="AO24" s="264"/>
      <c r="AP24" s="264"/>
      <c r="AQ24" s="264"/>
      <c r="AR24" s="268"/>
      <c r="AS24" s="227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</row>
    <row r="25" spans="1:89" s="65" customFormat="1" ht="18" customHeight="1">
      <c r="A25" s="254"/>
      <c r="B25" s="254"/>
      <c r="C25" s="256"/>
      <c r="D25" s="258"/>
      <c r="E25" s="67" t="s">
        <v>31</v>
      </c>
      <c r="F25" s="142"/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  <c r="AA25" s="142"/>
      <c r="AB25" s="142"/>
      <c r="AC25" s="142"/>
      <c r="AD25" s="142"/>
      <c r="AE25" s="142"/>
      <c r="AF25" s="142"/>
      <c r="AG25" s="142"/>
      <c r="AH25" s="142"/>
      <c r="AI25" s="142"/>
      <c r="AJ25" s="260"/>
      <c r="AK25" s="260"/>
      <c r="AL25" s="263"/>
      <c r="AM25" s="265"/>
      <c r="AN25" s="267"/>
      <c r="AO25" s="265"/>
      <c r="AP25" s="265"/>
      <c r="AQ25" s="265"/>
      <c r="AR25" s="269"/>
      <c r="AS25" s="227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</row>
    <row r="26" spans="1:89" s="65" customFormat="1" ht="18" customHeight="1">
      <c r="A26" s="253">
        <v>6</v>
      </c>
      <c r="B26" s="253" t="s">
        <v>178</v>
      </c>
      <c r="C26" s="255" t="str">
        <f>VLOOKUP(B26,DS,2,0)</f>
        <v>Bùi Trường Giang</v>
      </c>
      <c r="D26" s="257" t="str">
        <f>VLOOKUP(B26,DS,3,0)</f>
        <v>Công Đoạn 2</v>
      </c>
      <c r="E26" s="66" t="s">
        <v>32</v>
      </c>
      <c r="F26" s="141">
        <v>8</v>
      </c>
      <c r="G26" s="141">
        <v>8</v>
      </c>
      <c r="H26" s="141">
        <v>8</v>
      </c>
      <c r="I26" s="141">
        <v>8</v>
      </c>
      <c r="J26" s="141"/>
      <c r="K26" s="141">
        <v>8</v>
      </c>
      <c r="L26" s="141">
        <v>8</v>
      </c>
      <c r="M26" s="141">
        <v>8</v>
      </c>
      <c r="N26" s="141">
        <v>8</v>
      </c>
      <c r="O26" s="141">
        <v>8</v>
      </c>
      <c r="P26" s="141">
        <v>8</v>
      </c>
      <c r="Q26" s="141"/>
      <c r="R26" s="141">
        <v>8</v>
      </c>
      <c r="S26" s="141">
        <v>8</v>
      </c>
      <c r="T26" s="141">
        <v>8</v>
      </c>
      <c r="U26" s="141">
        <v>8</v>
      </c>
      <c r="V26" s="141">
        <v>8</v>
      </c>
      <c r="W26" s="141">
        <v>8</v>
      </c>
      <c r="X26" s="141"/>
      <c r="Y26" s="141">
        <v>8</v>
      </c>
      <c r="Z26" s="141">
        <v>8</v>
      </c>
      <c r="AA26" s="141">
        <v>8</v>
      </c>
      <c r="AB26" s="141">
        <v>8</v>
      </c>
      <c r="AC26" s="141">
        <v>8</v>
      </c>
      <c r="AD26" s="141">
        <v>8</v>
      </c>
      <c r="AE26" s="141"/>
      <c r="AF26" s="141">
        <v>8</v>
      </c>
      <c r="AG26" s="141">
        <v>8</v>
      </c>
      <c r="AH26" s="141">
        <v>8</v>
      </c>
      <c r="AI26" s="141"/>
      <c r="AJ26" s="259">
        <f>((SUM(F26:AI26))/8)-(SUMIF($F$6:$AI$6,"C.Nhật",F26:AI26)/8)</f>
        <v>25</v>
      </c>
      <c r="AK26" s="259">
        <f>SUM(F27:AI27)/8*1.5</f>
        <v>0</v>
      </c>
      <c r="AL26" s="262">
        <f>SUMIF($F$6:$AI$6,"C.Nhật",$F26:$AI27)/8*2</f>
        <v>0</v>
      </c>
      <c r="AM26" s="264">
        <f t="shared" ref="AM26" si="8">SUM(AJ26:AL27)</f>
        <v>25</v>
      </c>
      <c r="AN26" s="266">
        <v>0</v>
      </c>
      <c r="AO26" s="264"/>
      <c r="AP26" s="264"/>
      <c r="AQ26" s="264"/>
      <c r="AR26" s="268"/>
      <c r="AS26" s="219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</row>
    <row r="27" spans="1:89" s="65" customFormat="1" ht="18" customHeight="1">
      <c r="A27" s="254"/>
      <c r="B27" s="254"/>
      <c r="C27" s="256"/>
      <c r="D27" s="258"/>
      <c r="E27" s="67" t="s">
        <v>31</v>
      </c>
      <c r="F27" s="142"/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142"/>
      <c r="Z27" s="142"/>
      <c r="AA27" s="142"/>
      <c r="AB27" s="142"/>
      <c r="AC27" s="142"/>
      <c r="AD27" s="142"/>
      <c r="AE27" s="142"/>
      <c r="AF27" s="142"/>
      <c r="AG27" s="142"/>
      <c r="AH27" s="142"/>
      <c r="AI27" s="142"/>
      <c r="AJ27" s="260"/>
      <c r="AK27" s="260"/>
      <c r="AL27" s="263"/>
      <c r="AM27" s="265"/>
      <c r="AN27" s="267"/>
      <c r="AO27" s="265"/>
      <c r="AP27" s="265"/>
      <c r="AQ27" s="265"/>
      <c r="AR27" s="269"/>
      <c r="AS27" s="219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</row>
    <row r="28" spans="1:89" s="65" customFormat="1" ht="18" customHeight="1">
      <c r="A28" s="253">
        <v>7</v>
      </c>
      <c r="B28" s="253" t="s">
        <v>179</v>
      </c>
      <c r="C28" s="255" t="str">
        <f>VLOOKUP(B28,DS,2,0)</f>
        <v>Nguyễn T Bích Thủy</v>
      </c>
      <c r="D28" s="257" t="str">
        <f>VLOOKUP(B28,DS,3,0)</f>
        <v>Công Đoạn 2</v>
      </c>
      <c r="E28" s="66" t="s">
        <v>32</v>
      </c>
      <c r="F28" s="141">
        <v>8</v>
      </c>
      <c r="G28" s="141">
        <v>8</v>
      </c>
      <c r="H28" s="141">
        <v>8</v>
      </c>
      <c r="I28" s="141">
        <v>8</v>
      </c>
      <c r="J28" s="141"/>
      <c r="K28" s="141">
        <v>8</v>
      </c>
      <c r="L28" s="141">
        <v>8</v>
      </c>
      <c r="M28" s="141">
        <v>8</v>
      </c>
      <c r="N28" s="141">
        <v>8</v>
      </c>
      <c r="O28" s="141">
        <v>8</v>
      </c>
      <c r="P28" s="141">
        <v>8</v>
      </c>
      <c r="Q28" s="141"/>
      <c r="R28" s="141">
        <v>8</v>
      </c>
      <c r="S28" s="141">
        <v>8</v>
      </c>
      <c r="T28" s="141">
        <v>8</v>
      </c>
      <c r="U28" s="141">
        <v>8</v>
      </c>
      <c r="V28" s="141">
        <v>8</v>
      </c>
      <c r="W28" s="141">
        <v>8</v>
      </c>
      <c r="X28" s="141"/>
      <c r="Y28" s="141">
        <v>8</v>
      </c>
      <c r="Z28" s="141">
        <v>8</v>
      </c>
      <c r="AA28" s="141">
        <v>8</v>
      </c>
      <c r="AB28" s="141">
        <v>8</v>
      </c>
      <c r="AC28" s="141">
        <v>8</v>
      </c>
      <c r="AD28" s="141">
        <v>8</v>
      </c>
      <c r="AE28" s="141"/>
      <c r="AF28" s="141">
        <v>8</v>
      </c>
      <c r="AG28" s="141">
        <v>8</v>
      </c>
      <c r="AH28" s="141">
        <v>8</v>
      </c>
      <c r="AI28" s="141"/>
      <c r="AJ28" s="259">
        <f>((SUM(F28:AI28))/8)-(SUMIF($F$6:$AI$6,"C.Nhật",F28:AI28)/8)</f>
        <v>25</v>
      </c>
      <c r="AK28" s="259">
        <f>SUM(F29:AI29)/8*1.5</f>
        <v>0</v>
      </c>
      <c r="AL28" s="262">
        <f>SUMIF($F$6:$AI$6,"C.Nhật",$F28:$AI29)/8*2</f>
        <v>0</v>
      </c>
      <c r="AM28" s="264">
        <f t="shared" ref="AM28" si="9">SUM(AJ28:AL29)</f>
        <v>25</v>
      </c>
      <c r="AN28" s="266">
        <v>0</v>
      </c>
      <c r="AO28" s="264"/>
      <c r="AP28" s="264"/>
      <c r="AQ28" s="264"/>
      <c r="AR28" s="268"/>
      <c r="AS28" s="219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</row>
    <row r="29" spans="1:89" s="65" customFormat="1" ht="18" customHeight="1">
      <c r="A29" s="254"/>
      <c r="B29" s="254"/>
      <c r="C29" s="256"/>
      <c r="D29" s="258"/>
      <c r="E29" s="67" t="s">
        <v>31</v>
      </c>
      <c r="F29" s="142"/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  <c r="Y29" s="142"/>
      <c r="Z29" s="142"/>
      <c r="AA29" s="142"/>
      <c r="AB29" s="142"/>
      <c r="AC29" s="142"/>
      <c r="AD29" s="142"/>
      <c r="AE29" s="142"/>
      <c r="AF29" s="142"/>
      <c r="AG29" s="142"/>
      <c r="AH29" s="142"/>
      <c r="AI29" s="142"/>
      <c r="AJ29" s="260"/>
      <c r="AK29" s="260"/>
      <c r="AL29" s="263"/>
      <c r="AM29" s="265"/>
      <c r="AN29" s="267"/>
      <c r="AO29" s="265"/>
      <c r="AP29" s="265"/>
      <c r="AQ29" s="265"/>
      <c r="AR29" s="269"/>
      <c r="AS29" s="219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</row>
    <row r="30" spans="1:89" s="68" customFormat="1" ht="12.75">
      <c r="A30" s="14"/>
      <c r="B30" s="69"/>
      <c r="C30" s="4"/>
      <c r="D30" s="111"/>
      <c r="E30" s="4"/>
      <c r="F30" s="73"/>
      <c r="G30" s="73"/>
      <c r="H30" s="70"/>
      <c r="I30" s="70"/>
      <c r="J30" s="118"/>
      <c r="K30" s="73"/>
      <c r="L30" s="70"/>
      <c r="M30" s="73"/>
      <c r="N30" s="73"/>
      <c r="O30" s="73"/>
      <c r="P30" s="73"/>
      <c r="Q30" s="70"/>
      <c r="R30" s="73"/>
      <c r="S30" s="73"/>
      <c r="T30" s="118"/>
      <c r="U30" s="73"/>
      <c r="V30" s="73"/>
      <c r="W30" s="73"/>
      <c r="X30" s="69"/>
      <c r="Y30" s="73"/>
      <c r="Z30" s="73"/>
      <c r="AA30" s="73"/>
      <c r="AB30" s="73"/>
      <c r="AC30" s="73"/>
      <c r="AD30" s="70"/>
      <c r="AE30" s="73"/>
      <c r="AF30" s="73"/>
      <c r="AG30" s="73"/>
      <c r="AH30" s="73"/>
      <c r="AI30" s="73"/>
      <c r="AJ30" s="4"/>
      <c r="AK30" s="4"/>
      <c r="AL30" s="96"/>
      <c r="AM30" s="72"/>
      <c r="AN30" s="72"/>
      <c r="AO30" s="72"/>
      <c r="AP30" s="72"/>
      <c r="AQ30" s="72"/>
      <c r="AR30" s="4"/>
      <c r="AS30" s="102"/>
    </row>
    <row r="31" spans="1:89" s="68" customFormat="1" ht="12.75">
      <c r="A31" s="14"/>
      <c r="B31" s="69"/>
      <c r="C31" s="14" t="s">
        <v>14</v>
      </c>
      <c r="D31" s="111"/>
      <c r="E31" s="4"/>
      <c r="F31" s="73"/>
      <c r="G31" s="73"/>
      <c r="H31" s="70"/>
      <c r="I31" s="70"/>
      <c r="J31" s="118"/>
      <c r="K31" s="73"/>
      <c r="L31" s="70"/>
      <c r="M31" s="73"/>
      <c r="N31" s="73"/>
      <c r="O31" s="73"/>
      <c r="P31" s="73"/>
      <c r="Q31" s="70"/>
      <c r="R31" s="73"/>
      <c r="S31" s="73"/>
      <c r="T31" s="118"/>
      <c r="U31" s="73"/>
      <c r="V31" s="73"/>
      <c r="W31" s="73"/>
      <c r="X31" s="69"/>
      <c r="Y31" s="73"/>
      <c r="Z31" s="73"/>
      <c r="AA31" s="73"/>
      <c r="AB31" s="73"/>
      <c r="AC31" s="73"/>
      <c r="AD31" s="70"/>
      <c r="AE31" s="73"/>
      <c r="AF31" s="73"/>
      <c r="AG31" s="73"/>
      <c r="AH31" s="73"/>
      <c r="AI31" s="73"/>
      <c r="AJ31" s="4"/>
      <c r="AK31" s="4"/>
      <c r="AL31" s="96"/>
      <c r="AM31" s="72"/>
      <c r="AN31" s="72"/>
      <c r="AO31" s="72"/>
      <c r="AP31" s="72"/>
      <c r="AQ31" s="72"/>
      <c r="AR31" s="4"/>
      <c r="AS31" s="102"/>
    </row>
    <row r="32" spans="1:89" s="68" customFormat="1" ht="12.75">
      <c r="A32" s="12"/>
      <c r="B32" s="12"/>
      <c r="C32" s="4"/>
      <c r="D32" s="111"/>
      <c r="E32" s="4"/>
      <c r="F32" s="73"/>
      <c r="G32" s="73"/>
      <c r="H32" s="119"/>
      <c r="I32" s="119"/>
      <c r="J32" s="119"/>
      <c r="K32" s="73"/>
      <c r="L32" s="119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119"/>
      <c r="AE32" s="73"/>
      <c r="AF32" s="73"/>
      <c r="AG32" s="73"/>
      <c r="AH32" s="73"/>
      <c r="AI32" s="73"/>
      <c r="AJ32" s="4"/>
      <c r="AK32" s="4"/>
      <c r="AL32" s="96"/>
      <c r="AM32" s="74"/>
      <c r="AN32" s="74"/>
      <c r="AO32" s="74"/>
      <c r="AP32" s="74"/>
      <c r="AQ32" s="74"/>
      <c r="AR32" s="4"/>
      <c r="AS32" s="102"/>
    </row>
    <row r="33" spans="1:91" s="71" customFormat="1" ht="15" customHeight="1">
      <c r="A33" s="12"/>
      <c r="B33" s="12"/>
      <c r="C33" s="4"/>
      <c r="D33" s="111"/>
      <c r="E33" s="4"/>
      <c r="F33" s="73"/>
      <c r="G33" s="73"/>
      <c r="H33" s="119"/>
      <c r="I33" s="119"/>
      <c r="J33" s="119"/>
      <c r="K33" s="73"/>
      <c r="L33" s="119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119"/>
      <c r="AE33" s="73"/>
      <c r="AF33" s="73"/>
      <c r="AG33" s="73"/>
      <c r="AH33" s="73"/>
      <c r="AI33" s="73"/>
      <c r="AJ33" s="4"/>
      <c r="AK33" s="4"/>
      <c r="AL33" s="96"/>
      <c r="AM33" s="74"/>
      <c r="AN33" s="74"/>
      <c r="AO33" s="74"/>
      <c r="AP33" s="74"/>
      <c r="AQ33" s="74"/>
      <c r="AR33" s="4"/>
      <c r="AS33" s="4"/>
    </row>
    <row r="34" spans="1:91" s="71" customFormat="1" ht="11.25">
      <c r="A34" s="12"/>
      <c r="B34" s="12"/>
      <c r="C34" s="4"/>
      <c r="D34" s="111"/>
      <c r="E34" s="4"/>
      <c r="F34" s="73"/>
      <c r="G34" s="73"/>
      <c r="H34" s="119"/>
      <c r="I34" s="119"/>
      <c r="J34" s="119"/>
      <c r="K34" s="73"/>
      <c r="L34" s="119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119"/>
      <c r="AE34" s="73"/>
      <c r="AF34" s="73"/>
      <c r="AG34" s="73"/>
      <c r="AH34" s="73"/>
      <c r="AI34" s="73"/>
      <c r="AJ34" s="4"/>
      <c r="AK34" s="4"/>
      <c r="AL34" s="96"/>
      <c r="AM34" s="74"/>
      <c r="AN34" s="74"/>
      <c r="AO34" s="74"/>
      <c r="AP34" s="74"/>
      <c r="AQ34" s="74"/>
      <c r="AR34" s="4"/>
      <c r="AS34" s="4"/>
    </row>
    <row r="35" spans="1:91" s="71" customFormat="1" ht="11.25">
      <c r="A35" s="12"/>
      <c r="B35" s="12"/>
      <c r="C35" s="4"/>
      <c r="D35" s="111"/>
      <c r="E35" s="4"/>
      <c r="F35" s="73"/>
      <c r="G35" s="73"/>
      <c r="H35" s="119"/>
      <c r="I35" s="119"/>
      <c r="J35" s="119"/>
      <c r="K35" s="73"/>
      <c r="L35" s="119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119"/>
      <c r="AE35" s="73"/>
      <c r="AF35" s="73"/>
      <c r="AG35" s="73"/>
      <c r="AH35" s="73"/>
      <c r="AI35" s="73"/>
      <c r="AJ35" s="4"/>
      <c r="AK35" s="4"/>
      <c r="AL35" s="96"/>
      <c r="AM35" s="74"/>
      <c r="AN35" s="74"/>
      <c r="AO35" s="74"/>
      <c r="AP35" s="74"/>
      <c r="AQ35" s="74"/>
      <c r="AR35" s="4"/>
      <c r="AS35" s="4"/>
    </row>
    <row r="36" spans="1:91" s="71" customFormat="1" ht="11.25">
      <c r="A36" s="10"/>
      <c r="B36" s="10"/>
      <c r="C36" s="14"/>
      <c r="D36" s="112"/>
      <c r="E36" s="75"/>
      <c r="F36" s="118"/>
      <c r="G36" s="120"/>
      <c r="H36" s="70"/>
      <c r="I36" s="70"/>
      <c r="J36" s="70"/>
      <c r="K36" s="120"/>
      <c r="L36" s="70"/>
      <c r="M36" s="120"/>
      <c r="N36" s="120"/>
      <c r="O36" s="120"/>
      <c r="P36" s="120"/>
      <c r="Q36" s="70"/>
      <c r="R36" s="118"/>
      <c r="S36" s="120"/>
      <c r="T36" s="120"/>
      <c r="U36" s="70"/>
      <c r="V36" s="120"/>
      <c r="W36" s="120"/>
      <c r="X36" s="70"/>
      <c r="Y36" s="120"/>
      <c r="Z36" s="120"/>
      <c r="AA36" s="120"/>
      <c r="AB36" s="120"/>
      <c r="AC36" s="120"/>
      <c r="AD36" s="70"/>
      <c r="AE36" s="120"/>
      <c r="AF36" s="120"/>
      <c r="AG36" s="120"/>
      <c r="AH36" s="120"/>
      <c r="AI36" s="120"/>
      <c r="AJ36" s="75"/>
      <c r="AL36" s="97"/>
      <c r="AM36" s="10"/>
      <c r="AN36" s="10"/>
      <c r="AO36" s="10"/>
      <c r="AP36" s="10"/>
      <c r="AQ36" s="10"/>
      <c r="AR36" s="14"/>
      <c r="AS36" s="4"/>
    </row>
    <row r="37" spans="1:91" s="71" customFormat="1" ht="12.75">
      <c r="A37" s="2"/>
      <c r="B37" s="2" t="s">
        <v>0</v>
      </c>
      <c r="C37" s="2"/>
      <c r="D37" s="217"/>
      <c r="E37" s="2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2"/>
      <c r="AI37" s="122"/>
      <c r="AJ37" s="2"/>
      <c r="AK37" s="2"/>
      <c r="AL37" s="98"/>
      <c r="AM37" s="2"/>
      <c r="AN37" s="2"/>
      <c r="AO37" s="2"/>
      <c r="AP37" s="2"/>
      <c r="AQ37" s="2"/>
      <c r="AR37" s="2"/>
      <c r="AS37" s="4"/>
    </row>
    <row r="38" spans="1:91" s="71" customFormat="1" ht="12.75">
      <c r="A38" s="2"/>
      <c r="B38" s="2"/>
      <c r="C38" s="2" t="s">
        <v>46</v>
      </c>
      <c r="D38" s="217"/>
      <c r="E38" s="2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1"/>
      <c r="AD38" s="121"/>
      <c r="AE38" s="121"/>
      <c r="AF38" s="121"/>
      <c r="AG38" s="121"/>
      <c r="AH38" s="122"/>
      <c r="AI38" s="122"/>
      <c r="AJ38" s="2"/>
      <c r="AK38" s="2"/>
      <c r="AL38" s="98"/>
      <c r="AM38" s="2"/>
      <c r="AN38" s="2"/>
      <c r="AO38" s="2"/>
      <c r="AP38" s="2"/>
      <c r="AQ38" s="2"/>
      <c r="AR38" s="2"/>
      <c r="AS38" s="14"/>
    </row>
    <row r="39" spans="1:91" ht="15" customHeight="1">
      <c r="C39" s="2" t="s">
        <v>47</v>
      </c>
    </row>
    <row r="40" spans="1:91" ht="15" customHeight="1">
      <c r="C40" s="2" t="s">
        <v>48</v>
      </c>
    </row>
    <row r="41" spans="1:91" s="217" customFormat="1" ht="15" customHeight="1">
      <c r="A41" s="2"/>
      <c r="B41" s="2"/>
      <c r="C41" s="2" t="s">
        <v>49</v>
      </c>
      <c r="E41" s="2"/>
      <c r="F41" s="121"/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121"/>
      <c r="AA41" s="121"/>
      <c r="AB41" s="121"/>
      <c r="AC41" s="121"/>
      <c r="AD41" s="121"/>
      <c r="AE41" s="121"/>
      <c r="AF41" s="121"/>
      <c r="AG41" s="121"/>
      <c r="AH41" s="122"/>
      <c r="AI41" s="122"/>
      <c r="AJ41" s="2"/>
      <c r="AK41" s="2"/>
      <c r="AL41" s="98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 s="217" customFormat="1" ht="15" customHeight="1">
      <c r="A42" s="2"/>
      <c r="B42" s="2"/>
      <c r="C42" s="2" t="s">
        <v>50</v>
      </c>
      <c r="E42" s="2"/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121"/>
      <c r="AA42" s="121"/>
      <c r="AB42" s="121"/>
      <c r="AC42" s="121"/>
      <c r="AD42" s="121"/>
      <c r="AE42" s="121"/>
      <c r="AF42" s="121"/>
      <c r="AG42" s="121"/>
      <c r="AH42" s="122"/>
      <c r="AI42" s="122"/>
      <c r="AJ42" s="2"/>
      <c r="AK42" s="2"/>
      <c r="AL42" s="98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 s="217" customFormat="1" ht="15" customHeight="1">
      <c r="A43" s="2"/>
      <c r="B43" s="2"/>
      <c r="C43" s="2" t="s">
        <v>51</v>
      </c>
      <c r="E43" s="2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121"/>
      <c r="AA43" s="121"/>
      <c r="AB43" s="121"/>
      <c r="AC43" s="121"/>
      <c r="AD43" s="121"/>
      <c r="AE43" s="121"/>
      <c r="AF43" s="121"/>
      <c r="AG43" s="121"/>
      <c r="AH43" s="122"/>
      <c r="AI43" s="122"/>
      <c r="AJ43" s="2"/>
      <c r="AK43" s="2"/>
      <c r="AL43" s="98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 s="217" customFormat="1" ht="15" customHeight="1">
      <c r="A44" s="2"/>
      <c r="B44" s="2"/>
      <c r="C44" s="2" t="s">
        <v>52</v>
      </c>
      <c r="E44" s="2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121"/>
      <c r="AA44" s="121"/>
      <c r="AB44" s="121"/>
      <c r="AC44" s="121"/>
      <c r="AD44" s="121"/>
      <c r="AE44" s="121"/>
      <c r="AF44" s="121"/>
      <c r="AG44" s="121"/>
      <c r="AH44" s="122"/>
      <c r="AI44" s="122"/>
      <c r="AJ44" s="2"/>
      <c r="AK44" s="2"/>
      <c r="AL44" s="98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  <row r="45" spans="1:91" s="217" customFormat="1" ht="15" customHeight="1">
      <c r="A45" s="2"/>
      <c r="B45" s="2"/>
      <c r="C45" s="2" t="s">
        <v>53</v>
      </c>
      <c r="E45" s="2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121"/>
      <c r="AA45" s="121"/>
      <c r="AB45" s="121"/>
      <c r="AC45" s="121"/>
      <c r="AD45" s="121"/>
      <c r="AE45" s="121"/>
      <c r="AF45" s="121"/>
      <c r="AG45" s="121"/>
      <c r="AH45" s="122"/>
      <c r="AI45" s="122"/>
      <c r="AJ45" s="2"/>
      <c r="AK45" s="2"/>
      <c r="AL45" s="98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</row>
    <row r="46" spans="1:91" s="217" customFormat="1" ht="15" customHeight="1">
      <c r="A46" s="2"/>
      <c r="B46" s="2"/>
      <c r="C46" s="2" t="s">
        <v>54</v>
      </c>
      <c r="E46" s="2"/>
      <c r="F46" s="121"/>
      <c r="G46" s="121"/>
      <c r="H46" s="121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121"/>
      <c r="AA46" s="121"/>
      <c r="AB46" s="121"/>
      <c r="AC46" s="121"/>
      <c r="AD46" s="121"/>
      <c r="AE46" s="121"/>
      <c r="AF46" s="121"/>
      <c r="AG46" s="121"/>
      <c r="AH46" s="122"/>
      <c r="AI46" s="122"/>
      <c r="AJ46" s="2"/>
      <c r="AK46" s="2"/>
      <c r="AL46" s="98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2:J35 Q30:Q31" name="Range1_1_1_1"/>
    <protectedRange password="CC78" sqref="J36" name="Range1_3_1_1"/>
    <protectedRange password="CC78" sqref="A16:A29" name="Range1_1_2"/>
    <protectedRange password="CC78" sqref="C16:E29 A16:A29" name="Range1_6_2"/>
    <protectedRange password="CC78" sqref="B16:B29" name="Range1_4_2"/>
  </protectedRanges>
  <mergeCells count="144">
    <mergeCell ref="AQ20:AQ21"/>
    <mergeCell ref="AR20:AR21"/>
    <mergeCell ref="AK20:AK21"/>
    <mergeCell ref="AL20:AL21"/>
    <mergeCell ref="AM20:AM21"/>
    <mergeCell ref="AN20:AN21"/>
    <mergeCell ref="AO20:AO21"/>
    <mergeCell ref="A20:A21"/>
    <mergeCell ref="B20:B21"/>
    <mergeCell ref="C20:C21"/>
    <mergeCell ref="D20:D21"/>
    <mergeCell ref="AJ20:AJ21"/>
    <mergeCell ref="AQ24:AQ25"/>
    <mergeCell ref="AR24:AR25"/>
    <mergeCell ref="A18:A19"/>
    <mergeCell ref="B18:B19"/>
    <mergeCell ref="C18:C19"/>
    <mergeCell ref="D18:D19"/>
    <mergeCell ref="AJ18:AJ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K24:AK25"/>
    <mergeCell ref="AL24:AL25"/>
    <mergeCell ref="AM24:AM25"/>
    <mergeCell ref="AN24:AN25"/>
    <mergeCell ref="AO24:AO25"/>
    <mergeCell ref="A24:A25"/>
    <mergeCell ref="B24:B25"/>
    <mergeCell ref="C24:C25"/>
    <mergeCell ref="AP20:AP21"/>
    <mergeCell ref="AJ24:AJ25"/>
    <mergeCell ref="AP11:AP12"/>
    <mergeCell ref="AQ11:AQ12"/>
    <mergeCell ref="AR11:AR12"/>
    <mergeCell ref="A22:A23"/>
    <mergeCell ref="B22:B23"/>
    <mergeCell ref="C22:C23"/>
    <mergeCell ref="D22:D23"/>
    <mergeCell ref="AJ22:AJ23"/>
    <mergeCell ref="AK22:AK23"/>
    <mergeCell ref="AL22:AL23"/>
    <mergeCell ref="AM22:AM23"/>
    <mergeCell ref="AN22:AN23"/>
    <mergeCell ref="AO22:AO23"/>
    <mergeCell ref="AP22:AP23"/>
    <mergeCell ref="AQ22:AQ23"/>
    <mergeCell ref="AR22:AR23"/>
    <mergeCell ref="AK11:AK12"/>
    <mergeCell ref="AL11:AL12"/>
    <mergeCell ref="AM11:AM12"/>
    <mergeCell ref="AN11:AN12"/>
    <mergeCell ref="AO11:AO12"/>
    <mergeCell ref="A11:A12"/>
    <mergeCell ref="AP24:AP25"/>
    <mergeCell ref="B11:B12"/>
    <mergeCell ref="C11:C12"/>
    <mergeCell ref="D11:D12"/>
    <mergeCell ref="AJ11:AJ12"/>
    <mergeCell ref="AO26:AO27"/>
    <mergeCell ref="AP26:AP27"/>
    <mergeCell ref="AQ26:AQ27"/>
    <mergeCell ref="AR26:AR27"/>
    <mergeCell ref="AR28:AR29"/>
    <mergeCell ref="AQ28:AQ29"/>
    <mergeCell ref="AL28:AL29"/>
    <mergeCell ref="AM28:AM29"/>
    <mergeCell ref="AN28:AN29"/>
    <mergeCell ref="AO28:AO29"/>
    <mergeCell ref="AP28:AP29"/>
    <mergeCell ref="AK28:AK29"/>
    <mergeCell ref="AR16:AR17"/>
    <mergeCell ref="AL16:AL17"/>
    <mergeCell ref="AM16:AM17"/>
    <mergeCell ref="AN16:AN17"/>
    <mergeCell ref="AO16:AO17"/>
    <mergeCell ref="AP16:AP17"/>
    <mergeCell ref="AQ13:AQ14"/>
    <mergeCell ref="D24:D25"/>
    <mergeCell ref="A26:A27"/>
    <mergeCell ref="B26:B27"/>
    <mergeCell ref="C26:C27"/>
    <mergeCell ref="D26:D27"/>
    <mergeCell ref="AJ26:AJ27"/>
    <mergeCell ref="AK26:AK27"/>
    <mergeCell ref="AL26:AL27"/>
    <mergeCell ref="AM26:AM27"/>
    <mergeCell ref="AN26:AN27"/>
    <mergeCell ref="A28:A29"/>
    <mergeCell ref="B28:B29"/>
    <mergeCell ref="C28:C29"/>
    <mergeCell ref="D28:D29"/>
    <mergeCell ref="AJ28:AJ29"/>
    <mergeCell ref="AR13:AR14"/>
    <mergeCell ref="A16:A17"/>
    <mergeCell ref="B16:B17"/>
    <mergeCell ref="C16:C17"/>
    <mergeCell ref="D16:D17"/>
    <mergeCell ref="AJ16:AJ17"/>
    <mergeCell ref="AK16:AK17"/>
    <mergeCell ref="AQ16:AQ17"/>
    <mergeCell ref="AK13:AK14"/>
    <mergeCell ref="AL13:AL14"/>
    <mergeCell ref="AM13:AM14"/>
    <mergeCell ref="AN13:AN14"/>
    <mergeCell ref="A13:A14"/>
    <mergeCell ref="B13:B14"/>
    <mergeCell ref="C13:C14"/>
    <mergeCell ref="D13:D14"/>
    <mergeCell ref="AJ13:AJ14"/>
    <mergeCell ref="AO13:AO14"/>
    <mergeCell ref="AP13:AP14"/>
    <mergeCell ref="AS5:AS6"/>
    <mergeCell ref="AK9:AK10"/>
    <mergeCell ref="AR9:AR10"/>
    <mergeCell ref="AO9:AO10"/>
    <mergeCell ref="AP9:AP10"/>
    <mergeCell ref="AQ9:AQ10"/>
    <mergeCell ref="AL9:AL10"/>
    <mergeCell ref="AM9:AM10"/>
    <mergeCell ref="AN9:AN10"/>
    <mergeCell ref="A9:A10"/>
    <mergeCell ref="B9:B10"/>
    <mergeCell ref="C9:C10"/>
    <mergeCell ref="D9:D10"/>
    <mergeCell ref="AJ9:AJ10"/>
    <mergeCell ref="AL1:AR1"/>
    <mergeCell ref="A5:A6"/>
    <mergeCell ref="B5:B6"/>
    <mergeCell ref="C5:C6"/>
    <mergeCell ref="D5:D6"/>
    <mergeCell ref="E5:E6"/>
    <mergeCell ref="AJ5:AL5"/>
    <mergeCell ref="AM5:AM6"/>
    <mergeCell ref="AN5:AN6"/>
    <mergeCell ref="AO5:AO6"/>
    <mergeCell ref="AP5:AP6"/>
    <mergeCell ref="AQ5:AQ6"/>
    <mergeCell ref="AR5:AR6"/>
  </mergeCells>
  <conditionalFormatting sqref="F5:AI6 F9:AI10 F13:AI14">
    <cfRule type="expression" dxfId="140" priority="17" stopIfTrue="1">
      <formula>IF(WEEKDAY(F$5)=1,TRUE,FALSE)</formula>
    </cfRule>
  </conditionalFormatting>
  <conditionalFormatting sqref="F16:AI17 F26:AI29">
    <cfRule type="expression" dxfId="139" priority="4" stopIfTrue="1">
      <formula>IF(WEEKDAY(F$5)=1,TRUE,FALSE)</formula>
    </cfRule>
  </conditionalFormatting>
  <conditionalFormatting sqref="F11:AI12">
    <cfRule type="expression" dxfId="138" priority="3" stopIfTrue="1">
      <formula>IF(WEEKDAY(F$5)=1,TRUE,FALSE)</formula>
    </cfRule>
  </conditionalFormatting>
  <conditionalFormatting sqref="F22:AI25">
    <cfRule type="expression" dxfId="137" priority="2" stopIfTrue="1">
      <formula>IF(WEEKDAY(F$5)=1,TRUE,FALSE)</formula>
    </cfRule>
  </conditionalFormatting>
  <conditionalFormatting sqref="F18:AI21">
    <cfRule type="expression" dxfId="13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5"/>
  <sheetViews>
    <sheetView zoomScaleNormal="70" workbookViewId="0">
      <pane xSplit="3" ySplit="8" topLeftCell="D18" activePane="bottomRight" state="frozen"/>
      <selection activeCell="X10" sqref="X10"/>
      <selection pane="topRight" activeCell="X10" sqref="X10"/>
      <selection pane="bottomLeft" activeCell="X10" sqref="X10"/>
      <selection pane="bottomRight" activeCell="S24" activeCellId="1" sqref="S14 S24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9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7"/>
      <c r="B1" s="221"/>
      <c r="C1" s="221"/>
      <c r="D1" s="270" t="str">
        <f>"BẢNG THANH TOÁN LƯƠNG THÁNG"&amp;" "&amp;TEXT($E$4,"mm")&amp;" / "&amp;TEXT($E$4,"yyyy")</f>
        <v>BẢNG THANH TOÁN LƯƠNG THÁNG 04 / 2015</v>
      </c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1"/>
      <c r="R1" s="272" t="s">
        <v>170</v>
      </c>
      <c r="S1" s="273"/>
      <c r="T1" s="274"/>
      <c r="U1" s="128" t="s">
        <v>58</v>
      </c>
      <c r="V1" s="108" t="s">
        <v>37</v>
      </c>
      <c r="W1" s="81"/>
      <c r="X1" s="81"/>
      <c r="Y1" s="5"/>
      <c r="Z1" s="5"/>
    </row>
    <row r="2" spans="1:31" s="4" customFormat="1" ht="15" customHeight="1">
      <c r="A2" s="137"/>
      <c r="B2" s="221"/>
      <c r="C2" s="221"/>
      <c r="D2" s="221"/>
      <c r="E2" s="79"/>
      <c r="F2" s="221"/>
      <c r="G2" s="221"/>
      <c r="H2" s="221"/>
      <c r="I2" s="221"/>
      <c r="J2" s="80"/>
      <c r="K2" s="221"/>
      <c r="L2" s="221"/>
      <c r="M2" s="221"/>
      <c r="N2" s="221"/>
      <c r="O2" s="221"/>
      <c r="P2" s="221"/>
      <c r="Q2" s="221"/>
      <c r="R2" s="221"/>
      <c r="S2" s="221"/>
      <c r="T2" s="57"/>
      <c r="U2" s="78">
        <f>MAX(F10:F24)</f>
        <v>25</v>
      </c>
      <c r="V2" s="109">
        <v>31</v>
      </c>
      <c r="W2" s="81"/>
      <c r="X2" s="81"/>
      <c r="Y2" s="5"/>
      <c r="Z2" s="5"/>
    </row>
    <row r="3" spans="1:31" s="4" customFormat="1" ht="15" customHeight="1">
      <c r="A3" s="137"/>
      <c r="B3" s="221"/>
      <c r="C3" s="221"/>
      <c r="D3" s="221"/>
      <c r="E3" s="79"/>
      <c r="F3" s="221"/>
      <c r="G3" s="221"/>
      <c r="H3" s="221"/>
      <c r="I3" s="221"/>
      <c r="J3" s="80"/>
      <c r="K3" s="221"/>
      <c r="L3" s="221"/>
      <c r="M3" s="221"/>
      <c r="N3" s="221"/>
      <c r="O3" s="221"/>
      <c r="P3" s="221"/>
      <c r="Q3" s="221"/>
      <c r="R3" s="221"/>
      <c r="S3" s="221"/>
      <c r="T3" s="57"/>
      <c r="U3" s="129"/>
      <c r="V3" s="130"/>
      <c r="W3" s="81"/>
      <c r="X3" s="81"/>
      <c r="Y3" s="5"/>
      <c r="Z3" s="5"/>
    </row>
    <row r="4" spans="1:31" s="103" customFormat="1" ht="14.25" customHeight="1">
      <c r="A4" s="101"/>
      <c r="B4" s="102"/>
      <c r="C4" s="102"/>
      <c r="D4" s="102"/>
      <c r="E4" s="187">
        <f>'CC -4'!$E$4</f>
        <v>42095</v>
      </c>
      <c r="F4" s="102"/>
      <c r="G4" s="102"/>
      <c r="H4" s="102"/>
      <c r="I4" s="102"/>
      <c r="J4" s="102"/>
      <c r="K4" s="102"/>
      <c r="L4" s="102"/>
      <c r="M4" s="102"/>
      <c r="N4" s="160">
        <v>0.08</v>
      </c>
      <c r="O4" s="160">
        <v>1.4999999999999999E-2</v>
      </c>
      <c r="P4" s="160">
        <v>0.01</v>
      </c>
      <c r="Q4" s="102"/>
      <c r="R4" s="102"/>
      <c r="S4" s="102"/>
      <c r="T4" s="102"/>
      <c r="U4" s="102"/>
      <c r="V4" s="104"/>
      <c r="W4" s="104"/>
      <c r="X4" s="104"/>
      <c r="Y4" s="104"/>
      <c r="Z4" s="104"/>
    </row>
    <row r="5" spans="1:31" s="26" customFormat="1" ht="24" customHeight="1">
      <c r="A5" s="275" t="s">
        <v>19</v>
      </c>
      <c r="B5" s="275" t="s">
        <v>20</v>
      </c>
      <c r="C5" s="238" t="s">
        <v>1</v>
      </c>
      <c r="D5" s="238" t="s">
        <v>2</v>
      </c>
      <c r="E5" s="241" t="s">
        <v>56</v>
      </c>
      <c r="F5" s="278" t="s">
        <v>26</v>
      </c>
      <c r="G5" s="279"/>
      <c r="H5" s="279"/>
      <c r="I5" s="279"/>
      <c r="J5" s="279"/>
      <c r="K5" s="280"/>
      <c r="L5" s="277" t="s">
        <v>57</v>
      </c>
      <c r="M5" s="277" t="s">
        <v>5</v>
      </c>
      <c r="N5" s="238" t="s">
        <v>6</v>
      </c>
      <c r="O5" s="238"/>
      <c r="P5" s="238"/>
      <c r="Q5" s="277" t="s">
        <v>7</v>
      </c>
      <c r="R5" s="277" t="s">
        <v>8</v>
      </c>
      <c r="S5" s="277" t="s">
        <v>9</v>
      </c>
      <c r="T5" s="239" t="s">
        <v>10</v>
      </c>
      <c r="U5" s="102"/>
      <c r="V5" s="27"/>
      <c r="W5" s="27"/>
      <c r="X5" s="5"/>
      <c r="Y5" s="5"/>
      <c r="Z5" s="5"/>
      <c r="AA5" s="4"/>
      <c r="AB5" s="4"/>
      <c r="AC5" s="4"/>
      <c r="AD5" s="4"/>
      <c r="AE5" s="4"/>
    </row>
    <row r="6" spans="1:31" s="26" customFormat="1" ht="33.75" customHeight="1">
      <c r="A6" s="276"/>
      <c r="B6" s="276"/>
      <c r="C6" s="238"/>
      <c r="D6" s="238"/>
      <c r="E6" s="241"/>
      <c r="F6" s="278" t="s">
        <v>59</v>
      </c>
      <c r="G6" s="280"/>
      <c r="H6" s="278" t="s">
        <v>157</v>
      </c>
      <c r="I6" s="279"/>
      <c r="J6" s="284" t="s">
        <v>27</v>
      </c>
      <c r="K6" s="277" t="s">
        <v>4</v>
      </c>
      <c r="L6" s="281"/>
      <c r="M6" s="281"/>
      <c r="N6" s="286" t="s">
        <v>12</v>
      </c>
      <c r="O6" s="277" t="s">
        <v>13</v>
      </c>
      <c r="P6" s="277" t="s">
        <v>34</v>
      </c>
      <c r="Q6" s="281"/>
      <c r="R6" s="281"/>
      <c r="S6" s="281"/>
      <c r="T6" s="240"/>
      <c r="U6" s="102"/>
      <c r="V6" s="27"/>
      <c r="W6" s="27"/>
      <c r="X6" s="5"/>
      <c r="Y6" s="5"/>
      <c r="Z6" s="5"/>
      <c r="AA6" s="4"/>
      <c r="AB6" s="4"/>
      <c r="AC6" s="4"/>
      <c r="AD6" s="4"/>
      <c r="AE6" s="4"/>
    </row>
    <row r="7" spans="1:31" s="26" customFormat="1" ht="35.25" customHeight="1">
      <c r="A7" s="276"/>
      <c r="B7" s="276"/>
      <c r="C7" s="277"/>
      <c r="D7" s="277"/>
      <c r="E7" s="241"/>
      <c r="F7" s="220" t="s">
        <v>40</v>
      </c>
      <c r="G7" s="218" t="s">
        <v>18</v>
      </c>
      <c r="H7" s="220" t="s">
        <v>40</v>
      </c>
      <c r="I7" s="126" t="s">
        <v>18</v>
      </c>
      <c r="J7" s="285"/>
      <c r="K7" s="281"/>
      <c r="L7" s="282"/>
      <c r="M7" s="282"/>
      <c r="N7" s="287"/>
      <c r="O7" s="281"/>
      <c r="P7" s="281"/>
      <c r="Q7" s="281"/>
      <c r="R7" s="281"/>
      <c r="S7" s="281"/>
      <c r="T7" s="240"/>
      <c r="U7" s="102"/>
      <c r="V7" s="27"/>
      <c r="W7" s="27"/>
      <c r="X7" s="5"/>
      <c r="Y7" s="5"/>
      <c r="Z7" s="5"/>
      <c r="AA7" s="4"/>
      <c r="AB7" s="4"/>
      <c r="AC7" s="4"/>
      <c r="AD7" s="4"/>
      <c r="AE7" s="4"/>
    </row>
    <row r="8" spans="1:31" s="83" customFormat="1" ht="12.75" customHeight="1">
      <c r="A8" s="82">
        <v>1</v>
      </c>
      <c r="B8" s="82">
        <v>2</v>
      </c>
      <c r="C8" s="82">
        <v>3</v>
      </c>
      <c r="D8" s="82">
        <v>4</v>
      </c>
      <c r="E8" s="82">
        <v>5</v>
      </c>
      <c r="F8" s="82">
        <v>7</v>
      </c>
      <c r="G8" s="82">
        <v>8</v>
      </c>
      <c r="H8" s="82">
        <v>9</v>
      </c>
      <c r="I8" s="82">
        <v>10</v>
      </c>
      <c r="J8" s="82">
        <v>13</v>
      </c>
      <c r="K8" s="82">
        <v>14</v>
      </c>
      <c r="L8" s="82">
        <v>16</v>
      </c>
      <c r="M8" s="82">
        <v>17</v>
      </c>
      <c r="N8" s="82">
        <v>18</v>
      </c>
      <c r="O8" s="82">
        <v>19</v>
      </c>
      <c r="P8" s="82">
        <v>20</v>
      </c>
      <c r="Q8" s="82">
        <v>21</v>
      </c>
      <c r="R8" s="82">
        <v>22</v>
      </c>
      <c r="S8" s="82">
        <v>23</v>
      </c>
      <c r="T8" s="82">
        <v>24</v>
      </c>
      <c r="U8" s="102"/>
      <c r="V8" s="84"/>
      <c r="W8" s="84"/>
      <c r="X8" s="85"/>
      <c r="Y8" s="85"/>
      <c r="Z8" s="85"/>
      <c r="AA8" s="86"/>
      <c r="AB8" s="86"/>
      <c r="AC8" s="86"/>
      <c r="AD8" s="86"/>
      <c r="AE8" s="86"/>
    </row>
    <row r="9" spans="1:31" s="83" customFormat="1" ht="24" customHeight="1">
      <c r="A9" s="186" t="s">
        <v>154</v>
      </c>
      <c r="B9" s="185" t="s">
        <v>171</v>
      </c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02"/>
      <c r="V9" s="84"/>
      <c r="W9" s="84"/>
      <c r="X9" s="85"/>
      <c r="Y9" s="85"/>
      <c r="Z9" s="85"/>
      <c r="AA9" s="86"/>
      <c r="AB9" s="86"/>
      <c r="AC9" s="86"/>
      <c r="AD9" s="86"/>
      <c r="AE9" s="86"/>
    </row>
    <row r="10" spans="1:31" s="35" customFormat="1" ht="24" customHeight="1">
      <c r="A10" s="37">
        <v>1</v>
      </c>
      <c r="B10" s="139" t="s">
        <v>159</v>
      </c>
      <c r="C10" s="87" t="str">
        <f t="shared" ref="C10:C12" si="0">VLOOKUP(B10,DS,2,0)</f>
        <v>Nguyễn Thị Thu Sương</v>
      </c>
      <c r="D10" s="114" t="str">
        <f t="shared" ref="D10:D12" si="1">VLOOKUP(B10,DS,3,0)</f>
        <v>Kinh Doanh</v>
      </c>
      <c r="E10" s="88">
        <f t="shared" ref="E10:E12" si="2">VLOOKUP(B10,DS,4,0)</f>
        <v>5000000</v>
      </c>
      <c r="F10" s="90">
        <f>VLOOKUP(B10,'CC -4'!$B$8:$AR$29,35,0)</f>
        <v>25</v>
      </c>
      <c r="G10" s="143">
        <f t="shared" ref="G10:G11" si="3">ROUND(E10/$U$2*F10,0)</f>
        <v>5000000</v>
      </c>
      <c r="H10" s="90">
        <f>(VLOOKUP(B10,'CC -4'!$B$8:$AR$29,36,0)+VLOOKUP(B10,'CC -4'!$B$8:$AR$29,37,0))</f>
        <v>0</v>
      </c>
      <c r="I10" s="143">
        <f t="shared" ref="I10:I11" si="4">ROUND(E10/$U$2*H10,0)</f>
        <v>0</v>
      </c>
      <c r="J10" s="91">
        <f t="shared" ref="J10:K12" si="5">F10+H10</f>
        <v>25</v>
      </c>
      <c r="K10" s="38">
        <f>G10+I10</f>
        <v>5000000</v>
      </c>
      <c r="L10" s="88">
        <f t="shared" ref="L10:L12" si="6">+F10*15000</f>
        <v>375000</v>
      </c>
      <c r="M10" s="39">
        <f t="shared" ref="M10:M12" si="7">K10+L10</f>
        <v>5375000</v>
      </c>
      <c r="N10" s="39">
        <f>IF(VLOOKUP(B10,DS,9,0)="x",E10*$N$4,0)</f>
        <v>0</v>
      </c>
      <c r="O10" s="39">
        <f>IF(VLOOKUP(B10,DS,9,0)="x",E10*$O$4,0)</f>
        <v>0</v>
      </c>
      <c r="P10" s="39">
        <f>IF(VLOOKUP(B10,DS,9,0)="x",E10*$P$4,0)</f>
        <v>0</v>
      </c>
      <c r="Q10" s="38">
        <f t="shared" ref="Q10:Q12" si="8">M10-SUM(N10:P10)</f>
        <v>5375000</v>
      </c>
      <c r="R10" s="38">
        <f>VLOOKUP(B10,DS,23,0)</f>
        <v>0</v>
      </c>
      <c r="S10" s="44">
        <f t="shared" ref="S10:S12" si="9">Q10-R10</f>
        <v>5375000</v>
      </c>
      <c r="T10" s="38"/>
      <c r="U10" s="102"/>
      <c r="V10" s="36"/>
      <c r="W10" s="27"/>
      <c r="X10" s="5"/>
      <c r="Y10" s="5"/>
      <c r="Z10" s="5"/>
      <c r="AA10" s="4"/>
      <c r="AB10" s="4"/>
      <c r="AC10" s="4"/>
      <c r="AD10" s="4"/>
      <c r="AE10" s="4"/>
    </row>
    <row r="11" spans="1:31" s="35" customFormat="1" ht="24" customHeight="1">
      <c r="A11" s="37">
        <v>2</v>
      </c>
      <c r="B11" s="139" t="s">
        <v>160</v>
      </c>
      <c r="C11" s="87" t="str">
        <f t="shared" ref="C11" si="10">VLOOKUP(B11,DS,2,0)</f>
        <v>Trần Anh Nhựt</v>
      </c>
      <c r="D11" s="114" t="str">
        <f t="shared" ref="D11" si="11">VLOOKUP(B11,DS,3,0)</f>
        <v>Thiết Kế</v>
      </c>
      <c r="E11" s="88">
        <f t="shared" ref="E11" si="12">VLOOKUP(B11,DS,4,0)</f>
        <v>5000000</v>
      </c>
      <c r="F11" s="90">
        <f>VLOOKUP(B11,'CC -4'!$B$8:$AR$29,35,0)</f>
        <v>25</v>
      </c>
      <c r="G11" s="143">
        <f t="shared" si="3"/>
        <v>5000000</v>
      </c>
      <c r="H11" s="90">
        <f>(VLOOKUP(B11,'CC -4'!$B$8:$AR$29,36,0)+VLOOKUP(B11,'CC -4'!$B$8:$AR$29,37,0))</f>
        <v>0</v>
      </c>
      <c r="I11" s="143">
        <f t="shared" si="4"/>
        <v>0</v>
      </c>
      <c r="J11" s="91">
        <f t="shared" ref="J11" si="13">F11+H11</f>
        <v>25</v>
      </c>
      <c r="K11" s="38">
        <f t="shared" ref="K11" si="14">G11+I11</f>
        <v>5000000</v>
      </c>
      <c r="L11" s="88">
        <f t="shared" ref="L11" si="15">+F11*15000</f>
        <v>375000</v>
      </c>
      <c r="M11" s="39">
        <f t="shared" ref="M11" si="16">K11+L11</f>
        <v>5375000</v>
      </c>
      <c r="N11" s="39">
        <f>IF(VLOOKUP(B11,DS,9,0)="x",E11*$N$4,0)</f>
        <v>0</v>
      </c>
      <c r="O11" s="39">
        <f>IF(VLOOKUP(B11,DS,9,0)="x",E11*$O$4,0)</f>
        <v>0</v>
      </c>
      <c r="P11" s="39">
        <f>IF(VLOOKUP(B11,DS,9,0)="x",E11*$P$4,0)</f>
        <v>0</v>
      </c>
      <c r="Q11" s="38">
        <f t="shared" ref="Q11" si="17">M11-SUM(N11:P11)</f>
        <v>5375000</v>
      </c>
      <c r="R11" s="38">
        <f>VLOOKUP(B11,DS,23,0)</f>
        <v>0</v>
      </c>
      <c r="S11" s="44">
        <f t="shared" ref="S11" si="18">Q11-R11</f>
        <v>5375000</v>
      </c>
      <c r="T11" s="38"/>
      <c r="U11" s="102"/>
      <c r="V11" s="36"/>
      <c r="W11" s="27"/>
      <c r="X11" s="5"/>
      <c r="Y11" s="5"/>
      <c r="Z11" s="5"/>
      <c r="AA11" s="4"/>
      <c r="AB11" s="4"/>
      <c r="AC11" s="4"/>
      <c r="AD11" s="4"/>
      <c r="AE11" s="4"/>
    </row>
    <row r="12" spans="1:31" s="35" customFormat="1" ht="24" customHeight="1">
      <c r="A12" s="37">
        <v>3</v>
      </c>
      <c r="B12" s="139" t="s">
        <v>168</v>
      </c>
      <c r="C12" s="87" t="str">
        <f t="shared" si="0"/>
        <v>Huỳnh Minh Toàn</v>
      </c>
      <c r="D12" s="114" t="str">
        <f t="shared" si="1"/>
        <v>Thủ Kho</v>
      </c>
      <c r="E12" s="88">
        <f t="shared" si="2"/>
        <v>5500000</v>
      </c>
      <c r="F12" s="90">
        <f>VLOOKUP(B12,'CC -4'!$B$8:$AR$29,35,0)</f>
        <v>25</v>
      </c>
      <c r="G12" s="143">
        <f t="shared" ref="G12" si="19">ROUND(E12/$U$2*F12,0)</f>
        <v>5500000</v>
      </c>
      <c r="H12" s="90">
        <f>(VLOOKUP(B12,'CC -4'!$B$8:$AR$29,36,0)+VLOOKUP(B12,'CC -4'!$B$8:$AR$29,37,0))</f>
        <v>0</v>
      </c>
      <c r="I12" s="143">
        <f t="shared" ref="I12" si="20">ROUND(E12/$U$2*H12,0)</f>
        <v>0</v>
      </c>
      <c r="J12" s="91">
        <f t="shared" si="5"/>
        <v>25</v>
      </c>
      <c r="K12" s="38">
        <f t="shared" si="5"/>
        <v>5500000</v>
      </c>
      <c r="L12" s="88">
        <f t="shared" si="6"/>
        <v>375000</v>
      </c>
      <c r="M12" s="39">
        <f t="shared" si="7"/>
        <v>5875000</v>
      </c>
      <c r="N12" s="39">
        <f>IF(VLOOKUP(B12,DS,9,0)="x",E12*$N$4,0)</f>
        <v>0</v>
      </c>
      <c r="O12" s="39">
        <f>IF(VLOOKUP(B12,DS,9,0)="x",E12*$O$4,0)</f>
        <v>0</v>
      </c>
      <c r="P12" s="39">
        <f>IF(VLOOKUP(B12,DS,9,0)="x",E12*$P$4,0)</f>
        <v>0</v>
      </c>
      <c r="Q12" s="38">
        <f t="shared" si="8"/>
        <v>5875000</v>
      </c>
      <c r="R12" s="38">
        <f>VLOOKUP(B12,DS,23,0)</f>
        <v>0</v>
      </c>
      <c r="S12" s="44">
        <f t="shared" si="9"/>
        <v>5875000</v>
      </c>
      <c r="T12" s="38"/>
      <c r="U12" s="102"/>
      <c r="V12" s="36"/>
      <c r="W12" s="27"/>
      <c r="X12" s="5"/>
      <c r="Y12" s="5"/>
      <c r="Z12" s="5"/>
      <c r="AA12" s="4"/>
      <c r="AB12" s="4"/>
      <c r="AC12" s="4"/>
      <c r="AD12" s="4"/>
      <c r="AE12" s="4"/>
    </row>
    <row r="13" spans="1:31" s="35" customFormat="1" ht="24" customHeight="1">
      <c r="A13" s="201"/>
      <c r="B13" s="202"/>
      <c r="C13" s="203"/>
      <c r="D13" s="204"/>
      <c r="E13" s="205"/>
      <c r="F13" s="206"/>
      <c r="G13" s="207"/>
      <c r="H13" s="206"/>
      <c r="I13" s="207"/>
      <c r="J13" s="208"/>
      <c r="K13" s="209"/>
      <c r="L13" s="205"/>
      <c r="M13" s="210"/>
      <c r="N13" s="210"/>
      <c r="O13" s="210"/>
      <c r="P13" s="210"/>
      <c r="Q13" s="209"/>
      <c r="R13" s="209"/>
      <c r="S13" s="211"/>
      <c r="T13" s="209"/>
      <c r="U13" s="102"/>
      <c r="V13" s="36"/>
      <c r="W13" s="27"/>
      <c r="X13" s="5"/>
      <c r="Y13" s="5"/>
      <c r="Z13" s="5"/>
      <c r="AA13" s="4"/>
      <c r="AB13" s="4"/>
      <c r="AC13" s="4"/>
      <c r="AD13" s="4"/>
      <c r="AE13" s="4"/>
    </row>
    <row r="14" spans="1:31" s="31" customFormat="1" ht="21" customHeight="1">
      <c r="A14" s="283" t="s">
        <v>25</v>
      </c>
      <c r="B14" s="283"/>
      <c r="C14" s="283"/>
      <c r="D14" s="283"/>
      <c r="E14" s="138">
        <f>SUM(E9:E12)</f>
        <v>15500000</v>
      </c>
      <c r="F14" s="138"/>
      <c r="G14" s="138">
        <f>SUM(G9:G12)</f>
        <v>15500000</v>
      </c>
      <c r="H14" s="138"/>
      <c r="I14" s="138">
        <f>SUM(I9:I12)</f>
        <v>0</v>
      </c>
      <c r="J14" s="138"/>
      <c r="K14" s="138">
        <f t="shared" ref="K14:S14" si="21">SUM(K9:K12)</f>
        <v>15500000</v>
      </c>
      <c r="L14" s="138">
        <f t="shared" si="21"/>
        <v>1125000</v>
      </c>
      <c r="M14" s="138">
        <f t="shared" si="21"/>
        <v>16625000</v>
      </c>
      <c r="N14" s="138">
        <f t="shared" si="21"/>
        <v>0</v>
      </c>
      <c r="O14" s="138">
        <f t="shared" si="21"/>
        <v>0</v>
      </c>
      <c r="P14" s="138">
        <f t="shared" si="21"/>
        <v>0</v>
      </c>
      <c r="Q14" s="138">
        <f t="shared" si="21"/>
        <v>16625000</v>
      </c>
      <c r="R14" s="138">
        <f t="shared" si="21"/>
        <v>0</v>
      </c>
      <c r="S14" s="138">
        <f t="shared" si="21"/>
        <v>16625000</v>
      </c>
      <c r="T14" s="25"/>
      <c r="U14" s="102"/>
      <c r="V14" s="32"/>
      <c r="W14" s="32"/>
      <c r="X14" s="32"/>
      <c r="Y14" s="32"/>
      <c r="Z14" s="32"/>
    </row>
    <row r="15" spans="1:31" s="83" customFormat="1" ht="24" customHeight="1">
      <c r="A15" s="186" t="s">
        <v>155</v>
      </c>
      <c r="B15" s="185" t="s">
        <v>156</v>
      </c>
      <c r="C15" s="184"/>
      <c r="D15" s="184"/>
      <c r="E15" s="184"/>
      <c r="F15" s="184"/>
      <c r="G15" s="184"/>
      <c r="H15" s="184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02"/>
      <c r="V15" s="84"/>
      <c r="W15" s="84"/>
      <c r="X15" s="85"/>
      <c r="Y15" s="85"/>
      <c r="Z15" s="85"/>
      <c r="AA15" s="86"/>
      <c r="AB15" s="86"/>
      <c r="AC15" s="86"/>
      <c r="AD15" s="86"/>
      <c r="AE15" s="86"/>
    </row>
    <row r="16" spans="1:31" s="35" customFormat="1" ht="24" customHeight="1">
      <c r="A16" s="37">
        <v>1</v>
      </c>
      <c r="B16" s="139" t="s">
        <v>161</v>
      </c>
      <c r="C16" s="87" t="str">
        <f t="shared" ref="C16:C20" si="22">VLOOKUP(B16,DS,2,0)</f>
        <v>Nguyễn Trường Giang</v>
      </c>
      <c r="D16" s="114" t="str">
        <f t="shared" ref="D16:D20" si="23">VLOOKUP(B16,DS,3,0)</f>
        <v>Thợ in</v>
      </c>
      <c r="E16" s="88">
        <f t="shared" ref="E16:E20" si="24">VLOOKUP(B16,DS,4,0)</f>
        <v>5000000</v>
      </c>
      <c r="F16" s="90">
        <f>VLOOKUP(B16,'CC -4'!$B$8:$AR$29,35,0)</f>
        <v>25</v>
      </c>
      <c r="G16" s="143">
        <f t="shared" ref="G16:G20" si="25">ROUND(E16/$U$2*F16,0)</f>
        <v>5000000</v>
      </c>
      <c r="H16" s="90">
        <f>(VLOOKUP(B16,'CC -4'!$B$8:$AR$29,36,0)+VLOOKUP(B16,'CC -4'!$B$8:$AR$29,37,0))</f>
        <v>0</v>
      </c>
      <c r="I16" s="143">
        <f t="shared" ref="I16:I20" si="26">ROUND(E16/$U$2*H16,0)</f>
        <v>0</v>
      </c>
      <c r="J16" s="144">
        <f t="shared" ref="J16:K20" si="27">F16+H16</f>
        <v>25</v>
      </c>
      <c r="K16" s="38">
        <f t="shared" si="27"/>
        <v>5000000</v>
      </c>
      <c r="L16" s="88">
        <f t="shared" ref="L16:L20" si="28">+F16*15000</f>
        <v>375000</v>
      </c>
      <c r="M16" s="39">
        <f t="shared" ref="M16:M20" si="29">K16+L16</f>
        <v>5375000</v>
      </c>
      <c r="N16" s="39">
        <f>IF(VLOOKUP(B16,DS,9,0)="x",'L - 4'!E16*$N$4,0)</f>
        <v>0</v>
      </c>
      <c r="O16" s="39">
        <f t="shared" ref="O16:O20" si="30">IF(VLOOKUP(B16,DS,9,0)="x",E16*0.015,0)</f>
        <v>0</v>
      </c>
      <c r="P16" s="39">
        <f t="shared" ref="P16:P20" si="31">IF(VLOOKUP(B16,DS,9,0)="x",E16*0.01,0)</f>
        <v>0</v>
      </c>
      <c r="Q16" s="38">
        <f>M16-SUM(N16:P16)</f>
        <v>5375000</v>
      </c>
      <c r="R16" s="38">
        <f t="shared" ref="R16:R20" si="32">VLOOKUP(B16,DS,23,0)</f>
        <v>0</v>
      </c>
      <c r="S16" s="44">
        <f>Q16-R16</f>
        <v>5375000</v>
      </c>
      <c r="T16" s="38"/>
      <c r="U16" s="102"/>
      <c r="V16" s="36"/>
      <c r="W16" s="27"/>
      <c r="X16" s="5"/>
      <c r="Y16" s="5"/>
      <c r="Z16" s="5"/>
      <c r="AA16" s="4"/>
      <c r="AB16" s="4"/>
      <c r="AC16" s="4"/>
      <c r="AD16" s="4"/>
      <c r="AE16" s="4"/>
    </row>
    <row r="17" spans="1:31" s="35" customFormat="1" ht="24" customHeight="1">
      <c r="A17" s="37">
        <v>2</v>
      </c>
      <c r="B17" s="139" t="s">
        <v>162</v>
      </c>
      <c r="C17" s="87" t="str">
        <f t="shared" ref="C17:C18" si="33">VLOOKUP(B17,DS,2,0)</f>
        <v>Võ Văn Kiệt</v>
      </c>
      <c r="D17" s="114" t="str">
        <f t="shared" ref="D17:D18" si="34">VLOOKUP(B17,DS,3,0)</f>
        <v>Công Đoạn 1</v>
      </c>
      <c r="E17" s="88">
        <f t="shared" ref="E17:E18" si="35">VLOOKUP(B17,DS,4,0)</f>
        <v>5000000</v>
      </c>
      <c r="F17" s="90">
        <f>VLOOKUP(B17,'CC -4'!$B$8:$AR$29,35,0)</f>
        <v>25</v>
      </c>
      <c r="G17" s="143">
        <f t="shared" ref="G17:G18" si="36">ROUND(E17/$U$2*F17,0)</f>
        <v>5000000</v>
      </c>
      <c r="H17" s="90">
        <f>(VLOOKUP(B17,'CC -4'!$B$8:$AR$29,36,0)+VLOOKUP(B17,'CC -4'!$B$8:$AR$29,37,0))</f>
        <v>0</v>
      </c>
      <c r="I17" s="143">
        <f t="shared" ref="I17:I18" si="37">ROUND(E17/$U$2*H17,0)</f>
        <v>0</v>
      </c>
      <c r="J17" s="144">
        <f t="shared" ref="J17:J18" si="38">F17+H17</f>
        <v>25</v>
      </c>
      <c r="K17" s="38">
        <f t="shared" ref="K17:K18" si="39">G17+I17</f>
        <v>5000000</v>
      </c>
      <c r="L17" s="88">
        <f t="shared" ref="L17:L18" si="40">+F17*15000</f>
        <v>375000</v>
      </c>
      <c r="M17" s="39">
        <f t="shared" ref="M17:M18" si="41">K17+L17</f>
        <v>5375000</v>
      </c>
      <c r="N17" s="39">
        <f>IF(VLOOKUP(B17,DS,9,0)="x",'L - 4'!E17*$N$4,0)</f>
        <v>0</v>
      </c>
      <c r="O17" s="39">
        <f t="shared" ref="O17:O18" si="42">IF(VLOOKUP(B17,DS,9,0)="x",E17*0.015,0)</f>
        <v>0</v>
      </c>
      <c r="P17" s="39">
        <f t="shared" ref="P17:P18" si="43">IF(VLOOKUP(B17,DS,9,0)="x",E17*0.01,0)</f>
        <v>0</v>
      </c>
      <c r="Q17" s="38">
        <f t="shared" ref="Q17:Q18" si="44">M17-SUM(N17:P17)</f>
        <v>5375000</v>
      </c>
      <c r="R17" s="38">
        <f t="shared" ref="R17:R18" si="45">VLOOKUP(B17,DS,23,0)</f>
        <v>0</v>
      </c>
      <c r="S17" s="44">
        <f t="shared" ref="S17:S18" si="46">Q17-R17</f>
        <v>5375000</v>
      </c>
      <c r="T17" s="38"/>
      <c r="U17" s="102"/>
      <c r="V17" s="36"/>
      <c r="W17" s="27"/>
      <c r="X17" s="5"/>
      <c r="Y17" s="5"/>
      <c r="Z17" s="5"/>
      <c r="AA17" s="4"/>
      <c r="AB17" s="4"/>
      <c r="AC17" s="4"/>
      <c r="AD17" s="4"/>
      <c r="AE17" s="4"/>
    </row>
    <row r="18" spans="1:31" s="35" customFormat="1" ht="24" customHeight="1">
      <c r="A18" s="37">
        <v>3</v>
      </c>
      <c r="B18" s="139" t="s">
        <v>163</v>
      </c>
      <c r="C18" s="87" t="str">
        <f t="shared" si="33"/>
        <v>Diệp Văn Lân</v>
      </c>
      <c r="D18" s="114" t="str">
        <f t="shared" si="34"/>
        <v>Công Đoạn 1</v>
      </c>
      <c r="E18" s="88">
        <f t="shared" si="35"/>
        <v>4200000</v>
      </c>
      <c r="F18" s="90">
        <f>VLOOKUP(B18,'CC -4'!$B$8:$AR$29,35,0)</f>
        <v>25</v>
      </c>
      <c r="G18" s="143">
        <f t="shared" si="36"/>
        <v>4200000</v>
      </c>
      <c r="H18" s="90">
        <f>(VLOOKUP(B18,'CC -4'!$B$8:$AR$29,36,0)+VLOOKUP(B18,'CC -4'!$B$8:$AR$29,37,0))</f>
        <v>0</v>
      </c>
      <c r="I18" s="143">
        <f t="shared" si="37"/>
        <v>0</v>
      </c>
      <c r="J18" s="144">
        <f t="shared" si="38"/>
        <v>25</v>
      </c>
      <c r="K18" s="38">
        <f t="shared" si="39"/>
        <v>4200000</v>
      </c>
      <c r="L18" s="88">
        <f t="shared" si="40"/>
        <v>375000</v>
      </c>
      <c r="M18" s="39">
        <f t="shared" si="41"/>
        <v>4575000</v>
      </c>
      <c r="N18" s="39">
        <f>IF(VLOOKUP(B18,DS,9,0)="x",'L - 4'!E18*$N$4,0)</f>
        <v>0</v>
      </c>
      <c r="O18" s="39">
        <f t="shared" si="42"/>
        <v>0</v>
      </c>
      <c r="P18" s="39">
        <f t="shared" si="43"/>
        <v>0</v>
      </c>
      <c r="Q18" s="38">
        <f t="shared" si="44"/>
        <v>4575000</v>
      </c>
      <c r="R18" s="38">
        <f t="shared" si="45"/>
        <v>0</v>
      </c>
      <c r="S18" s="44">
        <f t="shared" si="46"/>
        <v>4575000</v>
      </c>
      <c r="T18" s="38"/>
      <c r="U18" s="102"/>
      <c r="V18" s="36"/>
      <c r="W18" s="27"/>
      <c r="X18" s="5"/>
      <c r="Y18" s="5"/>
      <c r="Z18" s="5"/>
      <c r="AA18" s="4"/>
      <c r="AB18" s="4"/>
      <c r="AC18" s="4"/>
      <c r="AD18" s="4"/>
      <c r="AE18" s="4"/>
    </row>
    <row r="19" spans="1:31" s="35" customFormat="1" ht="24" customHeight="1">
      <c r="A19" s="37">
        <v>4</v>
      </c>
      <c r="B19" s="139" t="s">
        <v>176</v>
      </c>
      <c r="C19" s="87" t="str">
        <f t="shared" si="22"/>
        <v>Dương Thế Kiệt</v>
      </c>
      <c r="D19" s="114" t="str">
        <f t="shared" si="23"/>
        <v>Công Đoạn 1</v>
      </c>
      <c r="E19" s="88">
        <f t="shared" si="24"/>
        <v>4200000</v>
      </c>
      <c r="F19" s="90">
        <f>VLOOKUP(B19,'CC -4'!$B$8:$AR$29,35,0)</f>
        <v>25</v>
      </c>
      <c r="G19" s="143">
        <f t="shared" si="25"/>
        <v>4200000</v>
      </c>
      <c r="H19" s="90">
        <f>(VLOOKUP(B19,'CC -4'!$B$8:$AR$29,36,0)+VLOOKUP(B19,'CC -4'!$B$8:$AR$29,37,0))</f>
        <v>0</v>
      </c>
      <c r="I19" s="143">
        <f t="shared" si="26"/>
        <v>0</v>
      </c>
      <c r="J19" s="144">
        <f t="shared" si="27"/>
        <v>25</v>
      </c>
      <c r="K19" s="38">
        <f t="shared" si="27"/>
        <v>4200000</v>
      </c>
      <c r="L19" s="88">
        <f t="shared" si="28"/>
        <v>375000</v>
      </c>
      <c r="M19" s="39">
        <f t="shared" si="29"/>
        <v>4575000</v>
      </c>
      <c r="N19" s="39">
        <f>IF(VLOOKUP(B19,DS,9,0)="x",'L - 4'!E19*$N$4,0)</f>
        <v>0</v>
      </c>
      <c r="O19" s="39">
        <f t="shared" si="30"/>
        <v>0</v>
      </c>
      <c r="P19" s="39">
        <f t="shared" si="31"/>
        <v>0</v>
      </c>
      <c r="Q19" s="38">
        <f t="shared" ref="Q19:Q20" si="47">M19-SUM(N19:P19)</f>
        <v>4575000</v>
      </c>
      <c r="R19" s="38">
        <f t="shared" si="32"/>
        <v>0</v>
      </c>
      <c r="S19" s="44">
        <f t="shared" ref="S19:S20" si="48">Q19-R19</f>
        <v>4575000</v>
      </c>
      <c r="T19" s="38"/>
      <c r="U19" s="102"/>
      <c r="V19" s="36"/>
      <c r="W19" s="27"/>
      <c r="X19" s="5"/>
      <c r="Y19" s="5"/>
      <c r="Z19" s="5"/>
      <c r="AA19" s="4"/>
      <c r="AB19" s="4"/>
      <c r="AC19" s="4"/>
      <c r="AD19" s="4"/>
      <c r="AE19" s="4"/>
    </row>
    <row r="20" spans="1:31" s="35" customFormat="1" ht="24" customHeight="1">
      <c r="A20" s="37">
        <v>5</v>
      </c>
      <c r="B20" s="139" t="s">
        <v>177</v>
      </c>
      <c r="C20" s="87" t="str">
        <f t="shared" si="22"/>
        <v>Lê Văn Hữu</v>
      </c>
      <c r="D20" s="114" t="str">
        <f t="shared" si="23"/>
        <v>Công Đoạn 2</v>
      </c>
      <c r="E20" s="88">
        <f t="shared" si="24"/>
        <v>5000000</v>
      </c>
      <c r="F20" s="90">
        <f>VLOOKUP(B20,'CC -4'!$B$8:$AR$29,35,0)</f>
        <v>25</v>
      </c>
      <c r="G20" s="143">
        <f t="shared" si="25"/>
        <v>5000000</v>
      </c>
      <c r="H20" s="90">
        <f>(VLOOKUP(B20,'CC -4'!$B$8:$AR$29,36,0)+VLOOKUP(B20,'CC -4'!$B$8:$AR$29,37,0))</f>
        <v>0</v>
      </c>
      <c r="I20" s="143">
        <f t="shared" si="26"/>
        <v>0</v>
      </c>
      <c r="J20" s="144">
        <f t="shared" si="27"/>
        <v>25</v>
      </c>
      <c r="K20" s="38">
        <f t="shared" si="27"/>
        <v>5000000</v>
      </c>
      <c r="L20" s="88">
        <f t="shared" si="28"/>
        <v>375000</v>
      </c>
      <c r="M20" s="39">
        <f t="shared" si="29"/>
        <v>5375000</v>
      </c>
      <c r="N20" s="39">
        <f>IF(VLOOKUP(B20,DS,9,0)="x",'L - 4'!E20*$N$4,0)</f>
        <v>0</v>
      </c>
      <c r="O20" s="39">
        <f t="shared" si="30"/>
        <v>0</v>
      </c>
      <c r="P20" s="39">
        <f t="shared" si="31"/>
        <v>0</v>
      </c>
      <c r="Q20" s="38">
        <f t="shared" si="47"/>
        <v>5375000</v>
      </c>
      <c r="R20" s="38">
        <f t="shared" si="32"/>
        <v>0</v>
      </c>
      <c r="S20" s="44">
        <f t="shared" si="48"/>
        <v>5375000</v>
      </c>
      <c r="T20" s="38"/>
      <c r="U20" s="102"/>
      <c r="V20" s="36"/>
      <c r="W20" s="27"/>
      <c r="X20" s="5"/>
      <c r="Y20" s="5"/>
      <c r="Z20" s="5"/>
      <c r="AA20" s="4"/>
      <c r="AB20" s="4"/>
      <c r="AC20" s="4"/>
      <c r="AD20" s="4"/>
      <c r="AE20" s="4"/>
    </row>
    <row r="21" spans="1:31" s="35" customFormat="1" ht="24" customHeight="1">
      <c r="A21" s="37">
        <v>6</v>
      </c>
      <c r="B21" s="139" t="s">
        <v>178</v>
      </c>
      <c r="C21" s="87" t="str">
        <f t="shared" ref="C21:C22" si="49">VLOOKUP(B21,DS,2,0)</f>
        <v>Bùi Trường Giang</v>
      </c>
      <c r="D21" s="114" t="str">
        <f t="shared" ref="D21:D22" si="50">VLOOKUP(B21,DS,3,0)</f>
        <v>Công Đoạn 2</v>
      </c>
      <c r="E21" s="88">
        <f t="shared" ref="E21:E22" si="51">VLOOKUP(B21,DS,4,0)</f>
        <v>4200000</v>
      </c>
      <c r="F21" s="90">
        <f>VLOOKUP(B21,'CC -4'!$B$8:$AR$29,35,0)</f>
        <v>25</v>
      </c>
      <c r="G21" s="143">
        <f t="shared" ref="G21:G22" si="52">ROUND(E21/$U$2*F21,0)</f>
        <v>4200000</v>
      </c>
      <c r="H21" s="90">
        <f>(VLOOKUP(B21,'CC -4'!$B$8:$AR$29,36,0)+VLOOKUP(B21,'CC -4'!$B$8:$AR$29,37,0))</f>
        <v>0</v>
      </c>
      <c r="I21" s="143">
        <f t="shared" ref="I21:I22" si="53">ROUND(E21/$U$2*H21,0)</f>
        <v>0</v>
      </c>
      <c r="J21" s="144">
        <f t="shared" ref="J21:J22" si="54">F21+H21</f>
        <v>25</v>
      </c>
      <c r="K21" s="38">
        <f t="shared" ref="K21:K22" si="55">G21+I21</f>
        <v>4200000</v>
      </c>
      <c r="L21" s="88">
        <f t="shared" ref="L21:L22" si="56">+F21*15000</f>
        <v>375000</v>
      </c>
      <c r="M21" s="39">
        <f t="shared" ref="M21:M22" si="57">K21+L21</f>
        <v>4575000</v>
      </c>
      <c r="N21" s="39">
        <f>IF(VLOOKUP(B21,DS,9,0)="x",'L - 4'!E21*$N$4,0)</f>
        <v>0</v>
      </c>
      <c r="O21" s="39">
        <f t="shared" ref="O21:O22" si="58">IF(VLOOKUP(B21,DS,9,0)="x",E21*0.015,0)</f>
        <v>0</v>
      </c>
      <c r="P21" s="39">
        <f t="shared" ref="P21:P22" si="59">IF(VLOOKUP(B21,DS,9,0)="x",E21*0.01,0)</f>
        <v>0</v>
      </c>
      <c r="Q21" s="38">
        <f t="shared" ref="Q21:Q22" si="60">M21-SUM(N21:P21)</f>
        <v>4575000</v>
      </c>
      <c r="R21" s="38">
        <f t="shared" ref="R21:R22" si="61">VLOOKUP(B21,DS,23,0)</f>
        <v>0</v>
      </c>
      <c r="S21" s="44">
        <f t="shared" ref="S21:S22" si="62">Q21-R21</f>
        <v>4575000</v>
      </c>
      <c r="T21" s="38"/>
      <c r="U21" s="102"/>
      <c r="V21" s="36"/>
      <c r="W21" s="27"/>
      <c r="X21" s="5"/>
      <c r="Y21" s="5"/>
      <c r="Z21" s="5"/>
      <c r="AA21" s="4"/>
      <c r="AB21" s="4"/>
      <c r="AC21" s="4"/>
      <c r="AD21" s="4"/>
      <c r="AE21" s="4"/>
    </row>
    <row r="22" spans="1:31" s="35" customFormat="1" ht="24" customHeight="1">
      <c r="A22" s="37">
        <v>7</v>
      </c>
      <c r="B22" s="139" t="s">
        <v>179</v>
      </c>
      <c r="C22" s="87" t="str">
        <f t="shared" si="49"/>
        <v>Nguyễn T Bích Thủy</v>
      </c>
      <c r="D22" s="114" t="str">
        <f t="shared" si="50"/>
        <v>Công Đoạn 2</v>
      </c>
      <c r="E22" s="88">
        <f t="shared" si="51"/>
        <v>4200000</v>
      </c>
      <c r="F22" s="90">
        <f>VLOOKUP(B22,'CC -4'!$B$8:$AR$29,35,0)</f>
        <v>25</v>
      </c>
      <c r="G22" s="143">
        <f t="shared" si="52"/>
        <v>4200000</v>
      </c>
      <c r="H22" s="90">
        <f>(VLOOKUP(B22,'CC -4'!$B$8:$AR$29,36,0)+VLOOKUP(B22,'CC -4'!$B$8:$AR$29,37,0))</f>
        <v>0</v>
      </c>
      <c r="I22" s="143">
        <f t="shared" si="53"/>
        <v>0</v>
      </c>
      <c r="J22" s="144">
        <f t="shared" si="54"/>
        <v>25</v>
      </c>
      <c r="K22" s="38">
        <f t="shared" si="55"/>
        <v>4200000</v>
      </c>
      <c r="L22" s="88">
        <f t="shared" si="56"/>
        <v>375000</v>
      </c>
      <c r="M22" s="39">
        <f t="shared" si="57"/>
        <v>4575000</v>
      </c>
      <c r="N22" s="39">
        <f>IF(VLOOKUP(B22,DS,9,0)="x",'L - 4'!E22*$N$4,0)</f>
        <v>0</v>
      </c>
      <c r="O22" s="39">
        <f t="shared" si="58"/>
        <v>0</v>
      </c>
      <c r="P22" s="39">
        <f t="shared" si="59"/>
        <v>0</v>
      </c>
      <c r="Q22" s="38">
        <f t="shared" si="60"/>
        <v>4575000</v>
      </c>
      <c r="R22" s="38">
        <f t="shared" si="61"/>
        <v>0</v>
      </c>
      <c r="S22" s="44">
        <f t="shared" si="62"/>
        <v>4575000</v>
      </c>
      <c r="T22" s="38"/>
      <c r="U22" s="102"/>
      <c r="V22" s="36"/>
      <c r="W22" s="27"/>
      <c r="X22" s="5"/>
      <c r="Y22" s="5"/>
      <c r="Z22" s="5"/>
      <c r="AA22" s="4"/>
      <c r="AB22" s="4"/>
      <c r="AC22" s="4"/>
      <c r="AD22" s="4"/>
      <c r="AE22" s="4"/>
    </row>
    <row r="23" spans="1:31" s="35" customFormat="1" ht="22.5" customHeight="1">
      <c r="A23" s="40"/>
      <c r="B23" s="183"/>
      <c r="C23" s="41"/>
      <c r="D23" s="3"/>
      <c r="E23" s="42"/>
      <c r="F23" s="42"/>
      <c r="G23" s="42"/>
      <c r="H23" s="42"/>
      <c r="I23" s="42"/>
      <c r="J23" s="43"/>
      <c r="K23" s="42"/>
      <c r="L23" s="42"/>
      <c r="M23" s="182"/>
      <c r="N23" s="42"/>
      <c r="O23" s="42"/>
      <c r="P23" s="42"/>
      <c r="Q23" s="42"/>
      <c r="R23" s="42"/>
      <c r="S23" s="42"/>
      <c r="T23" s="38"/>
      <c r="U23" s="102"/>
      <c r="V23" s="36"/>
      <c r="W23" s="36"/>
      <c r="X23" s="36"/>
      <c r="Y23" s="36"/>
      <c r="Z23" s="36"/>
    </row>
    <row r="24" spans="1:31" s="31" customFormat="1" ht="21" customHeight="1">
      <c r="A24" s="283" t="s">
        <v>25</v>
      </c>
      <c r="B24" s="283"/>
      <c r="C24" s="283"/>
      <c r="D24" s="283"/>
      <c r="E24" s="138">
        <f>SUM(E15:E23)</f>
        <v>31800000</v>
      </c>
      <c r="F24" s="138"/>
      <c r="G24" s="138">
        <f>SUM(G15:G23)</f>
        <v>31800000</v>
      </c>
      <c r="H24" s="138"/>
      <c r="I24" s="138">
        <f>SUM(I15:I23)</f>
        <v>0</v>
      </c>
      <c r="J24" s="138"/>
      <c r="K24" s="138">
        <f t="shared" ref="K24:S24" si="63">SUM(K15:K23)</f>
        <v>31800000</v>
      </c>
      <c r="L24" s="138">
        <f t="shared" si="63"/>
        <v>2625000</v>
      </c>
      <c r="M24" s="138">
        <f t="shared" si="63"/>
        <v>34425000</v>
      </c>
      <c r="N24" s="138">
        <f t="shared" si="63"/>
        <v>0</v>
      </c>
      <c r="O24" s="138">
        <f t="shared" si="63"/>
        <v>0</v>
      </c>
      <c r="P24" s="138">
        <f t="shared" si="63"/>
        <v>0</v>
      </c>
      <c r="Q24" s="138">
        <f t="shared" si="63"/>
        <v>34425000</v>
      </c>
      <c r="R24" s="138">
        <f t="shared" si="63"/>
        <v>0</v>
      </c>
      <c r="S24" s="138">
        <f t="shared" si="63"/>
        <v>34425000</v>
      </c>
      <c r="T24" s="25"/>
      <c r="U24" s="102"/>
      <c r="V24" s="32"/>
      <c r="W24" s="32"/>
      <c r="X24" s="32"/>
      <c r="Y24" s="32"/>
      <c r="Z24" s="32"/>
    </row>
    <row r="25" spans="1:31" ht="11.25" customHeight="1">
      <c r="A25" s="8"/>
      <c r="B25" s="8"/>
      <c r="C25" s="9"/>
      <c r="D25" s="115"/>
      <c r="E25" s="92"/>
      <c r="F25" s="9"/>
      <c r="G25" s="9"/>
      <c r="H25" s="9"/>
      <c r="I25" s="9"/>
      <c r="K25" s="9"/>
      <c r="L25" s="9"/>
      <c r="M25" s="100"/>
      <c r="N25" s="9"/>
      <c r="O25" s="9"/>
      <c r="P25" s="9"/>
      <c r="Q25" s="9"/>
      <c r="R25" s="9"/>
      <c r="S25" s="9"/>
      <c r="T25" s="9"/>
      <c r="U25" s="102"/>
    </row>
    <row r="26" spans="1:31" s="35" customFormat="1" ht="11.25" customHeight="1">
      <c r="A26" s="76"/>
      <c r="B26" s="76"/>
      <c r="C26" s="76"/>
      <c r="D26" s="131"/>
      <c r="E26" s="132"/>
      <c r="F26" s="76"/>
      <c r="G26" s="76"/>
      <c r="H26" s="76"/>
      <c r="I26" s="76"/>
      <c r="J26" s="133"/>
      <c r="K26" s="132"/>
      <c r="L26" s="76"/>
      <c r="M26" s="76"/>
      <c r="N26" s="76"/>
      <c r="O26" s="76"/>
      <c r="P26" s="76"/>
      <c r="Q26" s="76"/>
      <c r="R26" s="76"/>
      <c r="S26" s="106" t="str">
        <f>"Long An, ngày  "&amp;$V$2&amp;"   tháng   "&amp;TEXT(E4,"mm")&amp;"   năm "&amp;TEXT(E4,"yyyy")</f>
        <v>Long An, ngày  31   tháng   04   năm 2015</v>
      </c>
      <c r="T26" s="76"/>
      <c r="U26" s="134"/>
      <c r="V26" s="36"/>
      <c r="W26" s="36"/>
      <c r="X26" s="36"/>
      <c r="Y26" s="36"/>
      <c r="Z26" s="36"/>
    </row>
    <row r="27" spans="1:31" s="35" customFormat="1" ht="12.75">
      <c r="A27" s="28"/>
      <c r="B27" s="28"/>
      <c r="C27" s="28" t="s">
        <v>60</v>
      </c>
      <c r="D27" s="135"/>
      <c r="E27" s="77"/>
      <c r="F27" s="134"/>
      <c r="G27" s="77"/>
      <c r="H27" s="77"/>
      <c r="I27" s="77"/>
      <c r="J27" s="136"/>
      <c r="K27" s="36"/>
      <c r="L27" s="28"/>
      <c r="M27" s="145"/>
      <c r="N27" s="19"/>
      <c r="O27" s="19"/>
      <c r="P27" s="19"/>
      <c r="Q27" s="19"/>
      <c r="S27" s="134" t="s">
        <v>22</v>
      </c>
      <c r="T27" s="134"/>
      <c r="U27" s="134"/>
      <c r="V27" s="36"/>
      <c r="W27" s="36"/>
      <c r="X27" s="36"/>
      <c r="Y27" s="36"/>
      <c r="Z27" s="36"/>
    </row>
    <row r="28" spans="1:31" ht="12">
      <c r="A28" s="8"/>
      <c r="B28" s="8"/>
      <c r="C28" s="15"/>
      <c r="E28" s="13"/>
      <c r="F28" s="12"/>
      <c r="G28" s="13"/>
      <c r="H28" s="13"/>
      <c r="I28" s="13"/>
      <c r="K28" s="7"/>
      <c r="L28" s="15"/>
      <c r="N28" s="11"/>
      <c r="O28" s="11"/>
      <c r="P28" s="11"/>
      <c r="Q28" s="11"/>
      <c r="S28" s="11"/>
      <c r="T28" s="12"/>
      <c r="U28" s="102"/>
    </row>
    <row r="29" spans="1:31" ht="12">
      <c r="C29" s="15"/>
      <c r="L29" s="15"/>
      <c r="T29" s="15"/>
      <c r="U29" s="102"/>
    </row>
    <row r="30" spans="1:31" ht="12">
      <c r="U30" s="102"/>
    </row>
    <row r="31" spans="1:31" ht="12">
      <c r="U31" s="102"/>
    </row>
    <row r="32" spans="1:31" ht="12">
      <c r="U32" s="102"/>
    </row>
    <row r="33" spans="21:21" ht="12">
      <c r="U33" s="102"/>
    </row>
    <row r="34" spans="21:21" ht="12">
      <c r="U34" s="102"/>
    </row>
    <row r="35" spans="21:21" ht="12">
      <c r="U35" s="102"/>
    </row>
  </sheetData>
  <protectedRanges>
    <protectedRange password="CC78" sqref="V23:IK24 C5:D7 B27:C27 V5:W9 A23:A28 B23:B26 B28 V15:W15 Q5:T7 E5:I6 N5:P6 L5 L27 J6:K7 L7 A30:T63 U36:U63 N23:S23 V30:IK63 J23:L23 A64:IK65331 AF15:IK15 V14:IK14 D14:T14 D24:T24 Q10:S13 W10:W13 AF5:IK13 A10:B14" name="Range1"/>
    <protectedRange password="CC78" sqref="F7:H7" name="Range1_4"/>
    <protectedRange password="CC78" sqref="V27:IK28 S27:T28 N27:Q28 E27:I28" name="Range1_1_1"/>
    <protectedRange password="CC78" sqref="U1 W1:IK3 V4:IK4 B4:T4 R2:S3 B1:Q3 U23:U35 X15:AE15 U4:U15 X5:AE13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6:W22 Q16:S22 AF16:IK22 A16:B22" name="Range1_5"/>
    <protectedRange password="CC78" sqref="U16:U22 X16:AE22" name="Range1_2_3"/>
    <protectedRange password="CC78" sqref="V16:V22" name="Range1_1_3"/>
    <protectedRange password="CC78" sqref="K10:K13 K16:K22" name="Range1_6"/>
    <protectedRange password="CC78" sqref="A2:A3" name="Range1_2_1_3"/>
    <protectedRange password="CC78" sqref="U2" name="Range1_2_2_1_1"/>
  </protectedRanges>
  <autoFilter ref="A7:AE10"/>
  <mergeCells count="24">
    <mergeCell ref="A14:D14"/>
    <mergeCell ref="A24:D24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rgb="FFC00000"/>
  </sheetPr>
  <dimension ref="A1:CM46"/>
  <sheetViews>
    <sheetView zoomScaleNormal="115" workbookViewId="0">
      <pane xSplit="3" ySplit="6" topLeftCell="D14" activePane="bottomRight" state="frozen"/>
      <selection activeCell="A2" sqref="A2:A3"/>
      <selection pane="topRight" activeCell="A2" sqref="A2:A3"/>
      <selection pane="bottomLeft" activeCell="A2" sqref="A2:A3"/>
      <selection pane="bottomRight" activeCell="A16" sqref="A16:B2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3" customWidth="1"/>
    <col min="5" max="5" width="7.140625" style="2" customWidth="1"/>
    <col min="6" max="33" width="3.42578125" style="121" customWidth="1"/>
    <col min="34" max="36" width="3.42578125" style="122" customWidth="1"/>
    <col min="37" max="38" width="4.42578125" style="2" customWidth="1"/>
    <col min="39" max="39" width="5.5703125" style="98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7"/>
      <c r="B1" s="52"/>
      <c r="C1" s="52"/>
      <c r="D1" s="56"/>
      <c r="E1" s="52"/>
      <c r="F1" s="56"/>
      <c r="G1" s="56"/>
      <c r="H1" s="56"/>
      <c r="I1" s="56"/>
      <c r="J1" s="56"/>
      <c r="K1" s="117"/>
      <c r="L1" s="117"/>
      <c r="M1" s="117"/>
      <c r="N1" s="117"/>
      <c r="O1" s="117"/>
      <c r="P1" s="117"/>
      <c r="Q1" s="117"/>
      <c r="R1" s="117"/>
      <c r="S1" s="54" t="str">
        <f>CONCATENATE("BẢNG CHẤM CÔNG THÁNG ",TEXT($E$4,"mm")," NĂM ",TEXT($E$4,"yyyy"))</f>
        <v>BẢNG CHẤM CÔNG THÁNG 05 NĂM 2015</v>
      </c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K1" s="53"/>
      <c r="AL1" s="53"/>
      <c r="AM1" s="242" t="s">
        <v>170</v>
      </c>
      <c r="AN1" s="243"/>
      <c r="AO1" s="243"/>
      <c r="AP1" s="243"/>
      <c r="AQ1" s="243"/>
      <c r="AR1" s="243"/>
      <c r="AS1" s="244"/>
      <c r="AT1" s="55"/>
    </row>
    <row r="2" spans="1:91" ht="20.25">
      <c r="A2" s="137"/>
      <c r="B2" s="56"/>
      <c r="C2" s="56"/>
      <c r="D2" s="56"/>
      <c r="E2" s="56"/>
      <c r="F2" s="56"/>
      <c r="G2" s="56"/>
      <c r="H2" s="56"/>
      <c r="I2" s="56"/>
      <c r="J2" s="56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53"/>
      <c r="AL2" s="53"/>
      <c r="AM2" s="94"/>
      <c r="AN2" s="57"/>
      <c r="AO2" s="57"/>
      <c r="AP2" s="57"/>
      <c r="AQ2" s="57"/>
      <c r="AR2" s="57"/>
      <c r="AS2" s="93"/>
      <c r="AT2" s="93"/>
    </row>
    <row r="3" spans="1:91" ht="21" customHeight="1">
      <c r="A3" s="137"/>
      <c r="B3" s="58"/>
      <c r="C3" s="58"/>
      <c r="D3" s="59"/>
      <c r="E3" s="59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53"/>
      <c r="AL3" s="53"/>
      <c r="AM3" s="94"/>
      <c r="AN3" s="55"/>
      <c r="AO3" s="55"/>
      <c r="AP3" s="55"/>
      <c r="AQ3" s="55"/>
      <c r="AR3" s="55"/>
      <c r="AS3" s="60"/>
      <c r="AT3" s="60"/>
    </row>
    <row r="4" spans="1:91" ht="14.25" customHeight="1">
      <c r="A4" s="61"/>
      <c r="B4" s="61"/>
      <c r="C4" s="154"/>
      <c r="D4" s="153"/>
      <c r="E4" s="62">
        <v>42125</v>
      </c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4"/>
      <c r="AI4" s="64"/>
      <c r="AJ4" s="64"/>
      <c r="AK4" s="61"/>
      <c r="AL4" s="61"/>
      <c r="AM4" s="95"/>
      <c r="AN4" s="61"/>
      <c r="AO4" s="61"/>
      <c r="AP4" s="61"/>
      <c r="AQ4" s="61"/>
      <c r="AR4" s="61"/>
      <c r="AS4" s="61"/>
      <c r="AT4" s="99"/>
    </row>
    <row r="5" spans="1:91" s="65" customFormat="1" ht="18.75" customHeight="1">
      <c r="A5" s="245" t="s">
        <v>28</v>
      </c>
      <c r="B5" s="245" t="s">
        <v>3</v>
      </c>
      <c r="C5" s="245" t="s">
        <v>1</v>
      </c>
      <c r="D5" s="247" t="s">
        <v>29</v>
      </c>
      <c r="E5" s="245" t="s">
        <v>30</v>
      </c>
      <c r="F5" s="116">
        <f>+E4</f>
        <v>42125</v>
      </c>
      <c r="G5" s="116">
        <f t="shared" ref="G5:AJ5" si="0">F5+1</f>
        <v>42126</v>
      </c>
      <c r="H5" s="116">
        <f t="shared" si="0"/>
        <v>42127</v>
      </c>
      <c r="I5" s="116">
        <f t="shared" si="0"/>
        <v>42128</v>
      </c>
      <c r="J5" s="116">
        <f t="shared" si="0"/>
        <v>42129</v>
      </c>
      <c r="K5" s="116">
        <f t="shared" si="0"/>
        <v>42130</v>
      </c>
      <c r="L5" s="116">
        <f t="shared" si="0"/>
        <v>42131</v>
      </c>
      <c r="M5" s="116">
        <f t="shared" si="0"/>
        <v>42132</v>
      </c>
      <c r="N5" s="116">
        <f t="shared" si="0"/>
        <v>42133</v>
      </c>
      <c r="O5" s="116">
        <f t="shared" si="0"/>
        <v>42134</v>
      </c>
      <c r="P5" s="116">
        <f t="shared" si="0"/>
        <v>42135</v>
      </c>
      <c r="Q5" s="116">
        <f t="shared" si="0"/>
        <v>42136</v>
      </c>
      <c r="R5" s="116">
        <f t="shared" si="0"/>
        <v>42137</v>
      </c>
      <c r="S5" s="116">
        <f t="shared" si="0"/>
        <v>42138</v>
      </c>
      <c r="T5" s="116">
        <f t="shared" si="0"/>
        <v>42139</v>
      </c>
      <c r="U5" s="116">
        <f t="shared" si="0"/>
        <v>42140</v>
      </c>
      <c r="V5" s="116">
        <f t="shared" si="0"/>
        <v>42141</v>
      </c>
      <c r="W5" s="116">
        <f t="shared" si="0"/>
        <v>42142</v>
      </c>
      <c r="X5" s="116">
        <f t="shared" si="0"/>
        <v>42143</v>
      </c>
      <c r="Y5" s="116">
        <f t="shared" si="0"/>
        <v>42144</v>
      </c>
      <c r="Z5" s="116">
        <f t="shared" si="0"/>
        <v>42145</v>
      </c>
      <c r="AA5" s="116">
        <f t="shared" si="0"/>
        <v>42146</v>
      </c>
      <c r="AB5" s="116">
        <f t="shared" si="0"/>
        <v>42147</v>
      </c>
      <c r="AC5" s="116">
        <f t="shared" si="0"/>
        <v>42148</v>
      </c>
      <c r="AD5" s="116">
        <f t="shared" si="0"/>
        <v>42149</v>
      </c>
      <c r="AE5" s="116">
        <f t="shared" si="0"/>
        <v>42150</v>
      </c>
      <c r="AF5" s="116">
        <f t="shared" si="0"/>
        <v>42151</v>
      </c>
      <c r="AG5" s="116">
        <f t="shared" si="0"/>
        <v>42152</v>
      </c>
      <c r="AH5" s="116">
        <f>AG5+1</f>
        <v>42153</v>
      </c>
      <c r="AI5" s="116">
        <f t="shared" si="0"/>
        <v>42154</v>
      </c>
      <c r="AJ5" s="116">
        <f t="shared" si="0"/>
        <v>42155</v>
      </c>
      <c r="AK5" s="248" t="s">
        <v>15</v>
      </c>
      <c r="AL5" s="249"/>
      <c r="AM5" s="250"/>
      <c r="AN5" s="251" t="s">
        <v>45</v>
      </c>
      <c r="AO5" s="251" t="s">
        <v>41</v>
      </c>
      <c r="AP5" s="251" t="s">
        <v>42</v>
      </c>
      <c r="AQ5" s="251" t="s">
        <v>43</v>
      </c>
      <c r="AR5" s="251" t="s">
        <v>44</v>
      </c>
      <c r="AS5" s="247" t="s">
        <v>0</v>
      </c>
      <c r="AT5" s="26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5" customFormat="1" ht="39.75" customHeight="1">
      <c r="A6" s="246"/>
      <c r="B6" s="246"/>
      <c r="C6" s="246"/>
      <c r="D6" s="246"/>
      <c r="E6" s="246"/>
      <c r="F6" s="172" t="str">
        <f>CHOOSE(WEEKDAY(F5),"C.Nhật","T.Hai","T.Ba","T.Tư","T.Năm","T.Sáu","T.Bảy")</f>
        <v>T.Sáu</v>
      </c>
      <c r="G6" s="172" t="str">
        <f t="shared" ref="G6:AJ6" si="1">CHOOSE(WEEKDAY(G5),"C.Nhật","T.Hai","T.Ba","T.Tư","T.Năm","T.Sáu","T.Bảy")</f>
        <v>T.Bảy</v>
      </c>
      <c r="H6" s="172" t="str">
        <f t="shared" si="1"/>
        <v>C.Nhật</v>
      </c>
      <c r="I6" s="172" t="str">
        <f t="shared" si="1"/>
        <v>T.Hai</v>
      </c>
      <c r="J6" s="172" t="str">
        <f t="shared" si="1"/>
        <v>T.Ba</v>
      </c>
      <c r="K6" s="172" t="str">
        <f t="shared" si="1"/>
        <v>T.Tư</v>
      </c>
      <c r="L6" s="172" t="str">
        <f t="shared" si="1"/>
        <v>T.Năm</v>
      </c>
      <c r="M6" s="172" t="str">
        <f t="shared" si="1"/>
        <v>T.Sáu</v>
      </c>
      <c r="N6" s="172" t="str">
        <f t="shared" si="1"/>
        <v>T.Bảy</v>
      </c>
      <c r="O6" s="172" t="str">
        <f t="shared" si="1"/>
        <v>C.Nhật</v>
      </c>
      <c r="P6" s="172" t="str">
        <f t="shared" si="1"/>
        <v>T.Hai</v>
      </c>
      <c r="Q6" s="172" t="str">
        <f t="shared" si="1"/>
        <v>T.Ba</v>
      </c>
      <c r="R6" s="172" t="str">
        <f t="shared" si="1"/>
        <v>T.Tư</v>
      </c>
      <c r="S6" s="172" t="str">
        <f t="shared" si="1"/>
        <v>T.Năm</v>
      </c>
      <c r="T6" s="172" t="str">
        <f t="shared" si="1"/>
        <v>T.Sáu</v>
      </c>
      <c r="U6" s="172" t="str">
        <f t="shared" si="1"/>
        <v>T.Bảy</v>
      </c>
      <c r="V6" s="172" t="str">
        <f t="shared" si="1"/>
        <v>C.Nhật</v>
      </c>
      <c r="W6" s="172" t="str">
        <f t="shared" si="1"/>
        <v>T.Hai</v>
      </c>
      <c r="X6" s="172" t="str">
        <f t="shared" si="1"/>
        <v>T.Ba</v>
      </c>
      <c r="Y6" s="172" t="str">
        <f t="shared" si="1"/>
        <v>T.Tư</v>
      </c>
      <c r="Z6" s="172" t="str">
        <f t="shared" si="1"/>
        <v>T.Năm</v>
      </c>
      <c r="AA6" s="172" t="str">
        <f t="shared" si="1"/>
        <v>T.Sáu</v>
      </c>
      <c r="AB6" s="172" t="str">
        <f t="shared" si="1"/>
        <v>T.Bảy</v>
      </c>
      <c r="AC6" s="172" t="str">
        <f t="shared" si="1"/>
        <v>C.Nhật</v>
      </c>
      <c r="AD6" s="172" t="str">
        <f t="shared" si="1"/>
        <v>T.Hai</v>
      </c>
      <c r="AE6" s="172" t="str">
        <f t="shared" si="1"/>
        <v>T.Ba</v>
      </c>
      <c r="AF6" s="172" t="str">
        <f t="shared" si="1"/>
        <v>T.Tư</v>
      </c>
      <c r="AG6" s="172" t="str">
        <f t="shared" si="1"/>
        <v>T.Năm</v>
      </c>
      <c r="AH6" s="172" t="str">
        <f t="shared" si="1"/>
        <v>T.Sáu</v>
      </c>
      <c r="AI6" s="172" t="str">
        <f t="shared" si="1"/>
        <v>T.Bảy</v>
      </c>
      <c r="AJ6" s="172" t="str">
        <f t="shared" si="1"/>
        <v>C.Nhật</v>
      </c>
      <c r="AK6" s="173" t="s">
        <v>16</v>
      </c>
      <c r="AL6" s="173" t="s">
        <v>31</v>
      </c>
      <c r="AM6" s="174" t="s">
        <v>17</v>
      </c>
      <c r="AN6" s="252"/>
      <c r="AO6" s="252"/>
      <c r="AP6" s="252"/>
      <c r="AQ6" s="252"/>
      <c r="AR6" s="252"/>
      <c r="AS6" s="246"/>
      <c r="AT6" s="26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5" customFormat="1" ht="12.75" customHeight="1">
      <c r="A7" s="175">
        <v>1</v>
      </c>
      <c r="B7" s="175">
        <v>1</v>
      </c>
      <c r="C7" s="175">
        <v>2</v>
      </c>
      <c r="D7" s="175">
        <v>3</v>
      </c>
      <c r="E7" s="175">
        <v>4</v>
      </c>
      <c r="F7" s="175">
        <v>5</v>
      </c>
      <c r="G7" s="175">
        <v>6</v>
      </c>
      <c r="H7" s="175">
        <v>7</v>
      </c>
      <c r="I7" s="175">
        <v>8</v>
      </c>
      <c r="J7" s="175">
        <v>9</v>
      </c>
      <c r="K7" s="175">
        <v>10</v>
      </c>
      <c r="L7" s="175">
        <v>11</v>
      </c>
      <c r="M7" s="175">
        <v>12</v>
      </c>
      <c r="N7" s="175">
        <v>13</v>
      </c>
      <c r="O7" s="175">
        <v>14</v>
      </c>
      <c r="P7" s="175">
        <v>15</v>
      </c>
      <c r="Q7" s="175">
        <v>16</v>
      </c>
      <c r="R7" s="175">
        <v>17</v>
      </c>
      <c r="S7" s="175">
        <v>18</v>
      </c>
      <c r="T7" s="175">
        <v>19</v>
      </c>
      <c r="U7" s="175">
        <v>20</v>
      </c>
      <c r="V7" s="175">
        <v>21</v>
      </c>
      <c r="W7" s="175">
        <v>22</v>
      </c>
      <c r="X7" s="175">
        <v>23</v>
      </c>
      <c r="Y7" s="175">
        <v>24</v>
      </c>
      <c r="Z7" s="175">
        <v>25</v>
      </c>
      <c r="AA7" s="175">
        <v>26</v>
      </c>
      <c r="AB7" s="175">
        <v>27</v>
      </c>
      <c r="AC7" s="175">
        <v>28</v>
      </c>
      <c r="AD7" s="175">
        <v>29</v>
      </c>
      <c r="AE7" s="175">
        <v>30</v>
      </c>
      <c r="AF7" s="175">
        <v>31</v>
      </c>
      <c r="AG7" s="175">
        <v>32</v>
      </c>
      <c r="AH7" s="175">
        <v>33</v>
      </c>
      <c r="AI7" s="175">
        <v>34</v>
      </c>
      <c r="AJ7" s="175">
        <v>35</v>
      </c>
      <c r="AK7" s="175">
        <v>36</v>
      </c>
      <c r="AL7" s="175">
        <v>37</v>
      </c>
      <c r="AM7" s="175">
        <v>38</v>
      </c>
      <c r="AN7" s="175">
        <v>39</v>
      </c>
      <c r="AO7" s="175">
        <v>40</v>
      </c>
      <c r="AP7" s="175">
        <v>41</v>
      </c>
      <c r="AQ7" s="175">
        <v>42</v>
      </c>
      <c r="AR7" s="175">
        <v>43</v>
      </c>
      <c r="AS7" s="175">
        <v>44</v>
      </c>
      <c r="AT7" s="110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8" customFormat="1" ht="21" customHeight="1">
      <c r="A8" s="176" t="s">
        <v>154</v>
      </c>
      <c r="B8" s="179" t="s">
        <v>169</v>
      </c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0"/>
      <c r="W8" s="180"/>
      <c r="X8" s="180"/>
      <c r="Y8" s="180"/>
      <c r="Z8" s="180"/>
      <c r="AA8" s="180"/>
      <c r="AB8" s="180"/>
      <c r="AC8" s="180"/>
      <c r="AD8" s="180"/>
      <c r="AE8" s="180"/>
      <c r="AF8" s="180"/>
      <c r="AG8" s="180"/>
      <c r="AH8" s="180"/>
      <c r="AI8" s="180"/>
      <c r="AJ8" s="180"/>
      <c r="AK8" s="180"/>
      <c r="AL8" s="180"/>
      <c r="AM8" s="180"/>
      <c r="AN8" s="180"/>
      <c r="AO8" s="180"/>
      <c r="AP8" s="180"/>
      <c r="AQ8" s="180"/>
      <c r="AR8" s="180"/>
      <c r="AS8" s="181"/>
      <c r="AT8" s="177"/>
    </row>
    <row r="9" spans="1:91" s="65" customFormat="1" ht="18" customHeight="1">
      <c r="A9" s="253">
        <v>1</v>
      </c>
      <c r="B9" s="253" t="s">
        <v>159</v>
      </c>
      <c r="C9" s="255" t="str">
        <f>VLOOKUP(B9,DS,2,0)</f>
        <v>Nguyễn Thị Thu Sương</v>
      </c>
      <c r="D9" s="257" t="str">
        <f>VLOOKUP(B9,DS,3,0)</f>
        <v>Kinh Doanh</v>
      </c>
      <c r="E9" s="66" t="s">
        <v>32</v>
      </c>
      <c r="F9" s="141"/>
      <c r="G9" s="141">
        <v>8</v>
      </c>
      <c r="H9" s="141"/>
      <c r="I9" s="141">
        <v>8</v>
      </c>
      <c r="J9" s="141">
        <v>8</v>
      </c>
      <c r="K9" s="141">
        <v>8</v>
      </c>
      <c r="L9" s="141">
        <v>8</v>
      </c>
      <c r="M9" s="141">
        <v>8</v>
      </c>
      <c r="N9" s="141">
        <v>8</v>
      </c>
      <c r="O9" s="141"/>
      <c r="P9" s="141">
        <v>8</v>
      </c>
      <c r="Q9" s="141">
        <v>8</v>
      </c>
      <c r="R9" s="141">
        <v>8</v>
      </c>
      <c r="S9" s="141">
        <v>8</v>
      </c>
      <c r="T9" s="141">
        <v>8</v>
      </c>
      <c r="U9" s="141">
        <v>8</v>
      </c>
      <c r="V9" s="141"/>
      <c r="W9" s="141">
        <v>8</v>
      </c>
      <c r="X9" s="141">
        <v>8</v>
      </c>
      <c r="Y9" s="141">
        <v>8</v>
      </c>
      <c r="Z9" s="141">
        <v>8</v>
      </c>
      <c r="AA9" s="141">
        <v>8</v>
      </c>
      <c r="AB9" s="141">
        <v>8</v>
      </c>
      <c r="AC9" s="141"/>
      <c r="AD9" s="141">
        <v>8</v>
      </c>
      <c r="AE9" s="141">
        <v>8</v>
      </c>
      <c r="AF9" s="141">
        <v>8</v>
      </c>
      <c r="AG9" s="141">
        <v>8</v>
      </c>
      <c r="AH9" s="141">
        <v>8</v>
      </c>
      <c r="AI9" s="141">
        <v>8</v>
      </c>
      <c r="AJ9" s="141"/>
      <c r="AK9" s="259">
        <f>((SUM(F9:AJ9))/8)-(SUMIF($F$6:$AJ$6,"C.Nhật",F9:AJ9)/8)</f>
        <v>25</v>
      </c>
      <c r="AL9" s="259">
        <f>SUM(F10:AJ10)/8*1.5</f>
        <v>0</v>
      </c>
      <c r="AM9" s="262">
        <f>SUMIF($F$6:$AJ$6,"C.Nhật",$F9:$AJ10)/8*2</f>
        <v>0</v>
      </c>
      <c r="AN9" s="264">
        <f>SUM(AK9:AM10)</f>
        <v>25</v>
      </c>
      <c r="AO9" s="266">
        <v>0</v>
      </c>
      <c r="AP9" s="264"/>
      <c r="AQ9" s="264"/>
      <c r="AR9" s="264"/>
      <c r="AS9" s="268"/>
      <c r="AT9" s="110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5" customFormat="1" ht="18" customHeight="1">
      <c r="A10" s="254"/>
      <c r="B10" s="254"/>
      <c r="C10" s="256"/>
      <c r="D10" s="258"/>
      <c r="E10" s="67" t="s">
        <v>31</v>
      </c>
      <c r="F10" s="142"/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260"/>
      <c r="AL10" s="260"/>
      <c r="AM10" s="263"/>
      <c r="AN10" s="265"/>
      <c r="AO10" s="267"/>
      <c r="AP10" s="265"/>
      <c r="AQ10" s="265"/>
      <c r="AR10" s="265"/>
      <c r="AS10" s="269"/>
      <c r="AT10" s="110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5" customFormat="1" ht="18" customHeight="1">
      <c r="A11" s="253">
        <v>2</v>
      </c>
      <c r="B11" s="253" t="s">
        <v>160</v>
      </c>
      <c r="C11" s="255" t="str">
        <f>VLOOKUP(B11,DS,2,0)</f>
        <v>Trần Anh Nhựt</v>
      </c>
      <c r="D11" s="257" t="str">
        <f>VLOOKUP(B11,DS,3,0)</f>
        <v>Thiết Kế</v>
      </c>
      <c r="E11" s="66" t="s">
        <v>32</v>
      </c>
      <c r="F11" s="141"/>
      <c r="G11" s="141">
        <v>8</v>
      </c>
      <c r="H11" s="141"/>
      <c r="I11" s="141">
        <v>8</v>
      </c>
      <c r="J11" s="141">
        <v>8</v>
      </c>
      <c r="K11" s="141">
        <v>8</v>
      </c>
      <c r="L11" s="141">
        <v>8</v>
      </c>
      <c r="M11" s="141">
        <v>8</v>
      </c>
      <c r="N11" s="141">
        <v>8</v>
      </c>
      <c r="O11" s="141"/>
      <c r="P11" s="141">
        <v>8</v>
      </c>
      <c r="Q11" s="141">
        <v>8</v>
      </c>
      <c r="R11" s="141">
        <v>8</v>
      </c>
      <c r="S11" s="141">
        <v>8</v>
      </c>
      <c r="T11" s="141">
        <v>8</v>
      </c>
      <c r="U11" s="141">
        <v>8</v>
      </c>
      <c r="V11" s="141"/>
      <c r="W11" s="141">
        <v>8</v>
      </c>
      <c r="X11" s="141">
        <v>8</v>
      </c>
      <c r="Y11" s="141">
        <v>8</v>
      </c>
      <c r="Z11" s="141">
        <v>8</v>
      </c>
      <c r="AA11" s="141">
        <v>8</v>
      </c>
      <c r="AB11" s="141">
        <v>8</v>
      </c>
      <c r="AC11" s="141"/>
      <c r="AD11" s="141">
        <v>8</v>
      </c>
      <c r="AE11" s="141">
        <v>8</v>
      </c>
      <c r="AF11" s="141">
        <v>8</v>
      </c>
      <c r="AG11" s="141">
        <v>8</v>
      </c>
      <c r="AH11" s="141">
        <v>8</v>
      </c>
      <c r="AI11" s="141">
        <v>8</v>
      </c>
      <c r="AJ11" s="141"/>
      <c r="AK11" s="259">
        <f t="shared" ref="AK11" si="2">((SUM(F11:AJ11))/8)-(SUMIF($F$6:$AJ$6,"C.Nhật",F11:AJ11)/8)</f>
        <v>25</v>
      </c>
      <c r="AL11" s="259">
        <f t="shared" ref="AL11" si="3">SUM(F12:AJ12)/8*1.5</f>
        <v>0</v>
      </c>
      <c r="AM11" s="262">
        <f t="shared" ref="AM11:AM13" si="4">SUMIF($F$6:$AJ$6,"C.Nhật",$F11:$AJ12)/8*2</f>
        <v>0</v>
      </c>
      <c r="AN11" s="264">
        <f t="shared" ref="AN11" si="5">SUM(AK11:AM12)</f>
        <v>25</v>
      </c>
      <c r="AO11" s="266">
        <v>0</v>
      </c>
      <c r="AP11" s="264"/>
      <c r="AQ11" s="264"/>
      <c r="AR11" s="264"/>
      <c r="AS11" s="268"/>
      <c r="AT11" s="22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5" customFormat="1" ht="18" customHeight="1">
      <c r="A12" s="254"/>
      <c r="B12" s="254"/>
      <c r="C12" s="256"/>
      <c r="D12" s="258"/>
      <c r="E12" s="67" t="s">
        <v>31</v>
      </c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260"/>
      <c r="AL12" s="260"/>
      <c r="AM12" s="263"/>
      <c r="AN12" s="265"/>
      <c r="AO12" s="267"/>
      <c r="AP12" s="265"/>
      <c r="AQ12" s="265"/>
      <c r="AR12" s="265"/>
      <c r="AS12" s="269"/>
      <c r="AT12" s="22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5" customFormat="1" ht="18" customHeight="1">
      <c r="A13" s="253">
        <v>3</v>
      </c>
      <c r="B13" s="253" t="s">
        <v>168</v>
      </c>
      <c r="C13" s="255" t="str">
        <f>VLOOKUP(B13,DS,2,0)</f>
        <v>Huỳnh Minh Toàn</v>
      </c>
      <c r="D13" s="257" t="str">
        <f>VLOOKUP(B13,DS,3,0)</f>
        <v>Thủ Kho</v>
      </c>
      <c r="E13" s="66" t="s">
        <v>32</v>
      </c>
      <c r="F13" s="141"/>
      <c r="G13" s="141">
        <v>8</v>
      </c>
      <c r="H13" s="141"/>
      <c r="I13" s="141">
        <v>8</v>
      </c>
      <c r="J13" s="141">
        <v>8</v>
      </c>
      <c r="K13" s="141">
        <v>8</v>
      </c>
      <c r="L13" s="141">
        <v>8</v>
      </c>
      <c r="M13" s="141">
        <v>8</v>
      </c>
      <c r="N13" s="141">
        <v>8</v>
      </c>
      <c r="O13" s="141"/>
      <c r="P13" s="141">
        <v>8</v>
      </c>
      <c r="Q13" s="141">
        <v>8</v>
      </c>
      <c r="R13" s="141">
        <v>8</v>
      </c>
      <c r="S13" s="141">
        <v>8</v>
      </c>
      <c r="T13" s="141">
        <v>8</v>
      </c>
      <c r="U13" s="141">
        <v>8</v>
      </c>
      <c r="V13" s="141"/>
      <c r="W13" s="141">
        <v>8</v>
      </c>
      <c r="X13" s="141">
        <v>8</v>
      </c>
      <c r="Y13" s="141">
        <v>8</v>
      </c>
      <c r="Z13" s="141">
        <v>8</v>
      </c>
      <c r="AA13" s="141">
        <v>8</v>
      </c>
      <c r="AB13" s="141">
        <v>8</v>
      </c>
      <c r="AC13" s="141"/>
      <c r="AD13" s="141">
        <v>8</v>
      </c>
      <c r="AE13" s="141">
        <v>8</v>
      </c>
      <c r="AF13" s="141">
        <v>8</v>
      </c>
      <c r="AG13" s="141">
        <v>8</v>
      </c>
      <c r="AH13" s="141">
        <v>8</v>
      </c>
      <c r="AI13" s="141">
        <v>8</v>
      </c>
      <c r="AJ13" s="141"/>
      <c r="AK13" s="259">
        <f t="shared" ref="AK13" si="6">((SUM(F13:AJ13))/8)-(SUMIF($F$6:$AJ$6,"C.Nhật",F13:AJ13)/8)</f>
        <v>25</v>
      </c>
      <c r="AL13" s="259">
        <f t="shared" ref="AL13" si="7">SUM(F14:AJ14)/8*1.5</f>
        <v>0</v>
      </c>
      <c r="AM13" s="262">
        <f t="shared" si="4"/>
        <v>0</v>
      </c>
      <c r="AN13" s="264">
        <f t="shared" ref="AN13" si="8">SUM(AK13:AM14)</f>
        <v>25</v>
      </c>
      <c r="AO13" s="266">
        <v>0</v>
      </c>
      <c r="AP13" s="264"/>
      <c r="AQ13" s="264"/>
      <c r="AR13" s="264"/>
      <c r="AS13" s="268"/>
      <c r="AT13" s="194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5" customFormat="1" ht="18" customHeight="1">
      <c r="A14" s="254"/>
      <c r="B14" s="254"/>
      <c r="C14" s="256"/>
      <c r="D14" s="258"/>
      <c r="E14" s="67" t="s">
        <v>31</v>
      </c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260"/>
      <c r="AL14" s="260"/>
      <c r="AM14" s="263"/>
      <c r="AN14" s="265"/>
      <c r="AO14" s="267"/>
      <c r="AP14" s="265"/>
      <c r="AQ14" s="265"/>
      <c r="AR14" s="265"/>
      <c r="AS14" s="269"/>
      <c r="AT14" s="194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78" customFormat="1" ht="21" customHeight="1">
      <c r="A15" s="176" t="s">
        <v>155</v>
      </c>
      <c r="B15" s="179" t="s">
        <v>158</v>
      </c>
      <c r="C15" s="180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0"/>
      <c r="U15" s="180"/>
      <c r="V15" s="180"/>
      <c r="W15" s="180"/>
      <c r="X15" s="180"/>
      <c r="Y15" s="180"/>
      <c r="Z15" s="180"/>
      <c r="AA15" s="180"/>
      <c r="AB15" s="180"/>
      <c r="AC15" s="180"/>
      <c r="AD15" s="180"/>
      <c r="AE15" s="180"/>
      <c r="AF15" s="180"/>
      <c r="AG15" s="180"/>
      <c r="AH15" s="180"/>
      <c r="AI15" s="180"/>
      <c r="AJ15" s="180"/>
      <c r="AK15" s="180"/>
      <c r="AL15" s="180"/>
      <c r="AM15" s="180"/>
      <c r="AN15" s="180"/>
      <c r="AO15" s="180"/>
      <c r="AP15" s="180"/>
      <c r="AQ15" s="180"/>
      <c r="AR15" s="180"/>
      <c r="AS15" s="181"/>
      <c r="AT15" s="177"/>
    </row>
    <row r="16" spans="1:91" s="65" customFormat="1" ht="18" customHeight="1">
      <c r="A16" s="253">
        <v>1</v>
      </c>
      <c r="B16" s="253" t="s">
        <v>161</v>
      </c>
      <c r="C16" s="255" t="str">
        <f>VLOOKUP(B16,DS,2,0)</f>
        <v>Nguyễn Trường Giang</v>
      </c>
      <c r="D16" s="257" t="str">
        <f>VLOOKUP(B16,DS,3,0)</f>
        <v>Thợ in</v>
      </c>
      <c r="E16" s="66" t="s">
        <v>32</v>
      </c>
      <c r="F16" s="141"/>
      <c r="G16" s="141">
        <v>8</v>
      </c>
      <c r="H16" s="141"/>
      <c r="I16" s="141">
        <v>8</v>
      </c>
      <c r="J16" s="141">
        <v>8</v>
      </c>
      <c r="K16" s="141">
        <v>8</v>
      </c>
      <c r="L16" s="141">
        <v>8</v>
      </c>
      <c r="M16" s="141">
        <v>8</v>
      </c>
      <c r="N16" s="141">
        <v>8</v>
      </c>
      <c r="O16" s="141"/>
      <c r="P16" s="141">
        <v>8</v>
      </c>
      <c r="Q16" s="141">
        <v>8</v>
      </c>
      <c r="R16" s="141">
        <v>8</v>
      </c>
      <c r="S16" s="141">
        <v>8</v>
      </c>
      <c r="T16" s="141">
        <v>8</v>
      </c>
      <c r="U16" s="141">
        <v>8</v>
      </c>
      <c r="V16" s="141"/>
      <c r="W16" s="141">
        <v>8</v>
      </c>
      <c r="X16" s="141">
        <v>8</v>
      </c>
      <c r="Y16" s="141">
        <v>8</v>
      </c>
      <c r="Z16" s="141">
        <v>8</v>
      </c>
      <c r="AA16" s="141">
        <v>8</v>
      </c>
      <c r="AB16" s="141">
        <v>8</v>
      </c>
      <c r="AC16" s="141"/>
      <c r="AD16" s="141">
        <v>8</v>
      </c>
      <c r="AE16" s="141">
        <v>8</v>
      </c>
      <c r="AF16" s="141">
        <v>8</v>
      </c>
      <c r="AG16" s="141">
        <v>8</v>
      </c>
      <c r="AH16" s="141">
        <v>8</v>
      </c>
      <c r="AI16" s="141">
        <v>8</v>
      </c>
      <c r="AJ16" s="141"/>
      <c r="AK16" s="259">
        <f t="shared" ref="AK16" si="9">((SUM(F16:AJ16))/8)-(SUMIF($F$6:$AJ$6,"C.Nhật",F16:AJ16)/8)</f>
        <v>25</v>
      </c>
      <c r="AL16" s="259">
        <f t="shared" ref="AL16" si="10">SUM(F17:AJ17)/8*1.5</f>
        <v>0</v>
      </c>
      <c r="AM16" s="262">
        <f>SUMIF($F$6:$AJ$6,"C.Nhật",$F16:$AJ17)/8*2</f>
        <v>0</v>
      </c>
      <c r="AN16" s="264">
        <f>SUM(AK16:AM17)</f>
        <v>25</v>
      </c>
      <c r="AO16" s="266">
        <v>0</v>
      </c>
      <c r="AP16" s="264"/>
      <c r="AQ16" s="264"/>
      <c r="AR16" s="264"/>
      <c r="AS16" s="268"/>
      <c r="AT16" s="21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5" customFormat="1" ht="18" customHeight="1">
      <c r="A17" s="254"/>
      <c r="B17" s="254"/>
      <c r="C17" s="256"/>
      <c r="D17" s="258"/>
      <c r="E17" s="67" t="s">
        <v>31</v>
      </c>
      <c r="F17" s="142"/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  <c r="AA17" s="142"/>
      <c r="AB17" s="142"/>
      <c r="AC17" s="142"/>
      <c r="AD17" s="142"/>
      <c r="AE17" s="142"/>
      <c r="AF17" s="142"/>
      <c r="AG17" s="142"/>
      <c r="AH17" s="142"/>
      <c r="AI17" s="142"/>
      <c r="AJ17" s="142"/>
      <c r="AK17" s="260"/>
      <c r="AL17" s="260"/>
      <c r="AM17" s="263"/>
      <c r="AN17" s="265"/>
      <c r="AO17" s="267"/>
      <c r="AP17" s="265"/>
      <c r="AQ17" s="265"/>
      <c r="AR17" s="265"/>
      <c r="AS17" s="269"/>
      <c r="AT17" s="21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5" customFormat="1" ht="18" customHeight="1">
      <c r="A18" s="253">
        <v>2</v>
      </c>
      <c r="B18" s="253" t="s">
        <v>162</v>
      </c>
      <c r="C18" s="255" t="str">
        <f>VLOOKUP(B18,DS,2,0)</f>
        <v>Võ Văn Kiệt</v>
      </c>
      <c r="D18" s="257" t="str">
        <f>VLOOKUP(B18,DS,3,0)</f>
        <v>Công Đoạn 1</v>
      </c>
      <c r="E18" s="66" t="s">
        <v>32</v>
      </c>
      <c r="F18" s="141"/>
      <c r="G18" s="141">
        <v>8</v>
      </c>
      <c r="H18" s="141"/>
      <c r="I18" s="141">
        <v>8</v>
      </c>
      <c r="J18" s="141">
        <v>8</v>
      </c>
      <c r="K18" s="141">
        <v>8</v>
      </c>
      <c r="L18" s="141">
        <v>8</v>
      </c>
      <c r="M18" s="141">
        <v>8</v>
      </c>
      <c r="N18" s="141">
        <v>8</v>
      </c>
      <c r="O18" s="141"/>
      <c r="P18" s="141">
        <v>8</v>
      </c>
      <c r="Q18" s="141">
        <v>8</v>
      </c>
      <c r="R18" s="141">
        <v>8</v>
      </c>
      <c r="S18" s="141">
        <v>8</v>
      </c>
      <c r="T18" s="141">
        <v>8</v>
      </c>
      <c r="U18" s="141">
        <v>8</v>
      </c>
      <c r="V18" s="141"/>
      <c r="W18" s="141">
        <v>8</v>
      </c>
      <c r="X18" s="141">
        <v>8</v>
      </c>
      <c r="Y18" s="141">
        <v>8</v>
      </c>
      <c r="Z18" s="141">
        <v>8</v>
      </c>
      <c r="AA18" s="141">
        <v>8</v>
      </c>
      <c r="AB18" s="141">
        <v>8</v>
      </c>
      <c r="AC18" s="141"/>
      <c r="AD18" s="141">
        <v>8</v>
      </c>
      <c r="AE18" s="141">
        <v>8</v>
      </c>
      <c r="AF18" s="141">
        <v>8</v>
      </c>
      <c r="AG18" s="141">
        <v>8</v>
      </c>
      <c r="AH18" s="141">
        <v>8</v>
      </c>
      <c r="AI18" s="141">
        <v>8</v>
      </c>
      <c r="AJ18" s="141"/>
      <c r="AK18" s="259">
        <f t="shared" ref="AK18" si="11">((SUM(F18:AJ18))/8)-(SUMIF($F$6:$AJ$6,"C.Nhật",F18:AJ18)/8)</f>
        <v>25</v>
      </c>
      <c r="AL18" s="259">
        <f t="shared" ref="AL18" si="12">SUM(F19:AJ19)/8*1.5</f>
        <v>0</v>
      </c>
      <c r="AM18" s="262">
        <f>SUMIF($F$6:$AJ$6,"C.Nhật",$F18:$AJ19)/8*2</f>
        <v>0</v>
      </c>
      <c r="AN18" s="264">
        <f t="shared" ref="AN18" si="13">SUM(AK18:AM19)</f>
        <v>25</v>
      </c>
      <c r="AO18" s="266">
        <v>0</v>
      </c>
      <c r="AP18" s="264"/>
      <c r="AQ18" s="264"/>
      <c r="AR18" s="264"/>
      <c r="AS18" s="268"/>
      <c r="AT18" s="22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5" customFormat="1" ht="18" customHeight="1">
      <c r="A19" s="254"/>
      <c r="B19" s="254"/>
      <c r="C19" s="256"/>
      <c r="D19" s="258"/>
      <c r="E19" s="67" t="s">
        <v>31</v>
      </c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  <c r="Y19" s="142"/>
      <c r="Z19" s="142"/>
      <c r="AA19" s="142"/>
      <c r="AB19" s="142"/>
      <c r="AC19" s="142"/>
      <c r="AD19" s="142"/>
      <c r="AE19" s="142"/>
      <c r="AF19" s="142"/>
      <c r="AG19" s="142"/>
      <c r="AH19" s="142"/>
      <c r="AI19" s="142"/>
      <c r="AJ19" s="142"/>
      <c r="AK19" s="260"/>
      <c r="AL19" s="260"/>
      <c r="AM19" s="263"/>
      <c r="AN19" s="265"/>
      <c r="AO19" s="267"/>
      <c r="AP19" s="265"/>
      <c r="AQ19" s="265"/>
      <c r="AR19" s="265"/>
      <c r="AS19" s="269"/>
      <c r="AT19" s="22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5" customFormat="1" ht="18" customHeight="1">
      <c r="A20" s="253">
        <v>3</v>
      </c>
      <c r="B20" s="253" t="s">
        <v>163</v>
      </c>
      <c r="C20" s="255" t="str">
        <f>VLOOKUP(B20,DS,2,0)</f>
        <v>Diệp Văn Lân</v>
      </c>
      <c r="D20" s="257" t="str">
        <f>VLOOKUP(B20,DS,3,0)</f>
        <v>Công Đoạn 1</v>
      </c>
      <c r="E20" s="66" t="s">
        <v>32</v>
      </c>
      <c r="F20" s="141"/>
      <c r="G20" s="141">
        <v>8</v>
      </c>
      <c r="H20" s="141"/>
      <c r="I20" s="141">
        <v>8</v>
      </c>
      <c r="J20" s="141">
        <v>8</v>
      </c>
      <c r="K20" s="141">
        <v>8</v>
      </c>
      <c r="L20" s="141">
        <v>8</v>
      </c>
      <c r="M20" s="141">
        <v>8</v>
      </c>
      <c r="N20" s="141">
        <v>8</v>
      </c>
      <c r="O20" s="141"/>
      <c r="P20" s="141">
        <v>8</v>
      </c>
      <c r="Q20" s="141">
        <v>8</v>
      </c>
      <c r="R20" s="141">
        <v>8</v>
      </c>
      <c r="S20" s="141">
        <v>8</v>
      </c>
      <c r="T20" s="141">
        <v>8</v>
      </c>
      <c r="U20" s="141">
        <v>8</v>
      </c>
      <c r="V20" s="141"/>
      <c r="W20" s="141">
        <v>8</v>
      </c>
      <c r="X20" s="141">
        <v>8</v>
      </c>
      <c r="Y20" s="141">
        <v>8</v>
      </c>
      <c r="Z20" s="141">
        <v>8</v>
      </c>
      <c r="AA20" s="141">
        <v>8</v>
      </c>
      <c r="AB20" s="141">
        <v>8</v>
      </c>
      <c r="AC20" s="141"/>
      <c r="AD20" s="141">
        <v>8</v>
      </c>
      <c r="AE20" s="141">
        <v>8</v>
      </c>
      <c r="AF20" s="141">
        <v>8</v>
      </c>
      <c r="AG20" s="141">
        <v>8</v>
      </c>
      <c r="AH20" s="141">
        <v>8</v>
      </c>
      <c r="AI20" s="141">
        <v>8</v>
      </c>
      <c r="AJ20" s="141"/>
      <c r="AK20" s="259">
        <f t="shared" ref="AK20" si="14">((SUM(F20:AJ20))/8)-(SUMIF($F$6:$AJ$6,"C.Nhật",F20:AJ20)/8)</f>
        <v>25</v>
      </c>
      <c r="AL20" s="259">
        <f t="shared" ref="AL20" si="15">SUM(F21:AJ21)/8*1.5</f>
        <v>0</v>
      </c>
      <c r="AM20" s="262">
        <f>SUMIF($F$6:$AJ$6,"C.Nhật",$F20:$AJ21)/8*2</f>
        <v>0</v>
      </c>
      <c r="AN20" s="264">
        <f t="shared" ref="AN20" si="16">SUM(AK20:AM21)</f>
        <v>25</v>
      </c>
      <c r="AO20" s="266">
        <v>0</v>
      </c>
      <c r="AP20" s="264"/>
      <c r="AQ20" s="264"/>
      <c r="AR20" s="264"/>
      <c r="AS20" s="268"/>
      <c r="AT20" s="22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5" customFormat="1" ht="18" customHeight="1">
      <c r="A21" s="254"/>
      <c r="B21" s="254"/>
      <c r="C21" s="256"/>
      <c r="D21" s="258"/>
      <c r="E21" s="67" t="s">
        <v>31</v>
      </c>
      <c r="F21" s="142"/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142"/>
      <c r="AA21" s="142"/>
      <c r="AB21" s="142"/>
      <c r="AC21" s="142"/>
      <c r="AD21" s="142"/>
      <c r="AE21" s="142"/>
      <c r="AF21" s="142"/>
      <c r="AG21" s="142"/>
      <c r="AH21" s="142"/>
      <c r="AI21" s="142"/>
      <c r="AJ21" s="142"/>
      <c r="AK21" s="260"/>
      <c r="AL21" s="260"/>
      <c r="AM21" s="263"/>
      <c r="AN21" s="265"/>
      <c r="AO21" s="267"/>
      <c r="AP21" s="265"/>
      <c r="AQ21" s="265"/>
      <c r="AR21" s="265"/>
      <c r="AS21" s="269"/>
      <c r="AT21" s="22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5" customFormat="1" ht="18" customHeight="1">
      <c r="A22" s="253">
        <v>4</v>
      </c>
      <c r="B22" s="253" t="s">
        <v>176</v>
      </c>
      <c r="C22" s="255" t="str">
        <f>VLOOKUP(B22,DS,2,0)</f>
        <v>Dương Thế Kiệt</v>
      </c>
      <c r="D22" s="257" t="str">
        <f>VLOOKUP(B22,DS,3,0)</f>
        <v>Công Đoạn 1</v>
      </c>
      <c r="E22" s="66" t="s">
        <v>32</v>
      </c>
      <c r="F22" s="141"/>
      <c r="G22" s="141">
        <v>8</v>
      </c>
      <c r="H22" s="141"/>
      <c r="I22" s="141">
        <v>8</v>
      </c>
      <c r="J22" s="141">
        <v>8</v>
      </c>
      <c r="K22" s="141">
        <v>8</v>
      </c>
      <c r="L22" s="141">
        <v>8</v>
      </c>
      <c r="M22" s="141">
        <v>8</v>
      </c>
      <c r="N22" s="141">
        <v>8</v>
      </c>
      <c r="O22" s="141"/>
      <c r="P22" s="141">
        <v>8</v>
      </c>
      <c r="Q22" s="141">
        <v>8</v>
      </c>
      <c r="R22" s="141">
        <v>8</v>
      </c>
      <c r="S22" s="141">
        <v>8</v>
      </c>
      <c r="T22" s="141">
        <v>8</v>
      </c>
      <c r="U22" s="141">
        <v>8</v>
      </c>
      <c r="V22" s="141"/>
      <c r="W22" s="141">
        <v>8</v>
      </c>
      <c r="X22" s="141">
        <v>8</v>
      </c>
      <c r="Y22" s="141">
        <v>8</v>
      </c>
      <c r="Z22" s="141">
        <v>8</v>
      </c>
      <c r="AA22" s="141">
        <v>8</v>
      </c>
      <c r="AB22" s="141">
        <v>8</v>
      </c>
      <c r="AC22" s="141"/>
      <c r="AD22" s="141">
        <v>8</v>
      </c>
      <c r="AE22" s="141">
        <v>8</v>
      </c>
      <c r="AF22" s="141">
        <v>8</v>
      </c>
      <c r="AG22" s="141">
        <v>8</v>
      </c>
      <c r="AH22" s="141">
        <v>8</v>
      </c>
      <c r="AI22" s="141">
        <v>8</v>
      </c>
      <c r="AJ22" s="141"/>
      <c r="AK22" s="259">
        <f t="shared" ref="AK22" si="17">((SUM(F22:AJ22))/8)-(SUMIF($F$6:$AJ$6,"C.Nhật",F22:AJ22)/8)</f>
        <v>25</v>
      </c>
      <c r="AL22" s="259">
        <f t="shared" ref="AL22" si="18">SUM(F23:AJ23)/8*1.5</f>
        <v>0</v>
      </c>
      <c r="AM22" s="262">
        <f>SUMIF($F$6:$AJ$6,"C.Nhật",$F22:$AJ23)/8*2</f>
        <v>0</v>
      </c>
      <c r="AN22" s="264">
        <f t="shared" ref="AN22" si="19">SUM(AK22:AM23)</f>
        <v>25</v>
      </c>
      <c r="AO22" s="266">
        <v>0</v>
      </c>
      <c r="AP22" s="264"/>
      <c r="AQ22" s="264"/>
      <c r="AR22" s="264"/>
      <c r="AS22" s="268"/>
      <c r="AT22" s="22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5" customFormat="1" ht="18" customHeight="1">
      <c r="A23" s="254"/>
      <c r="B23" s="254"/>
      <c r="C23" s="256"/>
      <c r="D23" s="258"/>
      <c r="E23" s="67" t="s">
        <v>31</v>
      </c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  <c r="AA23" s="142"/>
      <c r="AB23" s="142"/>
      <c r="AC23" s="142"/>
      <c r="AD23" s="142"/>
      <c r="AE23" s="142"/>
      <c r="AF23" s="142"/>
      <c r="AG23" s="142"/>
      <c r="AH23" s="142"/>
      <c r="AI23" s="142"/>
      <c r="AJ23" s="142"/>
      <c r="AK23" s="260"/>
      <c r="AL23" s="260"/>
      <c r="AM23" s="263"/>
      <c r="AN23" s="265"/>
      <c r="AO23" s="267"/>
      <c r="AP23" s="265"/>
      <c r="AQ23" s="265"/>
      <c r="AR23" s="265"/>
      <c r="AS23" s="269"/>
      <c r="AT23" s="22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5" customFormat="1" ht="18" customHeight="1">
      <c r="A24" s="253">
        <v>5</v>
      </c>
      <c r="B24" s="253" t="s">
        <v>177</v>
      </c>
      <c r="C24" s="255" t="str">
        <f>VLOOKUP(B24,DS,2,0)</f>
        <v>Lê Văn Hữu</v>
      </c>
      <c r="D24" s="257" t="str">
        <f>VLOOKUP(B24,DS,3,0)</f>
        <v>Công Đoạn 2</v>
      </c>
      <c r="E24" s="66" t="s">
        <v>32</v>
      </c>
      <c r="F24" s="141"/>
      <c r="G24" s="141">
        <v>8</v>
      </c>
      <c r="H24" s="141"/>
      <c r="I24" s="141">
        <v>8</v>
      </c>
      <c r="J24" s="141">
        <v>8</v>
      </c>
      <c r="K24" s="141">
        <v>8</v>
      </c>
      <c r="L24" s="141">
        <v>8</v>
      </c>
      <c r="M24" s="141">
        <v>8</v>
      </c>
      <c r="N24" s="141">
        <v>8</v>
      </c>
      <c r="O24" s="141"/>
      <c r="P24" s="141">
        <v>8</v>
      </c>
      <c r="Q24" s="141">
        <v>8</v>
      </c>
      <c r="R24" s="141">
        <v>8</v>
      </c>
      <c r="S24" s="141">
        <v>8</v>
      </c>
      <c r="T24" s="141">
        <v>8</v>
      </c>
      <c r="U24" s="141">
        <v>8</v>
      </c>
      <c r="V24" s="141"/>
      <c r="W24" s="141">
        <v>8</v>
      </c>
      <c r="X24" s="141">
        <v>8</v>
      </c>
      <c r="Y24" s="141">
        <v>8</v>
      </c>
      <c r="Z24" s="141">
        <v>8</v>
      </c>
      <c r="AA24" s="141">
        <v>8</v>
      </c>
      <c r="AB24" s="141">
        <v>8</v>
      </c>
      <c r="AC24" s="141"/>
      <c r="AD24" s="141">
        <v>8</v>
      </c>
      <c r="AE24" s="141">
        <v>8</v>
      </c>
      <c r="AF24" s="141">
        <v>8</v>
      </c>
      <c r="AG24" s="141">
        <v>8</v>
      </c>
      <c r="AH24" s="141">
        <v>8</v>
      </c>
      <c r="AI24" s="141">
        <v>8</v>
      </c>
      <c r="AJ24" s="141"/>
      <c r="AK24" s="259">
        <f t="shared" ref="AK24" si="20">((SUM(F24:AJ24))/8)-(SUMIF($F$6:$AJ$6,"C.Nhật",F24:AJ24)/8)</f>
        <v>25</v>
      </c>
      <c r="AL24" s="259">
        <f t="shared" ref="AL24" si="21">SUM(F25:AJ25)/8*1.5</f>
        <v>0</v>
      </c>
      <c r="AM24" s="262">
        <f>SUMIF($F$6:$AJ$6,"C.Nhật",$F24:$AJ25)/8*2</f>
        <v>0</v>
      </c>
      <c r="AN24" s="264">
        <f t="shared" ref="AN24" si="22">SUM(AK24:AM25)</f>
        <v>25</v>
      </c>
      <c r="AO24" s="266">
        <v>0</v>
      </c>
      <c r="AP24" s="264"/>
      <c r="AQ24" s="264"/>
      <c r="AR24" s="264"/>
      <c r="AS24" s="268"/>
      <c r="AT24" s="22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5" customFormat="1" ht="18" customHeight="1">
      <c r="A25" s="254"/>
      <c r="B25" s="254"/>
      <c r="C25" s="256"/>
      <c r="D25" s="258"/>
      <c r="E25" s="67" t="s">
        <v>31</v>
      </c>
      <c r="F25" s="142"/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  <c r="AA25" s="142"/>
      <c r="AB25" s="142"/>
      <c r="AC25" s="142"/>
      <c r="AD25" s="142"/>
      <c r="AE25" s="142"/>
      <c r="AF25" s="142"/>
      <c r="AG25" s="142"/>
      <c r="AH25" s="142"/>
      <c r="AI25" s="142"/>
      <c r="AJ25" s="142"/>
      <c r="AK25" s="260"/>
      <c r="AL25" s="260"/>
      <c r="AM25" s="263"/>
      <c r="AN25" s="265"/>
      <c r="AO25" s="267"/>
      <c r="AP25" s="265"/>
      <c r="AQ25" s="265"/>
      <c r="AR25" s="265"/>
      <c r="AS25" s="269"/>
      <c r="AT25" s="22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5" customFormat="1" ht="18" customHeight="1">
      <c r="A26" s="253">
        <v>6</v>
      </c>
      <c r="B26" s="253" t="s">
        <v>178</v>
      </c>
      <c r="C26" s="255" t="str">
        <f>VLOOKUP(B26,DS,2,0)</f>
        <v>Bùi Trường Giang</v>
      </c>
      <c r="D26" s="257" t="str">
        <f>VLOOKUP(B26,DS,3,0)</f>
        <v>Công Đoạn 2</v>
      </c>
      <c r="E26" s="66" t="s">
        <v>32</v>
      </c>
      <c r="F26" s="141"/>
      <c r="G26" s="141">
        <v>8</v>
      </c>
      <c r="H26" s="141"/>
      <c r="I26" s="141">
        <v>8</v>
      </c>
      <c r="J26" s="141">
        <v>8</v>
      </c>
      <c r="K26" s="141">
        <v>8</v>
      </c>
      <c r="L26" s="141">
        <v>8</v>
      </c>
      <c r="M26" s="141">
        <v>8</v>
      </c>
      <c r="N26" s="141">
        <v>8</v>
      </c>
      <c r="O26" s="141"/>
      <c r="P26" s="141">
        <v>8</v>
      </c>
      <c r="Q26" s="141">
        <v>8</v>
      </c>
      <c r="R26" s="141">
        <v>8</v>
      </c>
      <c r="S26" s="141">
        <v>8</v>
      </c>
      <c r="T26" s="141">
        <v>8</v>
      </c>
      <c r="U26" s="141">
        <v>8</v>
      </c>
      <c r="V26" s="141"/>
      <c r="W26" s="141">
        <v>8</v>
      </c>
      <c r="X26" s="141">
        <v>8</v>
      </c>
      <c r="Y26" s="141">
        <v>8</v>
      </c>
      <c r="Z26" s="141">
        <v>8</v>
      </c>
      <c r="AA26" s="141">
        <v>8</v>
      </c>
      <c r="AB26" s="141">
        <v>8</v>
      </c>
      <c r="AC26" s="141"/>
      <c r="AD26" s="141">
        <v>8</v>
      </c>
      <c r="AE26" s="141">
        <v>8</v>
      </c>
      <c r="AF26" s="141">
        <v>8</v>
      </c>
      <c r="AG26" s="141">
        <v>8</v>
      </c>
      <c r="AH26" s="141">
        <v>8</v>
      </c>
      <c r="AI26" s="141">
        <v>8</v>
      </c>
      <c r="AJ26" s="141"/>
      <c r="AK26" s="259">
        <f t="shared" ref="AK26" si="23">((SUM(F26:AJ26))/8)-(SUMIF($F$6:$AJ$6,"C.Nhật",F26:AJ26)/8)</f>
        <v>25</v>
      </c>
      <c r="AL26" s="259">
        <f t="shared" ref="AL26" si="24">SUM(F27:AJ27)/8*1.5</f>
        <v>0</v>
      </c>
      <c r="AM26" s="262">
        <f>SUMIF($F$6:$AJ$6,"C.Nhật",$F26:$AJ27)/8*2</f>
        <v>0</v>
      </c>
      <c r="AN26" s="264">
        <f t="shared" ref="AN26" si="25">SUM(AK26:AM27)</f>
        <v>25</v>
      </c>
      <c r="AO26" s="266">
        <v>0</v>
      </c>
      <c r="AP26" s="264"/>
      <c r="AQ26" s="264"/>
      <c r="AR26" s="264"/>
      <c r="AS26" s="268"/>
      <c r="AT26" s="219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5" customFormat="1" ht="18" customHeight="1">
      <c r="A27" s="254"/>
      <c r="B27" s="254"/>
      <c r="C27" s="256"/>
      <c r="D27" s="258"/>
      <c r="E27" s="67" t="s">
        <v>31</v>
      </c>
      <c r="F27" s="142"/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142"/>
      <c r="Z27" s="142"/>
      <c r="AA27" s="142"/>
      <c r="AB27" s="142"/>
      <c r="AC27" s="142"/>
      <c r="AD27" s="142"/>
      <c r="AE27" s="142"/>
      <c r="AF27" s="142"/>
      <c r="AG27" s="142"/>
      <c r="AH27" s="142"/>
      <c r="AI27" s="142"/>
      <c r="AJ27" s="142"/>
      <c r="AK27" s="260"/>
      <c r="AL27" s="260"/>
      <c r="AM27" s="263"/>
      <c r="AN27" s="265"/>
      <c r="AO27" s="267"/>
      <c r="AP27" s="265"/>
      <c r="AQ27" s="265"/>
      <c r="AR27" s="265"/>
      <c r="AS27" s="269"/>
      <c r="AT27" s="219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5" customFormat="1" ht="18" customHeight="1">
      <c r="A28" s="253">
        <v>7</v>
      </c>
      <c r="B28" s="253" t="s">
        <v>179</v>
      </c>
      <c r="C28" s="255" t="str">
        <f>VLOOKUP(B28,DS,2,0)</f>
        <v>Nguyễn T Bích Thủy</v>
      </c>
      <c r="D28" s="257" t="str">
        <f>VLOOKUP(B28,DS,3,0)</f>
        <v>Công Đoạn 2</v>
      </c>
      <c r="E28" s="66" t="s">
        <v>32</v>
      </c>
      <c r="F28" s="141"/>
      <c r="G28" s="141">
        <v>8</v>
      </c>
      <c r="H28" s="141"/>
      <c r="I28" s="141">
        <v>8</v>
      </c>
      <c r="J28" s="141">
        <v>8</v>
      </c>
      <c r="K28" s="141">
        <v>8</v>
      </c>
      <c r="L28" s="141">
        <v>8</v>
      </c>
      <c r="M28" s="141">
        <v>8</v>
      </c>
      <c r="N28" s="141">
        <v>8</v>
      </c>
      <c r="O28" s="141"/>
      <c r="P28" s="141">
        <v>8</v>
      </c>
      <c r="Q28" s="141">
        <v>8</v>
      </c>
      <c r="R28" s="141">
        <v>8</v>
      </c>
      <c r="S28" s="141">
        <v>8</v>
      </c>
      <c r="T28" s="141">
        <v>8</v>
      </c>
      <c r="U28" s="141">
        <v>8</v>
      </c>
      <c r="V28" s="141"/>
      <c r="W28" s="141">
        <v>8</v>
      </c>
      <c r="X28" s="141">
        <v>8</v>
      </c>
      <c r="Y28" s="141">
        <v>8</v>
      </c>
      <c r="Z28" s="141">
        <v>8</v>
      </c>
      <c r="AA28" s="141">
        <v>8</v>
      </c>
      <c r="AB28" s="141">
        <v>8</v>
      </c>
      <c r="AC28" s="141"/>
      <c r="AD28" s="141">
        <v>8</v>
      </c>
      <c r="AE28" s="141">
        <v>8</v>
      </c>
      <c r="AF28" s="141">
        <v>8</v>
      </c>
      <c r="AG28" s="141">
        <v>8</v>
      </c>
      <c r="AH28" s="141">
        <v>8</v>
      </c>
      <c r="AI28" s="141">
        <v>8</v>
      </c>
      <c r="AJ28" s="141"/>
      <c r="AK28" s="259">
        <f t="shared" ref="AK28" si="26">((SUM(F28:AJ28))/8)-(SUMIF($F$6:$AJ$6,"C.Nhật",F28:AJ28)/8)</f>
        <v>25</v>
      </c>
      <c r="AL28" s="259">
        <f t="shared" ref="AL28" si="27">SUM(F29:AJ29)/8*1.5</f>
        <v>0</v>
      </c>
      <c r="AM28" s="262">
        <f>SUMIF($F$6:$AJ$6,"C.Nhật",$F28:$AJ29)/8*2</f>
        <v>0</v>
      </c>
      <c r="AN28" s="264">
        <f t="shared" ref="AN28" si="28">SUM(AK28:AM29)</f>
        <v>25</v>
      </c>
      <c r="AO28" s="266">
        <v>0</v>
      </c>
      <c r="AP28" s="264"/>
      <c r="AQ28" s="264"/>
      <c r="AR28" s="264"/>
      <c r="AS28" s="268"/>
      <c r="AT28" s="219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5" customFormat="1" ht="18" customHeight="1">
      <c r="A29" s="254"/>
      <c r="B29" s="254"/>
      <c r="C29" s="256"/>
      <c r="D29" s="258"/>
      <c r="E29" s="67" t="s">
        <v>31</v>
      </c>
      <c r="F29" s="142"/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  <c r="Y29" s="142"/>
      <c r="Z29" s="142"/>
      <c r="AA29" s="142"/>
      <c r="AB29" s="142"/>
      <c r="AC29" s="142"/>
      <c r="AD29" s="142"/>
      <c r="AE29" s="142"/>
      <c r="AF29" s="142"/>
      <c r="AG29" s="142"/>
      <c r="AH29" s="142"/>
      <c r="AI29" s="142"/>
      <c r="AJ29" s="142"/>
      <c r="AK29" s="260"/>
      <c r="AL29" s="260"/>
      <c r="AM29" s="263"/>
      <c r="AN29" s="265"/>
      <c r="AO29" s="267"/>
      <c r="AP29" s="265"/>
      <c r="AQ29" s="265"/>
      <c r="AR29" s="265"/>
      <c r="AS29" s="269"/>
      <c r="AT29" s="219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8" customFormat="1" ht="12.75">
      <c r="A30" s="14"/>
      <c r="B30" s="69"/>
      <c r="C30" s="4"/>
      <c r="D30" s="111"/>
      <c r="E30" s="4"/>
      <c r="F30" s="73"/>
      <c r="G30" s="73"/>
      <c r="H30" s="70"/>
      <c r="I30" s="70"/>
      <c r="J30" s="118"/>
      <c r="K30" s="73"/>
      <c r="L30" s="70"/>
      <c r="M30" s="73"/>
      <c r="N30" s="73"/>
      <c r="O30" s="73"/>
      <c r="P30" s="73"/>
      <c r="Q30" s="70"/>
      <c r="R30" s="73"/>
      <c r="S30" s="73"/>
      <c r="T30" s="118"/>
      <c r="U30" s="73"/>
      <c r="V30" s="73"/>
      <c r="W30" s="73"/>
      <c r="X30" s="69"/>
      <c r="Y30" s="73"/>
      <c r="Z30" s="73"/>
      <c r="AA30" s="73"/>
      <c r="AB30" s="73"/>
      <c r="AC30" s="73"/>
      <c r="AD30" s="70"/>
      <c r="AE30" s="73"/>
      <c r="AF30" s="73"/>
      <c r="AG30" s="73"/>
      <c r="AH30" s="73"/>
      <c r="AI30" s="73"/>
      <c r="AJ30" s="73"/>
      <c r="AK30" s="4"/>
      <c r="AL30" s="4"/>
      <c r="AM30" s="96"/>
      <c r="AN30" s="72"/>
      <c r="AO30" s="72"/>
      <c r="AP30" s="72"/>
      <c r="AQ30" s="72"/>
      <c r="AR30" s="72"/>
      <c r="AS30" s="4"/>
      <c r="AT30" s="102"/>
    </row>
    <row r="31" spans="1:90" s="68" customFormat="1" ht="12.75">
      <c r="A31" s="14"/>
      <c r="B31" s="69"/>
      <c r="C31" s="14" t="s">
        <v>14</v>
      </c>
      <c r="D31" s="111"/>
      <c r="E31" s="4"/>
      <c r="F31" s="73"/>
      <c r="G31" s="73"/>
      <c r="H31" s="70"/>
      <c r="I31" s="70"/>
      <c r="J31" s="118"/>
      <c r="K31" s="73"/>
      <c r="L31" s="70"/>
      <c r="M31" s="73"/>
      <c r="N31" s="73"/>
      <c r="O31" s="73"/>
      <c r="P31" s="73"/>
      <c r="Q31" s="70"/>
      <c r="R31" s="73"/>
      <c r="S31" s="73"/>
      <c r="T31" s="118"/>
      <c r="U31" s="73"/>
      <c r="V31" s="73"/>
      <c r="W31" s="73"/>
      <c r="X31" s="69"/>
      <c r="Y31" s="73"/>
      <c r="Z31" s="73"/>
      <c r="AA31" s="73"/>
      <c r="AB31" s="73"/>
      <c r="AC31" s="73"/>
      <c r="AD31" s="70"/>
      <c r="AE31" s="73"/>
      <c r="AF31" s="73"/>
      <c r="AG31" s="73"/>
      <c r="AH31" s="73"/>
      <c r="AI31" s="73"/>
      <c r="AJ31" s="73"/>
      <c r="AK31" s="4"/>
      <c r="AL31" s="4"/>
      <c r="AM31" s="96"/>
      <c r="AN31" s="72"/>
      <c r="AO31" s="72"/>
      <c r="AP31" s="72"/>
      <c r="AQ31" s="72"/>
      <c r="AR31" s="72"/>
      <c r="AS31" s="4"/>
      <c r="AT31" s="102"/>
    </row>
    <row r="32" spans="1:90" s="68" customFormat="1" ht="12.75">
      <c r="A32" s="12"/>
      <c r="B32" s="12"/>
      <c r="C32" s="4"/>
      <c r="D32" s="111"/>
      <c r="E32" s="4"/>
      <c r="F32" s="73"/>
      <c r="G32" s="73"/>
      <c r="H32" s="119"/>
      <c r="I32" s="119"/>
      <c r="J32" s="119"/>
      <c r="K32" s="73"/>
      <c r="L32" s="119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119"/>
      <c r="AE32" s="73"/>
      <c r="AF32" s="73"/>
      <c r="AG32" s="73"/>
      <c r="AH32" s="73"/>
      <c r="AI32" s="73"/>
      <c r="AJ32" s="73"/>
      <c r="AK32" s="4"/>
      <c r="AL32" s="4"/>
      <c r="AM32" s="96"/>
      <c r="AN32" s="74"/>
      <c r="AO32" s="74"/>
      <c r="AP32" s="74"/>
      <c r="AQ32" s="74"/>
      <c r="AR32" s="74"/>
      <c r="AS32" s="4"/>
      <c r="AT32" s="102"/>
    </row>
    <row r="33" spans="1:46" s="71" customFormat="1" ht="15" customHeight="1">
      <c r="A33" s="12"/>
      <c r="B33" s="12"/>
      <c r="C33" s="4"/>
      <c r="D33" s="111"/>
      <c r="E33" s="4"/>
      <c r="F33" s="73"/>
      <c r="G33" s="73"/>
      <c r="H33" s="119"/>
      <c r="I33" s="119"/>
      <c r="J33" s="119"/>
      <c r="K33" s="73"/>
      <c r="L33" s="119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119"/>
      <c r="AE33" s="73"/>
      <c r="AF33" s="73"/>
      <c r="AG33" s="73"/>
      <c r="AH33" s="73"/>
      <c r="AI33" s="73"/>
      <c r="AJ33" s="73"/>
      <c r="AK33" s="4"/>
      <c r="AL33" s="4"/>
      <c r="AM33" s="96"/>
      <c r="AN33" s="74"/>
      <c r="AO33" s="74"/>
      <c r="AP33" s="74"/>
      <c r="AQ33" s="74"/>
      <c r="AR33" s="74"/>
      <c r="AS33" s="4"/>
      <c r="AT33" s="4"/>
    </row>
    <row r="34" spans="1:46" s="71" customFormat="1" ht="11.25">
      <c r="A34" s="12"/>
      <c r="B34" s="12"/>
      <c r="C34" s="4"/>
      <c r="D34" s="111"/>
      <c r="E34" s="4"/>
      <c r="F34" s="73"/>
      <c r="G34" s="73"/>
      <c r="H34" s="119"/>
      <c r="I34" s="119"/>
      <c r="J34" s="119"/>
      <c r="K34" s="73"/>
      <c r="L34" s="119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119"/>
      <c r="AE34" s="73"/>
      <c r="AF34" s="73"/>
      <c r="AG34" s="73"/>
      <c r="AH34" s="73"/>
      <c r="AI34" s="73"/>
      <c r="AJ34" s="73"/>
      <c r="AK34" s="4"/>
      <c r="AL34" s="4"/>
      <c r="AM34" s="96"/>
      <c r="AN34" s="74"/>
      <c r="AO34" s="74"/>
      <c r="AP34" s="74"/>
      <c r="AQ34" s="74"/>
      <c r="AR34" s="74"/>
      <c r="AS34" s="4"/>
      <c r="AT34" s="4"/>
    </row>
    <row r="35" spans="1:46" s="71" customFormat="1" ht="11.25">
      <c r="A35" s="12"/>
      <c r="B35" s="12"/>
      <c r="C35" s="4"/>
      <c r="D35" s="111"/>
      <c r="E35" s="4"/>
      <c r="F35" s="73"/>
      <c r="G35" s="73"/>
      <c r="H35" s="119"/>
      <c r="I35" s="119"/>
      <c r="J35" s="119"/>
      <c r="K35" s="73"/>
      <c r="L35" s="119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119"/>
      <c r="AE35" s="73"/>
      <c r="AF35" s="73"/>
      <c r="AG35" s="73"/>
      <c r="AH35" s="73"/>
      <c r="AI35" s="73"/>
      <c r="AJ35" s="73"/>
      <c r="AK35" s="4"/>
      <c r="AL35" s="4"/>
      <c r="AM35" s="96"/>
      <c r="AN35" s="74"/>
      <c r="AO35" s="74"/>
      <c r="AP35" s="74"/>
      <c r="AQ35" s="74"/>
      <c r="AR35" s="74"/>
      <c r="AS35" s="4"/>
      <c r="AT35" s="4"/>
    </row>
    <row r="36" spans="1:46" s="71" customFormat="1" ht="11.25">
      <c r="A36" s="10"/>
      <c r="B36" s="10"/>
      <c r="C36" s="14"/>
      <c r="D36" s="112"/>
      <c r="E36" s="75"/>
      <c r="F36" s="118"/>
      <c r="G36" s="120"/>
      <c r="H36" s="70"/>
      <c r="I36" s="70"/>
      <c r="J36" s="70"/>
      <c r="K36" s="120"/>
      <c r="L36" s="70"/>
      <c r="M36" s="120"/>
      <c r="N36" s="120"/>
      <c r="O36" s="120"/>
      <c r="P36" s="120"/>
      <c r="Q36" s="70"/>
      <c r="R36" s="118"/>
      <c r="S36" s="120"/>
      <c r="T36" s="120"/>
      <c r="U36" s="70"/>
      <c r="V36" s="120"/>
      <c r="W36" s="120"/>
      <c r="X36" s="70"/>
      <c r="Y36" s="120"/>
      <c r="Z36" s="120"/>
      <c r="AA36" s="120"/>
      <c r="AB36" s="120"/>
      <c r="AC36" s="120"/>
      <c r="AD36" s="70"/>
      <c r="AE36" s="120"/>
      <c r="AF36" s="120"/>
      <c r="AG36" s="120"/>
      <c r="AH36" s="120"/>
      <c r="AI36" s="120"/>
      <c r="AJ36" s="120"/>
      <c r="AK36" s="75"/>
      <c r="AM36" s="97"/>
      <c r="AN36" s="10"/>
      <c r="AO36" s="10"/>
      <c r="AP36" s="10"/>
      <c r="AQ36" s="10"/>
      <c r="AR36" s="10"/>
      <c r="AS36" s="14"/>
      <c r="AT36" s="4"/>
    </row>
    <row r="37" spans="1:46" s="71" customFormat="1" ht="12.75">
      <c r="A37" s="2"/>
      <c r="B37" s="2" t="s">
        <v>0</v>
      </c>
      <c r="C37" s="2"/>
      <c r="D37" s="113"/>
      <c r="E37" s="2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2"/>
      <c r="AI37" s="122"/>
      <c r="AJ37" s="122"/>
      <c r="AK37" s="2"/>
      <c r="AL37" s="2"/>
      <c r="AM37" s="98"/>
      <c r="AN37" s="2"/>
      <c r="AO37" s="2"/>
      <c r="AP37" s="2"/>
      <c r="AQ37" s="2"/>
      <c r="AR37" s="2"/>
      <c r="AS37" s="2"/>
      <c r="AT37" s="4"/>
    </row>
    <row r="38" spans="1:46" s="71" customFormat="1" ht="12.75">
      <c r="A38" s="2"/>
      <c r="B38" s="2"/>
      <c r="C38" s="2" t="s">
        <v>46</v>
      </c>
      <c r="D38" s="113"/>
      <c r="E38" s="2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1"/>
      <c r="AD38" s="121"/>
      <c r="AE38" s="121"/>
      <c r="AF38" s="121"/>
      <c r="AG38" s="121"/>
      <c r="AH38" s="122"/>
      <c r="AI38" s="122"/>
      <c r="AJ38" s="122"/>
      <c r="AK38" s="2"/>
      <c r="AL38" s="2"/>
      <c r="AM38" s="98"/>
      <c r="AN38" s="2"/>
      <c r="AO38" s="2"/>
      <c r="AP38" s="2"/>
      <c r="AQ38" s="2"/>
      <c r="AR38" s="2"/>
      <c r="AS38" s="2"/>
      <c r="AT38" s="14"/>
    </row>
    <row r="39" spans="1:46" ht="15" customHeight="1">
      <c r="C39" s="2" t="s">
        <v>47</v>
      </c>
    </row>
    <row r="40" spans="1:46" ht="15" customHeight="1">
      <c r="C40" s="2" t="s">
        <v>48</v>
      </c>
    </row>
    <row r="41" spans="1:46" ht="15" customHeight="1">
      <c r="C41" s="2" t="s">
        <v>49</v>
      </c>
    </row>
    <row r="42" spans="1:46" ht="15" customHeight="1">
      <c r="C42" s="2" t="s">
        <v>50</v>
      </c>
    </row>
    <row r="43" spans="1:46" ht="15" customHeight="1">
      <c r="C43" s="2" t="s">
        <v>51</v>
      </c>
    </row>
    <row r="44" spans="1:46" ht="15" customHeight="1">
      <c r="C44" s="2" t="s">
        <v>52</v>
      </c>
    </row>
    <row r="45" spans="1:46" ht="15" customHeight="1">
      <c r="C45" s="2" t="s">
        <v>53</v>
      </c>
    </row>
    <row r="46" spans="1:46" ht="15" customHeight="1">
      <c r="C46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2:J35 Q30:Q31" name="Range1_1_1_1"/>
    <protectedRange password="CC78" sqref="J36" name="Range1_3_1_1"/>
    <protectedRange password="CC78" sqref="A16:A29" name="Range1_1_2"/>
    <protectedRange password="CC78" sqref="C16:E29 A16:A29" name="Range1_6_2"/>
    <protectedRange password="CC78" sqref="B16:B29" name="Range1_4_2"/>
  </protectedRanges>
  <mergeCells count="144">
    <mergeCell ref="C18:C19"/>
    <mergeCell ref="D18:D19"/>
    <mergeCell ref="AK18:AK19"/>
    <mergeCell ref="AL18:AL19"/>
    <mergeCell ref="AM18:AM19"/>
    <mergeCell ref="AN18:AN19"/>
    <mergeCell ref="AO18:AO19"/>
    <mergeCell ref="AP18:AP19"/>
    <mergeCell ref="A22:A23"/>
    <mergeCell ref="B22:B23"/>
    <mergeCell ref="C22:C23"/>
    <mergeCell ref="D22:D23"/>
    <mergeCell ref="AK22:AK23"/>
    <mergeCell ref="AP22:AP23"/>
    <mergeCell ref="AQ22:AQ23"/>
    <mergeCell ref="AR22:AR23"/>
    <mergeCell ref="AS18:AS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P20:AP21"/>
    <mergeCell ref="AQ20:AQ21"/>
    <mergeCell ref="AR20:AR21"/>
    <mergeCell ref="AS20:AS21"/>
    <mergeCell ref="A18:A19"/>
    <mergeCell ref="B18:B19"/>
    <mergeCell ref="AK24:AK25"/>
    <mergeCell ref="AL24:AL25"/>
    <mergeCell ref="AM24:AM25"/>
    <mergeCell ref="AN24:AN25"/>
    <mergeCell ref="AO24:AO25"/>
    <mergeCell ref="AP24:AP25"/>
    <mergeCell ref="AQ24:AQ25"/>
    <mergeCell ref="AR24:AR25"/>
    <mergeCell ref="AS24:AS25"/>
    <mergeCell ref="AS28:AS29"/>
    <mergeCell ref="AL28:AL29"/>
    <mergeCell ref="AM28:AM29"/>
    <mergeCell ref="AN28:AN29"/>
    <mergeCell ref="AO28:AO29"/>
    <mergeCell ref="AP28:AP29"/>
    <mergeCell ref="A16:A17"/>
    <mergeCell ref="B16:B17"/>
    <mergeCell ref="C16:C17"/>
    <mergeCell ref="AQ28:AQ29"/>
    <mergeCell ref="AR28:AR29"/>
    <mergeCell ref="A28:A29"/>
    <mergeCell ref="B28:B29"/>
    <mergeCell ref="C28:C29"/>
    <mergeCell ref="D28:D29"/>
    <mergeCell ref="AK28:AK29"/>
    <mergeCell ref="AQ26:AQ27"/>
    <mergeCell ref="AR26:AR27"/>
    <mergeCell ref="A26:A27"/>
    <mergeCell ref="AS22:AS23"/>
    <mergeCell ref="A24:A25"/>
    <mergeCell ref="B24:B25"/>
    <mergeCell ref="C24:C25"/>
    <mergeCell ref="D24:D25"/>
    <mergeCell ref="B26:B27"/>
    <mergeCell ref="C26:C27"/>
    <mergeCell ref="D26:D27"/>
    <mergeCell ref="AS26:AS27"/>
    <mergeCell ref="AL16:AL17"/>
    <mergeCell ref="AM16:AM17"/>
    <mergeCell ref="AN16:AN17"/>
    <mergeCell ref="AO16:AO17"/>
    <mergeCell ref="AP16:AP17"/>
    <mergeCell ref="AL26:AL27"/>
    <mergeCell ref="AM26:AM27"/>
    <mergeCell ref="AN26:AN27"/>
    <mergeCell ref="AO26:AO27"/>
    <mergeCell ref="AP26:AP27"/>
    <mergeCell ref="AS16:AS17"/>
    <mergeCell ref="AL22:AL23"/>
    <mergeCell ref="AM22:AM23"/>
    <mergeCell ref="AN22:AN23"/>
    <mergeCell ref="AO22:AO23"/>
    <mergeCell ref="AK26:AK27"/>
    <mergeCell ref="D16:D17"/>
    <mergeCell ref="AK16:AK17"/>
    <mergeCell ref="AQ16:AQ17"/>
    <mergeCell ref="AR16:AR17"/>
    <mergeCell ref="AQ18:AQ19"/>
    <mergeCell ref="AR18:AR19"/>
    <mergeCell ref="AL13:AL14"/>
    <mergeCell ref="AM13:AM14"/>
    <mergeCell ref="AN13:AN14"/>
    <mergeCell ref="AO13:AO14"/>
    <mergeCell ref="AK5:AM5"/>
    <mergeCell ref="AK9:AK10"/>
    <mergeCell ref="AN9:AN10"/>
    <mergeCell ref="AL9:AL10"/>
    <mergeCell ref="AL11:AL12"/>
    <mergeCell ref="AM11:AM12"/>
    <mergeCell ref="AN11:AN12"/>
    <mergeCell ref="AO11:AO12"/>
    <mergeCell ref="AK11:AK12"/>
    <mergeCell ref="AM1:AS1"/>
    <mergeCell ref="AP13:AP14"/>
    <mergeCell ref="AQ13:AQ14"/>
    <mergeCell ref="AR13:AR14"/>
    <mergeCell ref="AS13:AS14"/>
    <mergeCell ref="AM9:AM10"/>
    <mergeCell ref="AO5:AO6"/>
    <mergeCell ref="AP5:AP6"/>
    <mergeCell ref="AN5:AN6"/>
    <mergeCell ref="AQ5:AQ6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9:A10"/>
    <mergeCell ref="B9:B10"/>
    <mergeCell ref="C9:C10"/>
    <mergeCell ref="D9:D10"/>
    <mergeCell ref="A11:A12"/>
    <mergeCell ref="B11:B12"/>
    <mergeCell ref="C11:C12"/>
    <mergeCell ref="D11:D12"/>
    <mergeCell ref="E5:E6"/>
    <mergeCell ref="A5:A6"/>
    <mergeCell ref="C5:C6"/>
    <mergeCell ref="D5:D6"/>
    <mergeCell ref="B5:B6"/>
    <mergeCell ref="AT5:AT6"/>
    <mergeCell ref="AO9:AO10"/>
    <mergeCell ref="AP9:AP10"/>
    <mergeCell ref="AQ9:AQ10"/>
    <mergeCell ref="AR9:AR10"/>
    <mergeCell ref="AS9:AS10"/>
    <mergeCell ref="AS5:AS6"/>
    <mergeCell ref="AR5:AR6"/>
  </mergeCells>
  <phoneticPr fontId="47" type="noConversion"/>
  <conditionalFormatting sqref="F5:AJ6 F9:AJ10 F13:AJ14">
    <cfRule type="expression" dxfId="135" priority="45" stopIfTrue="1">
      <formula>IF(WEEKDAY(F$5)=1,TRUE,FALSE)</formula>
    </cfRule>
  </conditionalFormatting>
  <conditionalFormatting sqref="F9:AJ10 F13:AJ14">
    <cfRule type="expression" dxfId="134" priority="42" stopIfTrue="1">
      <formula>IF(WEEKDAY(F$5)=1,TRUE,FALSE)</formula>
    </cfRule>
  </conditionalFormatting>
  <conditionalFormatting sqref="F16:AJ17 F26:AJ29">
    <cfRule type="expression" dxfId="133" priority="8" stopIfTrue="1">
      <formula>IF(WEEKDAY(F$5)=1,TRUE,FALSE)</formula>
    </cfRule>
  </conditionalFormatting>
  <conditionalFormatting sqref="F16:AJ17 F26:AJ29">
    <cfRule type="expression" dxfId="132" priority="7" stopIfTrue="1">
      <formula>IF(WEEKDAY(F$5)=1,TRUE,FALSE)</formula>
    </cfRule>
  </conditionalFormatting>
  <conditionalFormatting sqref="F11:AJ12">
    <cfRule type="expression" dxfId="131" priority="6" stopIfTrue="1">
      <formula>IF(WEEKDAY(F$5)=1,TRUE,FALSE)</formula>
    </cfRule>
  </conditionalFormatting>
  <conditionalFormatting sqref="F11:AJ12">
    <cfRule type="expression" dxfId="130" priority="5" stopIfTrue="1">
      <formula>IF(WEEKDAY(F$5)=1,TRUE,FALSE)</formula>
    </cfRule>
  </conditionalFormatting>
  <conditionalFormatting sqref="F22:AJ25">
    <cfRule type="expression" dxfId="129" priority="4" stopIfTrue="1">
      <formula>IF(WEEKDAY(F$5)=1,TRUE,FALSE)</formula>
    </cfRule>
  </conditionalFormatting>
  <conditionalFormatting sqref="F22:AJ25">
    <cfRule type="expression" dxfId="128" priority="3" stopIfTrue="1">
      <formula>IF(WEEKDAY(F$5)=1,TRUE,FALSE)</formula>
    </cfRule>
  </conditionalFormatting>
  <conditionalFormatting sqref="F18:AJ21">
    <cfRule type="expression" dxfId="127" priority="2" stopIfTrue="1">
      <formula>IF(WEEKDAY(F$5)=1,TRUE,FALSE)</formula>
    </cfRule>
  </conditionalFormatting>
  <conditionalFormatting sqref="F18:AJ21">
    <cfRule type="expression" dxfId="12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tabColor theme="3" tint="-0.249977111117893"/>
  </sheetPr>
  <dimension ref="A1:AE35"/>
  <sheetViews>
    <sheetView zoomScaleNormal="70" workbookViewId="0">
      <pane xSplit="3" ySplit="8" topLeftCell="D15" activePane="bottomRight" state="frozen"/>
      <selection activeCell="A2" sqref="A2:A3"/>
      <selection pane="topRight" activeCell="A2" sqref="A2:A3"/>
      <selection pane="bottomLeft" activeCell="A2" sqref="A2:A3"/>
      <selection pane="bottomRight" activeCell="S24" activeCellId="1" sqref="S14 S24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9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7"/>
      <c r="B1" s="46"/>
      <c r="C1" s="46"/>
      <c r="D1" s="270" t="str">
        <f>"BẢNG THANH TOÁN LƯƠNG THÁNG"&amp;" "&amp;TEXT($E$4,"mm")&amp;" / "&amp;TEXT($E$4,"yyyy")</f>
        <v>BẢNG THANH TOÁN LƯƠNG THÁNG 05 / 2015</v>
      </c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1"/>
      <c r="R1" s="272" t="s">
        <v>170</v>
      </c>
      <c r="S1" s="273"/>
      <c r="T1" s="274"/>
      <c r="U1" s="128" t="s">
        <v>58</v>
      </c>
      <c r="V1" s="108" t="s">
        <v>37</v>
      </c>
      <c r="W1" s="81"/>
      <c r="X1" s="81"/>
      <c r="Y1" s="5"/>
      <c r="Z1" s="5"/>
    </row>
    <row r="2" spans="1:31" s="4" customFormat="1" ht="15" customHeight="1">
      <c r="A2" s="137"/>
      <c r="B2" s="46"/>
      <c r="C2" s="46"/>
      <c r="D2" s="46"/>
      <c r="E2" s="79"/>
      <c r="F2" s="46"/>
      <c r="G2" s="46"/>
      <c r="H2" s="46"/>
      <c r="I2" s="46"/>
      <c r="J2" s="80"/>
      <c r="K2" s="46"/>
      <c r="L2" s="46"/>
      <c r="M2" s="171"/>
      <c r="N2" s="46"/>
      <c r="O2" s="46"/>
      <c r="P2" s="46"/>
      <c r="Q2" s="46"/>
      <c r="R2" s="46"/>
      <c r="S2" s="46"/>
      <c r="T2" s="57"/>
      <c r="U2" s="78">
        <f>MAX(F10:F24)</f>
        <v>25</v>
      </c>
      <c r="V2" s="109">
        <v>31</v>
      </c>
      <c r="W2" s="81"/>
      <c r="X2" s="81"/>
      <c r="Y2" s="5"/>
      <c r="Z2" s="5"/>
    </row>
    <row r="3" spans="1:31" s="4" customFormat="1" ht="15" customHeight="1">
      <c r="A3" s="137"/>
      <c r="B3" s="46"/>
      <c r="C3" s="46"/>
      <c r="D3" s="46"/>
      <c r="E3" s="79"/>
      <c r="F3" s="46"/>
      <c r="G3" s="46"/>
      <c r="H3" s="46"/>
      <c r="I3" s="46"/>
      <c r="J3" s="80"/>
      <c r="K3" s="46"/>
      <c r="L3" s="46"/>
      <c r="M3" s="171"/>
      <c r="N3" s="46"/>
      <c r="O3" s="46"/>
      <c r="P3" s="46"/>
      <c r="Q3" s="46"/>
      <c r="R3" s="46"/>
      <c r="S3" s="46"/>
      <c r="T3" s="57"/>
      <c r="U3" s="129"/>
      <c r="V3" s="130"/>
      <c r="W3" s="81"/>
      <c r="X3" s="81"/>
      <c r="Y3" s="5"/>
      <c r="Z3" s="5"/>
    </row>
    <row r="4" spans="1:31" s="103" customFormat="1" ht="14.25" customHeight="1">
      <c r="A4" s="101"/>
      <c r="B4" s="102"/>
      <c r="C4" s="102"/>
      <c r="D4" s="102"/>
      <c r="E4" s="187">
        <f>'CC -5'!$E$4</f>
        <v>42125</v>
      </c>
      <c r="F4" s="102"/>
      <c r="G4" s="102"/>
      <c r="H4" s="102"/>
      <c r="I4" s="102"/>
      <c r="J4" s="102"/>
      <c r="K4" s="102"/>
      <c r="L4" s="102"/>
      <c r="M4" s="102"/>
      <c r="N4" s="160">
        <v>0.08</v>
      </c>
      <c r="O4" s="160">
        <v>1.4999999999999999E-2</v>
      </c>
      <c r="P4" s="160">
        <v>0.01</v>
      </c>
      <c r="Q4" s="102"/>
      <c r="R4" s="102"/>
      <c r="S4" s="102"/>
      <c r="T4" s="102"/>
      <c r="U4" s="102"/>
      <c r="V4" s="104"/>
      <c r="W4" s="104"/>
      <c r="X4" s="104"/>
      <c r="Y4" s="104"/>
      <c r="Z4" s="104"/>
    </row>
    <row r="5" spans="1:31" s="26" customFormat="1" ht="24" customHeight="1">
      <c r="A5" s="275" t="s">
        <v>19</v>
      </c>
      <c r="B5" s="275" t="s">
        <v>20</v>
      </c>
      <c r="C5" s="238" t="s">
        <v>1</v>
      </c>
      <c r="D5" s="238" t="s">
        <v>2</v>
      </c>
      <c r="E5" s="241" t="s">
        <v>56</v>
      </c>
      <c r="F5" s="278" t="s">
        <v>26</v>
      </c>
      <c r="G5" s="279"/>
      <c r="H5" s="279"/>
      <c r="I5" s="279"/>
      <c r="J5" s="279"/>
      <c r="K5" s="280"/>
      <c r="L5" s="277" t="s">
        <v>57</v>
      </c>
      <c r="M5" s="277" t="s">
        <v>5</v>
      </c>
      <c r="N5" s="238" t="s">
        <v>6</v>
      </c>
      <c r="O5" s="238"/>
      <c r="P5" s="238"/>
      <c r="Q5" s="277" t="s">
        <v>7</v>
      </c>
      <c r="R5" s="277" t="s">
        <v>8</v>
      </c>
      <c r="S5" s="277" t="s">
        <v>9</v>
      </c>
      <c r="T5" s="239" t="s">
        <v>10</v>
      </c>
      <c r="U5" s="102"/>
      <c r="V5" s="27"/>
      <c r="W5" s="27"/>
      <c r="X5" s="5"/>
      <c r="Y5" s="5"/>
      <c r="Z5" s="5"/>
      <c r="AA5" s="4"/>
      <c r="AB5" s="4"/>
      <c r="AC5" s="4"/>
      <c r="AD5" s="4"/>
      <c r="AE5" s="4"/>
    </row>
    <row r="6" spans="1:31" s="26" customFormat="1" ht="33.75" customHeight="1">
      <c r="A6" s="276"/>
      <c r="B6" s="276"/>
      <c r="C6" s="238"/>
      <c r="D6" s="238"/>
      <c r="E6" s="241"/>
      <c r="F6" s="278" t="s">
        <v>59</v>
      </c>
      <c r="G6" s="280"/>
      <c r="H6" s="278" t="s">
        <v>157</v>
      </c>
      <c r="I6" s="279"/>
      <c r="J6" s="284" t="s">
        <v>27</v>
      </c>
      <c r="K6" s="277" t="s">
        <v>4</v>
      </c>
      <c r="L6" s="281"/>
      <c r="M6" s="281"/>
      <c r="N6" s="286" t="s">
        <v>12</v>
      </c>
      <c r="O6" s="277" t="s">
        <v>13</v>
      </c>
      <c r="P6" s="277" t="s">
        <v>34</v>
      </c>
      <c r="Q6" s="281"/>
      <c r="R6" s="281"/>
      <c r="S6" s="281"/>
      <c r="T6" s="240"/>
      <c r="U6" s="102"/>
      <c r="V6" s="27"/>
      <c r="W6" s="27"/>
      <c r="X6" s="5"/>
      <c r="Y6" s="5"/>
      <c r="Z6" s="5"/>
      <c r="AA6" s="4"/>
      <c r="AB6" s="4"/>
      <c r="AC6" s="4"/>
      <c r="AD6" s="4"/>
      <c r="AE6" s="4"/>
    </row>
    <row r="7" spans="1:31" s="26" customFormat="1" ht="35.25" customHeight="1">
      <c r="A7" s="276"/>
      <c r="B7" s="276"/>
      <c r="C7" s="277"/>
      <c r="D7" s="277"/>
      <c r="E7" s="241"/>
      <c r="F7" s="33" t="s">
        <v>40</v>
      </c>
      <c r="G7" s="34" t="s">
        <v>18</v>
      </c>
      <c r="H7" s="168" t="s">
        <v>40</v>
      </c>
      <c r="I7" s="126" t="s">
        <v>18</v>
      </c>
      <c r="J7" s="285"/>
      <c r="K7" s="281"/>
      <c r="L7" s="282"/>
      <c r="M7" s="282"/>
      <c r="N7" s="287"/>
      <c r="O7" s="281"/>
      <c r="P7" s="281"/>
      <c r="Q7" s="281"/>
      <c r="R7" s="281"/>
      <c r="S7" s="281"/>
      <c r="T7" s="240"/>
      <c r="U7" s="102"/>
      <c r="V7" s="27"/>
      <c r="W7" s="27"/>
      <c r="X7" s="5"/>
      <c r="Y7" s="5"/>
      <c r="Z7" s="5"/>
      <c r="AA7" s="4"/>
      <c r="AB7" s="4"/>
      <c r="AC7" s="4"/>
      <c r="AD7" s="4"/>
      <c r="AE7" s="4"/>
    </row>
    <row r="8" spans="1:31" s="83" customFormat="1" ht="12.75" customHeight="1">
      <c r="A8" s="82">
        <v>1</v>
      </c>
      <c r="B8" s="82">
        <v>2</v>
      </c>
      <c r="C8" s="82">
        <v>3</v>
      </c>
      <c r="D8" s="82">
        <v>4</v>
      </c>
      <c r="E8" s="82">
        <v>5</v>
      </c>
      <c r="F8" s="82">
        <v>7</v>
      </c>
      <c r="G8" s="82">
        <v>8</v>
      </c>
      <c r="H8" s="82">
        <v>9</v>
      </c>
      <c r="I8" s="82">
        <v>10</v>
      </c>
      <c r="J8" s="82">
        <v>13</v>
      </c>
      <c r="K8" s="82">
        <v>14</v>
      </c>
      <c r="L8" s="82">
        <v>16</v>
      </c>
      <c r="M8" s="82">
        <v>17</v>
      </c>
      <c r="N8" s="82">
        <v>18</v>
      </c>
      <c r="O8" s="82">
        <v>19</v>
      </c>
      <c r="P8" s="82">
        <v>20</v>
      </c>
      <c r="Q8" s="82">
        <v>21</v>
      </c>
      <c r="R8" s="82">
        <v>22</v>
      </c>
      <c r="S8" s="82">
        <v>23</v>
      </c>
      <c r="T8" s="82">
        <v>24</v>
      </c>
      <c r="U8" s="102"/>
      <c r="V8" s="84"/>
      <c r="W8" s="84"/>
      <c r="X8" s="85"/>
      <c r="Y8" s="85"/>
      <c r="Z8" s="85"/>
      <c r="AA8" s="86"/>
      <c r="AB8" s="86"/>
      <c r="AC8" s="86"/>
      <c r="AD8" s="86"/>
      <c r="AE8" s="86"/>
    </row>
    <row r="9" spans="1:31" s="83" customFormat="1" ht="24" customHeight="1">
      <c r="A9" s="186" t="s">
        <v>154</v>
      </c>
      <c r="B9" s="185" t="s">
        <v>171</v>
      </c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02"/>
      <c r="V9" s="84"/>
      <c r="W9" s="84"/>
      <c r="X9" s="85"/>
      <c r="Y9" s="85"/>
      <c r="Z9" s="85"/>
      <c r="AA9" s="86"/>
      <c r="AB9" s="86"/>
      <c r="AC9" s="86"/>
      <c r="AD9" s="86"/>
      <c r="AE9" s="86"/>
    </row>
    <row r="10" spans="1:31" s="35" customFormat="1" ht="24" customHeight="1">
      <c r="A10" s="37">
        <v>1</v>
      </c>
      <c r="B10" s="139" t="s">
        <v>159</v>
      </c>
      <c r="C10" s="87" t="str">
        <f t="shared" ref="C10:C11" si="0">VLOOKUP(B10,DS,2,0)</f>
        <v>Nguyễn Thị Thu Sương</v>
      </c>
      <c r="D10" s="114" t="str">
        <f t="shared" ref="D10:D11" si="1">VLOOKUP(B10,DS,3,0)</f>
        <v>Kinh Doanh</v>
      </c>
      <c r="E10" s="88">
        <f t="shared" ref="E10:E11" si="2">VLOOKUP(B10,DS,4,0)</f>
        <v>5000000</v>
      </c>
      <c r="F10" s="90">
        <f>VLOOKUP(B10,'CC -5'!$B$8:$AS$29,36,0)</f>
        <v>25</v>
      </c>
      <c r="G10" s="143">
        <f t="shared" ref="G10:G11" si="3">ROUND(E10/$U$2*F10,0)</f>
        <v>5000000</v>
      </c>
      <c r="H10" s="90">
        <f>(VLOOKUP(B10,'CC -5'!$B$8:$AS$29,37,0)+VLOOKUP(B10,'CC -5'!$B$8:$AS$29,38,0))</f>
        <v>0</v>
      </c>
      <c r="I10" s="143">
        <f t="shared" ref="I10:I11" si="4">ROUND(E10/$U$2*H10,0)</f>
        <v>0</v>
      </c>
      <c r="J10" s="91">
        <f t="shared" ref="J10:J11" si="5">F10+H10</f>
        <v>25</v>
      </c>
      <c r="K10" s="38">
        <f>G10+I10</f>
        <v>5000000</v>
      </c>
      <c r="L10" s="88">
        <f t="shared" ref="L10:L11" si="6">+F10*15000</f>
        <v>375000</v>
      </c>
      <c r="M10" s="39">
        <f t="shared" ref="M10:M11" si="7">K10+L10</f>
        <v>5375000</v>
      </c>
      <c r="N10" s="39">
        <f>IF(VLOOKUP(B10,DS,9,0)="x",E10*$N$4,0)</f>
        <v>0</v>
      </c>
      <c r="O10" s="39">
        <f>IF(VLOOKUP(B10,DS,9,0)="x",E10*$O$4,0)</f>
        <v>0</v>
      </c>
      <c r="P10" s="39">
        <f>IF(VLOOKUP(B10,DS,9,0)="x",E10*$P$4,0)</f>
        <v>0</v>
      </c>
      <c r="Q10" s="38">
        <f t="shared" ref="Q10:Q11" si="8">M10-SUM(N10:P10)</f>
        <v>5375000</v>
      </c>
      <c r="R10" s="38">
        <f>VLOOKUP(B10,DS,23,0)</f>
        <v>0</v>
      </c>
      <c r="S10" s="44">
        <f t="shared" ref="S10:S11" si="9">Q10-R10</f>
        <v>5375000</v>
      </c>
      <c r="T10" s="38"/>
      <c r="U10" s="102"/>
      <c r="V10" s="36"/>
      <c r="W10" s="27"/>
      <c r="X10" s="5"/>
      <c r="Y10" s="5"/>
      <c r="Z10" s="5"/>
      <c r="AA10" s="4"/>
      <c r="AB10" s="4"/>
      <c r="AC10" s="4"/>
      <c r="AD10" s="4"/>
      <c r="AE10" s="4"/>
    </row>
    <row r="11" spans="1:31" s="35" customFormat="1" ht="24" customHeight="1">
      <c r="A11" s="37">
        <v>2</v>
      </c>
      <c r="B11" s="139" t="s">
        <v>160</v>
      </c>
      <c r="C11" s="87" t="str">
        <f t="shared" si="0"/>
        <v>Trần Anh Nhựt</v>
      </c>
      <c r="D11" s="114" t="str">
        <f t="shared" si="1"/>
        <v>Thiết Kế</v>
      </c>
      <c r="E11" s="88">
        <f t="shared" si="2"/>
        <v>5000000</v>
      </c>
      <c r="F11" s="90">
        <f>VLOOKUP(B11,'CC -5'!$B$8:$AS$29,36,0)</f>
        <v>25</v>
      </c>
      <c r="G11" s="143">
        <f t="shared" si="3"/>
        <v>5000000</v>
      </c>
      <c r="H11" s="90">
        <f>(VLOOKUP(B11,'CC -5'!$B$8:$AS$29,37,0)+VLOOKUP(B11,'CC -5'!$B$8:$AS$29,38,0))</f>
        <v>0</v>
      </c>
      <c r="I11" s="143">
        <f t="shared" si="4"/>
        <v>0</v>
      </c>
      <c r="J11" s="91">
        <f t="shared" si="5"/>
        <v>25</v>
      </c>
      <c r="K11" s="38">
        <f t="shared" ref="K11" si="10">G11+I11</f>
        <v>5000000</v>
      </c>
      <c r="L11" s="88">
        <f t="shared" si="6"/>
        <v>375000</v>
      </c>
      <c r="M11" s="39">
        <f t="shared" si="7"/>
        <v>5375000</v>
      </c>
      <c r="N11" s="39">
        <f>IF(VLOOKUP(B11,DS,9,0)="x",E11*$N$4,0)</f>
        <v>0</v>
      </c>
      <c r="O11" s="39">
        <f>IF(VLOOKUP(B11,DS,9,0)="x",E11*$O$4,0)</f>
        <v>0</v>
      </c>
      <c r="P11" s="39">
        <f>IF(VLOOKUP(B11,DS,9,0)="x",E11*$P$4,0)</f>
        <v>0</v>
      </c>
      <c r="Q11" s="38">
        <f t="shared" si="8"/>
        <v>5375000</v>
      </c>
      <c r="R11" s="38">
        <f>VLOOKUP(B11,DS,23,0)</f>
        <v>0</v>
      </c>
      <c r="S11" s="44">
        <f t="shared" si="9"/>
        <v>5375000</v>
      </c>
      <c r="T11" s="38"/>
      <c r="U11" s="102"/>
      <c r="V11" s="36"/>
      <c r="W11" s="27"/>
      <c r="X11" s="5"/>
      <c r="Y11" s="5"/>
      <c r="Z11" s="5"/>
      <c r="AA11" s="4"/>
      <c r="AB11" s="4"/>
      <c r="AC11" s="4"/>
      <c r="AD11" s="4"/>
      <c r="AE11" s="4"/>
    </row>
    <row r="12" spans="1:31" s="35" customFormat="1" ht="24" customHeight="1">
      <c r="A12" s="37">
        <v>3</v>
      </c>
      <c r="B12" s="139" t="s">
        <v>168</v>
      </c>
      <c r="C12" s="87" t="str">
        <f t="shared" ref="C12" si="11">VLOOKUP(B12,DS,2,0)</f>
        <v>Huỳnh Minh Toàn</v>
      </c>
      <c r="D12" s="114" t="str">
        <f t="shared" ref="D12" si="12">VLOOKUP(B12,DS,3,0)</f>
        <v>Thủ Kho</v>
      </c>
      <c r="E12" s="88">
        <f t="shared" ref="E12" si="13">VLOOKUP(B12,DS,4,0)</f>
        <v>5500000</v>
      </c>
      <c r="F12" s="90">
        <f>VLOOKUP(B12,'CC -5'!$B$8:$AS$29,36,0)</f>
        <v>25</v>
      </c>
      <c r="G12" s="143">
        <f t="shared" ref="G12" si="14">ROUND(E12/$U$2*F12,0)</f>
        <v>5500000</v>
      </c>
      <c r="H12" s="90">
        <f>(VLOOKUP(B12,'CC -5'!$B$8:$AS$29,37,0)+VLOOKUP(B12,'CC -5'!$B$8:$AS$29,38,0))</f>
        <v>0</v>
      </c>
      <c r="I12" s="143">
        <f t="shared" ref="I12" si="15">ROUND(E12/$U$2*H12,0)</f>
        <v>0</v>
      </c>
      <c r="J12" s="91">
        <f t="shared" ref="J12" si="16">F12+H12</f>
        <v>25</v>
      </c>
      <c r="K12" s="38">
        <f t="shared" ref="K12" si="17">G12+I12</f>
        <v>5500000</v>
      </c>
      <c r="L12" s="88">
        <f t="shared" ref="L12" si="18">+F12*15000</f>
        <v>375000</v>
      </c>
      <c r="M12" s="39">
        <f t="shared" ref="M12" si="19">K12+L12</f>
        <v>5875000</v>
      </c>
      <c r="N12" s="39">
        <f>IF(VLOOKUP(B12,DS,9,0)="x",E12*$N$4,0)</f>
        <v>0</v>
      </c>
      <c r="O12" s="39">
        <f>IF(VLOOKUP(B12,DS,9,0)="x",E12*$O$4,0)</f>
        <v>0</v>
      </c>
      <c r="P12" s="39">
        <f>IF(VLOOKUP(B12,DS,9,0)="x",E12*$P$4,0)</f>
        <v>0</v>
      </c>
      <c r="Q12" s="38">
        <f t="shared" ref="Q12" si="20">M12-SUM(N12:P12)</f>
        <v>5875000</v>
      </c>
      <c r="R12" s="38">
        <f>VLOOKUP(B12,DS,23,0)</f>
        <v>0</v>
      </c>
      <c r="S12" s="44">
        <f t="shared" ref="S12" si="21">Q12-R12</f>
        <v>5875000</v>
      </c>
      <c r="T12" s="38"/>
      <c r="U12" s="102"/>
      <c r="V12" s="36"/>
      <c r="W12" s="27"/>
      <c r="X12" s="5"/>
      <c r="Y12" s="5"/>
      <c r="Z12" s="5"/>
      <c r="AA12" s="4"/>
      <c r="AB12" s="4"/>
      <c r="AC12" s="4"/>
      <c r="AD12" s="4"/>
      <c r="AE12" s="4"/>
    </row>
    <row r="13" spans="1:31" s="35" customFormat="1" ht="24" customHeight="1">
      <c r="A13" s="201"/>
      <c r="B13" s="202"/>
      <c r="C13" s="203"/>
      <c r="D13" s="204"/>
      <c r="E13" s="205"/>
      <c r="F13" s="206"/>
      <c r="G13" s="207"/>
      <c r="H13" s="206"/>
      <c r="I13" s="207"/>
      <c r="J13" s="208"/>
      <c r="K13" s="209"/>
      <c r="L13" s="205"/>
      <c r="M13" s="210"/>
      <c r="N13" s="210"/>
      <c r="O13" s="210"/>
      <c r="P13" s="210"/>
      <c r="Q13" s="209"/>
      <c r="R13" s="209"/>
      <c r="S13" s="211"/>
      <c r="T13" s="209"/>
      <c r="U13" s="102"/>
      <c r="V13" s="36"/>
      <c r="W13" s="27"/>
      <c r="X13" s="5"/>
      <c r="Y13" s="5"/>
      <c r="Z13" s="5"/>
      <c r="AA13" s="4"/>
      <c r="AB13" s="4"/>
      <c r="AC13" s="4"/>
      <c r="AD13" s="4"/>
      <c r="AE13" s="4"/>
    </row>
    <row r="14" spans="1:31" s="31" customFormat="1" ht="21" customHeight="1">
      <c r="A14" s="283" t="s">
        <v>25</v>
      </c>
      <c r="B14" s="283"/>
      <c r="C14" s="283"/>
      <c r="D14" s="283"/>
      <c r="E14" s="138">
        <f>SUM(E9:E12)</f>
        <v>15500000</v>
      </c>
      <c r="F14" s="138"/>
      <c r="G14" s="138">
        <f>SUM(G9:G12)</f>
        <v>15500000</v>
      </c>
      <c r="H14" s="138"/>
      <c r="I14" s="138">
        <f>SUM(I9:I12)</f>
        <v>0</v>
      </c>
      <c r="J14" s="138"/>
      <c r="K14" s="138">
        <f t="shared" ref="K14:S14" si="22">SUM(K9:K12)</f>
        <v>15500000</v>
      </c>
      <c r="L14" s="138">
        <f t="shared" si="22"/>
        <v>1125000</v>
      </c>
      <c r="M14" s="138">
        <f t="shared" si="22"/>
        <v>16625000</v>
      </c>
      <c r="N14" s="138">
        <f t="shared" si="22"/>
        <v>0</v>
      </c>
      <c r="O14" s="138">
        <f t="shared" si="22"/>
        <v>0</v>
      </c>
      <c r="P14" s="138">
        <f t="shared" si="22"/>
        <v>0</v>
      </c>
      <c r="Q14" s="138">
        <f t="shared" si="22"/>
        <v>16625000</v>
      </c>
      <c r="R14" s="138">
        <f t="shared" si="22"/>
        <v>0</v>
      </c>
      <c r="S14" s="138">
        <f t="shared" si="22"/>
        <v>16625000</v>
      </c>
      <c r="T14" s="25"/>
      <c r="U14" s="102"/>
      <c r="V14" s="32"/>
      <c r="W14" s="32"/>
      <c r="X14" s="32"/>
      <c r="Y14" s="32"/>
      <c r="Z14" s="32"/>
    </row>
    <row r="15" spans="1:31" s="83" customFormat="1" ht="24" customHeight="1">
      <c r="A15" s="186" t="s">
        <v>155</v>
      </c>
      <c r="B15" s="185" t="s">
        <v>156</v>
      </c>
      <c r="C15" s="184"/>
      <c r="D15" s="184"/>
      <c r="E15" s="184"/>
      <c r="F15" s="184"/>
      <c r="G15" s="184"/>
      <c r="H15" s="184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02"/>
      <c r="V15" s="84"/>
      <c r="W15" s="84"/>
      <c r="X15" s="85"/>
      <c r="Y15" s="85"/>
      <c r="Z15" s="85"/>
      <c r="AA15" s="86"/>
      <c r="AB15" s="86"/>
      <c r="AC15" s="86"/>
      <c r="AD15" s="86"/>
      <c r="AE15" s="86"/>
    </row>
    <row r="16" spans="1:31" s="35" customFormat="1" ht="24" customHeight="1">
      <c r="A16" s="37">
        <v>1</v>
      </c>
      <c r="B16" s="139" t="s">
        <v>161</v>
      </c>
      <c r="C16" s="87" t="str">
        <f t="shared" ref="C16:C20" si="23">VLOOKUP(B16,DS,2,0)</f>
        <v>Nguyễn Trường Giang</v>
      </c>
      <c r="D16" s="114" t="str">
        <f t="shared" ref="D16:D20" si="24">VLOOKUP(B16,DS,3,0)</f>
        <v>Thợ in</v>
      </c>
      <c r="E16" s="88">
        <f t="shared" ref="E16:E20" si="25">VLOOKUP(B16,DS,4,0)</f>
        <v>5000000</v>
      </c>
      <c r="F16" s="90">
        <f>VLOOKUP(B16,'CC -5'!$B$8:$AS$29,36,0)</f>
        <v>25</v>
      </c>
      <c r="G16" s="143">
        <f t="shared" ref="G16:G20" si="26">ROUND(E16/$U$2*F16,0)</f>
        <v>5000000</v>
      </c>
      <c r="H16" s="90">
        <f>(VLOOKUP(B16,'CC -5'!$B$8:$AS$29,37,0)+VLOOKUP(B16,'CC -5'!$B$8:$AS$29,38,0))</f>
        <v>0</v>
      </c>
      <c r="I16" s="143">
        <f t="shared" ref="I16:I20" si="27">ROUND(E16/$U$2*H16,0)</f>
        <v>0</v>
      </c>
      <c r="J16" s="144">
        <f t="shared" ref="J16:J20" si="28">F16+H16</f>
        <v>25</v>
      </c>
      <c r="K16" s="38">
        <f t="shared" ref="K16:K20" si="29">G16+I16</f>
        <v>5000000</v>
      </c>
      <c r="L16" s="88">
        <f t="shared" ref="L16:L20" si="30">+F16*15000</f>
        <v>375000</v>
      </c>
      <c r="M16" s="39">
        <f t="shared" ref="M16:M20" si="31">K16+L16</f>
        <v>5375000</v>
      </c>
      <c r="N16" s="39">
        <f>IF(VLOOKUP(B16,DS,9,0)="x",'L - 5'!E16*$N$4,0)</f>
        <v>0</v>
      </c>
      <c r="O16" s="39">
        <f t="shared" ref="O16:O20" si="32">IF(VLOOKUP(B16,DS,9,0)="x",E16*0.015,0)</f>
        <v>0</v>
      </c>
      <c r="P16" s="39">
        <f t="shared" ref="P16:P20" si="33">IF(VLOOKUP(B16,DS,9,0)="x",E16*0.01,0)</f>
        <v>0</v>
      </c>
      <c r="Q16" s="38">
        <f>M16-SUM(N16:P16)</f>
        <v>5375000</v>
      </c>
      <c r="R16" s="38">
        <f t="shared" ref="R16:R20" si="34">VLOOKUP(B16,DS,23,0)</f>
        <v>0</v>
      </c>
      <c r="S16" s="44">
        <f>Q16-R16</f>
        <v>5375000</v>
      </c>
      <c r="T16" s="38"/>
      <c r="U16" s="102"/>
      <c r="V16" s="36"/>
      <c r="W16" s="27"/>
      <c r="X16" s="5"/>
      <c r="Y16" s="5"/>
      <c r="Z16" s="5"/>
      <c r="AA16" s="4"/>
      <c r="AB16" s="4"/>
      <c r="AC16" s="4"/>
      <c r="AD16" s="4"/>
      <c r="AE16" s="4"/>
    </row>
    <row r="17" spans="1:31" s="35" customFormat="1" ht="24" customHeight="1">
      <c r="A17" s="37">
        <v>2</v>
      </c>
      <c r="B17" s="139" t="s">
        <v>162</v>
      </c>
      <c r="C17" s="87" t="str">
        <f t="shared" ref="C17:C18" si="35">VLOOKUP(B17,DS,2,0)</f>
        <v>Võ Văn Kiệt</v>
      </c>
      <c r="D17" s="114" t="str">
        <f t="shared" ref="D17:D18" si="36">VLOOKUP(B17,DS,3,0)</f>
        <v>Công Đoạn 1</v>
      </c>
      <c r="E17" s="88">
        <f t="shared" ref="E17:E18" si="37">VLOOKUP(B17,DS,4,0)</f>
        <v>5000000</v>
      </c>
      <c r="F17" s="90">
        <f>VLOOKUP(B17,'CC -5'!$B$8:$AS$29,36,0)</f>
        <v>25</v>
      </c>
      <c r="G17" s="143">
        <f t="shared" ref="G17:G18" si="38">ROUND(E17/$U$2*F17,0)</f>
        <v>5000000</v>
      </c>
      <c r="H17" s="90">
        <f>(VLOOKUP(B17,'CC -5'!$B$8:$AS$29,37,0)+VLOOKUP(B17,'CC -5'!$B$8:$AS$29,38,0))</f>
        <v>0</v>
      </c>
      <c r="I17" s="143">
        <f t="shared" ref="I17:I18" si="39">ROUND(E17/$U$2*H17,0)</f>
        <v>0</v>
      </c>
      <c r="J17" s="144">
        <f t="shared" ref="J17:J18" si="40">F17+H17</f>
        <v>25</v>
      </c>
      <c r="K17" s="38">
        <f t="shared" ref="K17:K18" si="41">G17+I17</f>
        <v>5000000</v>
      </c>
      <c r="L17" s="88">
        <f t="shared" ref="L17:L18" si="42">+F17*15000</f>
        <v>375000</v>
      </c>
      <c r="M17" s="39">
        <f t="shared" ref="M17:M18" si="43">K17+L17</f>
        <v>5375000</v>
      </c>
      <c r="N17" s="39">
        <f>IF(VLOOKUP(B17,DS,9,0)="x",'L - 5'!E17*$N$4,0)</f>
        <v>0</v>
      </c>
      <c r="O17" s="39">
        <f t="shared" ref="O17:O18" si="44">IF(VLOOKUP(B17,DS,9,0)="x",E17*0.015,0)</f>
        <v>0</v>
      </c>
      <c r="P17" s="39">
        <f t="shared" ref="P17:P18" si="45">IF(VLOOKUP(B17,DS,9,0)="x",E17*0.01,0)</f>
        <v>0</v>
      </c>
      <c r="Q17" s="38">
        <f t="shared" ref="Q17:Q18" si="46">M17-SUM(N17:P17)</f>
        <v>5375000</v>
      </c>
      <c r="R17" s="38">
        <f t="shared" ref="R17:R18" si="47">VLOOKUP(B17,DS,23,0)</f>
        <v>0</v>
      </c>
      <c r="S17" s="44">
        <f t="shared" ref="S17:S18" si="48">Q17-R17</f>
        <v>5375000</v>
      </c>
      <c r="T17" s="38"/>
      <c r="U17" s="102"/>
      <c r="V17" s="36"/>
      <c r="W17" s="27"/>
      <c r="X17" s="5"/>
      <c r="Y17" s="5"/>
      <c r="Z17" s="5"/>
      <c r="AA17" s="4"/>
      <c r="AB17" s="4"/>
      <c r="AC17" s="4"/>
      <c r="AD17" s="4"/>
      <c r="AE17" s="4"/>
    </row>
    <row r="18" spans="1:31" s="35" customFormat="1" ht="24" customHeight="1">
      <c r="A18" s="37">
        <v>3</v>
      </c>
      <c r="B18" s="139" t="s">
        <v>163</v>
      </c>
      <c r="C18" s="87" t="str">
        <f t="shared" si="35"/>
        <v>Diệp Văn Lân</v>
      </c>
      <c r="D18" s="114" t="str">
        <f t="shared" si="36"/>
        <v>Công Đoạn 1</v>
      </c>
      <c r="E18" s="88">
        <f t="shared" si="37"/>
        <v>4200000</v>
      </c>
      <c r="F18" s="90">
        <f>VLOOKUP(B18,'CC -5'!$B$8:$AS$29,36,0)</f>
        <v>25</v>
      </c>
      <c r="G18" s="143">
        <f t="shared" si="38"/>
        <v>4200000</v>
      </c>
      <c r="H18" s="90">
        <f>(VLOOKUP(B18,'CC -5'!$B$8:$AS$29,37,0)+VLOOKUP(B18,'CC -5'!$B$8:$AS$29,38,0))</f>
        <v>0</v>
      </c>
      <c r="I18" s="143">
        <f t="shared" si="39"/>
        <v>0</v>
      </c>
      <c r="J18" s="144">
        <f t="shared" si="40"/>
        <v>25</v>
      </c>
      <c r="K18" s="38">
        <f t="shared" si="41"/>
        <v>4200000</v>
      </c>
      <c r="L18" s="88">
        <f t="shared" si="42"/>
        <v>375000</v>
      </c>
      <c r="M18" s="39">
        <f t="shared" si="43"/>
        <v>4575000</v>
      </c>
      <c r="N18" s="39">
        <f>IF(VLOOKUP(B18,DS,9,0)="x",'L - 5'!E18*$N$4,0)</f>
        <v>0</v>
      </c>
      <c r="O18" s="39">
        <f t="shared" si="44"/>
        <v>0</v>
      </c>
      <c r="P18" s="39">
        <f t="shared" si="45"/>
        <v>0</v>
      </c>
      <c r="Q18" s="38">
        <f t="shared" si="46"/>
        <v>4575000</v>
      </c>
      <c r="R18" s="38">
        <f t="shared" si="47"/>
        <v>0</v>
      </c>
      <c r="S18" s="44">
        <f t="shared" si="48"/>
        <v>4575000</v>
      </c>
      <c r="T18" s="38"/>
      <c r="U18" s="102"/>
      <c r="V18" s="36"/>
      <c r="W18" s="27"/>
      <c r="X18" s="5"/>
      <c r="Y18" s="5"/>
      <c r="Z18" s="5"/>
      <c r="AA18" s="4"/>
      <c r="AB18" s="4"/>
      <c r="AC18" s="4"/>
      <c r="AD18" s="4"/>
      <c r="AE18" s="4"/>
    </row>
    <row r="19" spans="1:31" s="35" customFormat="1" ht="24" customHeight="1">
      <c r="A19" s="37">
        <v>4</v>
      </c>
      <c r="B19" s="139" t="s">
        <v>176</v>
      </c>
      <c r="C19" s="87" t="str">
        <f t="shared" si="23"/>
        <v>Dương Thế Kiệt</v>
      </c>
      <c r="D19" s="114" t="str">
        <f t="shared" si="24"/>
        <v>Công Đoạn 1</v>
      </c>
      <c r="E19" s="88">
        <f t="shared" si="25"/>
        <v>4200000</v>
      </c>
      <c r="F19" s="90">
        <f>VLOOKUP(B19,'CC -5'!$B$8:$AS$29,36,0)</f>
        <v>25</v>
      </c>
      <c r="G19" s="143">
        <f t="shared" si="26"/>
        <v>4200000</v>
      </c>
      <c r="H19" s="90">
        <f>(VLOOKUP(B19,'CC -5'!$B$8:$AS$29,37,0)+VLOOKUP(B19,'CC -5'!$B$8:$AS$29,38,0))</f>
        <v>0</v>
      </c>
      <c r="I19" s="143">
        <f t="shared" si="27"/>
        <v>0</v>
      </c>
      <c r="J19" s="144">
        <f t="shared" si="28"/>
        <v>25</v>
      </c>
      <c r="K19" s="38">
        <f t="shared" si="29"/>
        <v>4200000</v>
      </c>
      <c r="L19" s="88">
        <f t="shared" si="30"/>
        <v>375000</v>
      </c>
      <c r="M19" s="39">
        <f t="shared" si="31"/>
        <v>4575000</v>
      </c>
      <c r="N19" s="39">
        <f>IF(VLOOKUP(B19,DS,9,0)="x",'L - 5'!E19*$N$4,0)</f>
        <v>0</v>
      </c>
      <c r="O19" s="39">
        <f t="shared" si="32"/>
        <v>0</v>
      </c>
      <c r="P19" s="39">
        <f t="shared" si="33"/>
        <v>0</v>
      </c>
      <c r="Q19" s="38">
        <f t="shared" ref="Q19:Q20" si="49">M19-SUM(N19:P19)</f>
        <v>4575000</v>
      </c>
      <c r="R19" s="38">
        <f t="shared" si="34"/>
        <v>0</v>
      </c>
      <c r="S19" s="44">
        <f t="shared" ref="S19:S20" si="50">Q19-R19</f>
        <v>4575000</v>
      </c>
      <c r="T19" s="38"/>
      <c r="U19" s="102"/>
      <c r="V19" s="36"/>
      <c r="W19" s="27"/>
      <c r="X19" s="5"/>
      <c r="Y19" s="5"/>
      <c r="Z19" s="5"/>
      <c r="AA19" s="4"/>
      <c r="AB19" s="4"/>
      <c r="AC19" s="4"/>
      <c r="AD19" s="4"/>
      <c r="AE19" s="4"/>
    </row>
    <row r="20" spans="1:31" s="35" customFormat="1" ht="24" customHeight="1">
      <c r="A20" s="37">
        <v>5</v>
      </c>
      <c r="B20" s="139" t="s">
        <v>177</v>
      </c>
      <c r="C20" s="87" t="str">
        <f t="shared" si="23"/>
        <v>Lê Văn Hữu</v>
      </c>
      <c r="D20" s="114" t="str">
        <f t="shared" si="24"/>
        <v>Công Đoạn 2</v>
      </c>
      <c r="E20" s="88">
        <f t="shared" si="25"/>
        <v>5000000</v>
      </c>
      <c r="F20" s="90">
        <f>VLOOKUP(B20,'CC -5'!$B$8:$AS$29,36,0)</f>
        <v>25</v>
      </c>
      <c r="G20" s="143">
        <f t="shared" si="26"/>
        <v>5000000</v>
      </c>
      <c r="H20" s="90">
        <f>(VLOOKUP(B20,'CC -5'!$B$8:$AS$29,37,0)+VLOOKUP(B20,'CC -5'!$B$8:$AS$29,38,0))</f>
        <v>0</v>
      </c>
      <c r="I20" s="143">
        <f t="shared" si="27"/>
        <v>0</v>
      </c>
      <c r="J20" s="144">
        <f t="shared" si="28"/>
        <v>25</v>
      </c>
      <c r="K20" s="38">
        <f t="shared" si="29"/>
        <v>5000000</v>
      </c>
      <c r="L20" s="88">
        <f t="shared" si="30"/>
        <v>375000</v>
      </c>
      <c r="M20" s="39">
        <f t="shared" si="31"/>
        <v>5375000</v>
      </c>
      <c r="N20" s="39">
        <f>IF(VLOOKUP(B20,DS,9,0)="x",'L - 5'!E20*$N$4,0)</f>
        <v>0</v>
      </c>
      <c r="O20" s="39">
        <f t="shared" si="32"/>
        <v>0</v>
      </c>
      <c r="P20" s="39">
        <f t="shared" si="33"/>
        <v>0</v>
      </c>
      <c r="Q20" s="38">
        <f t="shared" si="49"/>
        <v>5375000</v>
      </c>
      <c r="R20" s="38">
        <f t="shared" si="34"/>
        <v>0</v>
      </c>
      <c r="S20" s="44">
        <f t="shared" si="50"/>
        <v>5375000</v>
      </c>
      <c r="T20" s="38"/>
      <c r="U20" s="102"/>
      <c r="V20" s="36"/>
      <c r="W20" s="27"/>
      <c r="X20" s="5"/>
      <c r="Y20" s="5"/>
      <c r="Z20" s="5"/>
      <c r="AA20" s="4"/>
      <c r="AB20" s="4"/>
      <c r="AC20" s="4"/>
      <c r="AD20" s="4"/>
      <c r="AE20" s="4"/>
    </row>
    <row r="21" spans="1:31" s="35" customFormat="1" ht="24" customHeight="1">
      <c r="A21" s="37">
        <v>6</v>
      </c>
      <c r="B21" s="139" t="s">
        <v>178</v>
      </c>
      <c r="C21" s="87" t="str">
        <f t="shared" ref="C21:C22" si="51">VLOOKUP(B21,DS,2,0)</f>
        <v>Bùi Trường Giang</v>
      </c>
      <c r="D21" s="114" t="str">
        <f t="shared" ref="D21:D22" si="52">VLOOKUP(B21,DS,3,0)</f>
        <v>Công Đoạn 2</v>
      </c>
      <c r="E21" s="88">
        <f t="shared" ref="E21:E22" si="53">VLOOKUP(B21,DS,4,0)</f>
        <v>4200000</v>
      </c>
      <c r="F21" s="90">
        <f>VLOOKUP(B21,'CC -5'!$B$8:$AS$29,36,0)</f>
        <v>25</v>
      </c>
      <c r="G21" s="143">
        <f t="shared" ref="G21:G22" si="54">ROUND(E21/$U$2*F21,0)</f>
        <v>4200000</v>
      </c>
      <c r="H21" s="90">
        <f>(VLOOKUP(B21,'CC -5'!$B$8:$AS$29,37,0)+VLOOKUP(B21,'CC -5'!$B$8:$AS$29,38,0))</f>
        <v>0</v>
      </c>
      <c r="I21" s="143">
        <f t="shared" ref="I21:I22" si="55">ROUND(E21/$U$2*H21,0)</f>
        <v>0</v>
      </c>
      <c r="J21" s="144">
        <f t="shared" ref="J21:J22" si="56">F21+H21</f>
        <v>25</v>
      </c>
      <c r="K21" s="38">
        <f t="shared" ref="K21:K22" si="57">G21+I21</f>
        <v>4200000</v>
      </c>
      <c r="L21" s="88">
        <f t="shared" ref="L21:L22" si="58">+F21*15000</f>
        <v>375000</v>
      </c>
      <c r="M21" s="39">
        <f t="shared" ref="M21:M22" si="59">K21+L21</f>
        <v>4575000</v>
      </c>
      <c r="N21" s="39">
        <f>IF(VLOOKUP(B21,DS,9,0)="x",'L - 5'!E21*$N$4,0)</f>
        <v>0</v>
      </c>
      <c r="O21" s="39">
        <f t="shared" ref="O21:O22" si="60">IF(VLOOKUP(B21,DS,9,0)="x",E21*0.015,0)</f>
        <v>0</v>
      </c>
      <c r="P21" s="39">
        <f t="shared" ref="P21:P22" si="61">IF(VLOOKUP(B21,DS,9,0)="x",E21*0.01,0)</f>
        <v>0</v>
      </c>
      <c r="Q21" s="38">
        <f t="shared" ref="Q21:Q22" si="62">M21-SUM(N21:P21)</f>
        <v>4575000</v>
      </c>
      <c r="R21" s="38">
        <f t="shared" ref="R21:R22" si="63">VLOOKUP(B21,DS,23,0)</f>
        <v>0</v>
      </c>
      <c r="S21" s="44">
        <f t="shared" ref="S21:S22" si="64">Q21-R21</f>
        <v>4575000</v>
      </c>
      <c r="T21" s="38"/>
      <c r="U21" s="102"/>
      <c r="V21" s="36"/>
      <c r="W21" s="27"/>
      <c r="X21" s="5"/>
      <c r="Y21" s="5"/>
      <c r="Z21" s="5"/>
      <c r="AA21" s="4"/>
      <c r="AB21" s="4"/>
      <c r="AC21" s="4"/>
      <c r="AD21" s="4"/>
      <c r="AE21" s="4"/>
    </row>
    <row r="22" spans="1:31" s="35" customFormat="1" ht="24" customHeight="1">
      <c r="A22" s="37">
        <v>7</v>
      </c>
      <c r="B22" s="139" t="s">
        <v>179</v>
      </c>
      <c r="C22" s="87" t="str">
        <f t="shared" si="51"/>
        <v>Nguyễn T Bích Thủy</v>
      </c>
      <c r="D22" s="114" t="str">
        <f t="shared" si="52"/>
        <v>Công Đoạn 2</v>
      </c>
      <c r="E22" s="88">
        <f t="shared" si="53"/>
        <v>4200000</v>
      </c>
      <c r="F22" s="90">
        <f>VLOOKUP(B22,'CC -5'!$B$8:$AS$29,36,0)</f>
        <v>25</v>
      </c>
      <c r="G22" s="143">
        <f t="shared" si="54"/>
        <v>4200000</v>
      </c>
      <c r="H22" s="90">
        <f>(VLOOKUP(B22,'CC -5'!$B$8:$AS$29,37,0)+VLOOKUP(B22,'CC -5'!$B$8:$AS$29,38,0))</f>
        <v>0</v>
      </c>
      <c r="I22" s="143">
        <f t="shared" si="55"/>
        <v>0</v>
      </c>
      <c r="J22" s="144">
        <f t="shared" si="56"/>
        <v>25</v>
      </c>
      <c r="K22" s="38">
        <f t="shared" si="57"/>
        <v>4200000</v>
      </c>
      <c r="L22" s="88">
        <f t="shared" si="58"/>
        <v>375000</v>
      </c>
      <c r="M22" s="39">
        <f t="shared" si="59"/>
        <v>4575000</v>
      </c>
      <c r="N22" s="39">
        <f>IF(VLOOKUP(B22,DS,9,0)="x",'L - 5'!E22*$N$4,0)</f>
        <v>0</v>
      </c>
      <c r="O22" s="39">
        <f t="shared" si="60"/>
        <v>0</v>
      </c>
      <c r="P22" s="39">
        <f t="shared" si="61"/>
        <v>0</v>
      </c>
      <c r="Q22" s="38">
        <f t="shared" si="62"/>
        <v>4575000</v>
      </c>
      <c r="R22" s="38">
        <f t="shared" si="63"/>
        <v>0</v>
      </c>
      <c r="S22" s="44">
        <f t="shared" si="64"/>
        <v>4575000</v>
      </c>
      <c r="T22" s="38"/>
      <c r="U22" s="102"/>
      <c r="V22" s="36"/>
      <c r="W22" s="27"/>
      <c r="X22" s="5"/>
      <c r="Y22" s="5"/>
      <c r="Z22" s="5"/>
      <c r="AA22" s="4"/>
      <c r="AB22" s="4"/>
      <c r="AC22" s="4"/>
      <c r="AD22" s="4"/>
      <c r="AE22" s="4"/>
    </row>
    <row r="23" spans="1:31" s="35" customFormat="1" ht="22.5" customHeight="1">
      <c r="A23" s="40"/>
      <c r="B23" s="183"/>
      <c r="C23" s="41"/>
      <c r="D23" s="3"/>
      <c r="E23" s="42"/>
      <c r="F23" s="42"/>
      <c r="G23" s="42"/>
      <c r="H23" s="42"/>
      <c r="I23" s="42"/>
      <c r="J23" s="43"/>
      <c r="K23" s="42"/>
      <c r="L23" s="42"/>
      <c r="M23" s="182"/>
      <c r="N23" s="42"/>
      <c r="O23" s="42"/>
      <c r="P23" s="42"/>
      <c r="Q23" s="42"/>
      <c r="R23" s="42"/>
      <c r="S23" s="42"/>
      <c r="T23" s="38"/>
      <c r="U23" s="102"/>
      <c r="V23" s="36"/>
      <c r="W23" s="36"/>
      <c r="X23" s="36"/>
      <c r="Y23" s="36"/>
      <c r="Z23" s="36"/>
    </row>
    <row r="24" spans="1:31" s="31" customFormat="1" ht="21" customHeight="1">
      <c r="A24" s="283" t="s">
        <v>25</v>
      </c>
      <c r="B24" s="283"/>
      <c r="C24" s="283"/>
      <c r="D24" s="283"/>
      <c r="E24" s="138">
        <f>SUM(E15:E23)</f>
        <v>31800000</v>
      </c>
      <c r="F24" s="138"/>
      <c r="G24" s="138">
        <f>SUM(G15:G23)</f>
        <v>31800000</v>
      </c>
      <c r="H24" s="138"/>
      <c r="I24" s="138">
        <f>SUM(I15:I23)</f>
        <v>0</v>
      </c>
      <c r="J24" s="138"/>
      <c r="K24" s="138">
        <f t="shared" ref="K24:S24" si="65">SUM(K15:K23)</f>
        <v>31800000</v>
      </c>
      <c r="L24" s="138">
        <f t="shared" si="65"/>
        <v>2625000</v>
      </c>
      <c r="M24" s="138">
        <f t="shared" si="65"/>
        <v>34425000</v>
      </c>
      <c r="N24" s="138">
        <f t="shared" si="65"/>
        <v>0</v>
      </c>
      <c r="O24" s="138">
        <f t="shared" si="65"/>
        <v>0</v>
      </c>
      <c r="P24" s="138">
        <f t="shared" si="65"/>
        <v>0</v>
      </c>
      <c r="Q24" s="138">
        <f t="shared" si="65"/>
        <v>34425000</v>
      </c>
      <c r="R24" s="138">
        <f t="shared" si="65"/>
        <v>0</v>
      </c>
      <c r="S24" s="138">
        <f t="shared" si="65"/>
        <v>34425000</v>
      </c>
      <c r="T24" s="25"/>
      <c r="U24" s="102"/>
      <c r="V24" s="32"/>
      <c r="W24" s="32"/>
      <c r="X24" s="32"/>
      <c r="Y24" s="32"/>
      <c r="Z24" s="32"/>
    </row>
    <row r="25" spans="1:31" ht="11.25" customHeight="1">
      <c r="A25" s="8"/>
      <c r="B25" s="8"/>
      <c r="C25" s="9"/>
      <c r="D25" s="115"/>
      <c r="E25" s="92"/>
      <c r="F25" s="9"/>
      <c r="G25" s="9"/>
      <c r="H25" s="9"/>
      <c r="I25" s="9"/>
      <c r="K25" s="9"/>
      <c r="L25" s="9"/>
      <c r="M25" s="100"/>
      <c r="N25" s="9"/>
      <c r="O25" s="9"/>
      <c r="P25" s="9"/>
      <c r="Q25" s="9"/>
      <c r="R25" s="9"/>
      <c r="S25" s="9"/>
      <c r="T25" s="9"/>
      <c r="U25" s="102"/>
    </row>
    <row r="26" spans="1:31" s="35" customFormat="1" ht="11.25" customHeight="1">
      <c r="A26" s="76"/>
      <c r="B26" s="76"/>
      <c r="C26" s="76"/>
      <c r="D26" s="131"/>
      <c r="E26" s="132"/>
      <c r="F26" s="76"/>
      <c r="G26" s="76"/>
      <c r="H26" s="76"/>
      <c r="I26" s="76"/>
      <c r="J26" s="133"/>
      <c r="K26" s="132"/>
      <c r="L26" s="76"/>
      <c r="M26" s="76"/>
      <c r="N26" s="76"/>
      <c r="O26" s="76"/>
      <c r="P26" s="76"/>
      <c r="Q26" s="76"/>
      <c r="R26" s="76"/>
      <c r="S26" s="106" t="str">
        <f>"Long An, ngày  "&amp;$V$2&amp;"   tháng   "&amp;TEXT(E4,"mm")&amp;"   năm "&amp;TEXT(E4,"yyyy")</f>
        <v>Long An, ngày  31   tháng   05   năm 2015</v>
      </c>
      <c r="T26" s="76"/>
      <c r="U26" s="134"/>
      <c r="V26" s="36"/>
      <c r="W26" s="36"/>
      <c r="X26" s="36"/>
      <c r="Y26" s="36"/>
      <c r="Z26" s="36"/>
    </row>
    <row r="27" spans="1:31" s="35" customFormat="1" ht="12.75">
      <c r="A27" s="28"/>
      <c r="B27" s="28"/>
      <c r="C27" s="28" t="s">
        <v>60</v>
      </c>
      <c r="D27" s="135"/>
      <c r="E27" s="77"/>
      <c r="F27" s="134"/>
      <c r="G27" s="77"/>
      <c r="H27" s="77"/>
      <c r="I27" s="77"/>
      <c r="J27" s="136"/>
      <c r="K27" s="36"/>
      <c r="L27" s="28"/>
      <c r="M27" s="145"/>
      <c r="N27" s="19"/>
      <c r="O27" s="19"/>
      <c r="P27" s="19"/>
      <c r="Q27" s="19"/>
      <c r="S27" s="134" t="s">
        <v>22</v>
      </c>
      <c r="T27" s="134"/>
      <c r="U27" s="134"/>
      <c r="V27" s="36"/>
      <c r="W27" s="36"/>
      <c r="X27" s="36"/>
      <c r="Y27" s="36"/>
      <c r="Z27" s="36"/>
    </row>
    <row r="28" spans="1:31" ht="12">
      <c r="A28" s="8"/>
      <c r="B28" s="8"/>
      <c r="C28" s="15"/>
      <c r="E28" s="13"/>
      <c r="F28" s="12"/>
      <c r="G28" s="13"/>
      <c r="H28" s="13"/>
      <c r="I28" s="13"/>
      <c r="K28" s="7"/>
      <c r="L28" s="15"/>
      <c r="N28" s="11"/>
      <c r="O28" s="11"/>
      <c r="P28" s="11"/>
      <c r="Q28" s="11"/>
      <c r="S28" s="11"/>
      <c r="T28" s="12"/>
      <c r="U28" s="102"/>
    </row>
    <row r="29" spans="1:31" ht="12">
      <c r="C29" s="15"/>
      <c r="L29" s="15"/>
      <c r="T29" s="15"/>
      <c r="U29" s="102"/>
    </row>
    <row r="30" spans="1:31" ht="12">
      <c r="U30" s="102"/>
    </row>
    <row r="31" spans="1:31" ht="12">
      <c r="U31" s="102"/>
    </row>
    <row r="32" spans="1:31" ht="12">
      <c r="U32" s="102"/>
    </row>
    <row r="33" spans="21:21" ht="12">
      <c r="U33" s="102"/>
    </row>
    <row r="34" spans="21:21" ht="12">
      <c r="U34" s="102"/>
    </row>
    <row r="35" spans="21:21" ht="12">
      <c r="U35" s="102"/>
    </row>
  </sheetData>
  <protectedRanges>
    <protectedRange password="CC78" sqref="V23:IK24 C5:D7 B27:C27 V5:W9 A23:A28 B23:B26 B28 V15:W15 Q5:T7 E5:I6 N5:P6 L5 L27 J6:K7 L7 A30:T63 U36:U63 N23:S23 V30:IK63 J23:L23 A64:IK65331 AF15:IK15 V14:IK14 D14:T14 D24:T24 Q10:S13 W10:W13 AF5:IK13 A10:B14" name="Range1"/>
    <protectedRange password="CC78" sqref="F7:H7" name="Range1_4"/>
    <protectedRange password="CC78" sqref="V27:IK28 S27:T28 N27:Q28 E27:I28" name="Range1_1_1"/>
    <protectedRange password="CC78" sqref="U1 W1:IK3 V4:IK4 B4:T4 R2:S3 B1:Q3 U23:U35 X15:AE15 U4:U15 X5:AE13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6:W22 Q16:S22 AF16:IK22 A16:B22" name="Range1_5"/>
    <protectedRange password="CC78" sqref="U16:U22 X16:AE22" name="Range1_2_3"/>
    <protectedRange password="CC78" sqref="V16:V22" name="Range1_1_3"/>
    <protectedRange password="CC78" sqref="K10:K13 K16:K22" name="Range1_6"/>
    <protectedRange password="CC78" sqref="A2:A3" name="Range1_2_1_3"/>
    <protectedRange password="CC78" sqref="U2" name="Range1_2_2_1_1"/>
  </protectedRanges>
  <autoFilter ref="A7:AE10"/>
  <mergeCells count="24">
    <mergeCell ref="S5:S7"/>
    <mergeCell ref="M5:M7"/>
    <mergeCell ref="R1:T1"/>
    <mergeCell ref="Q5:Q7"/>
    <mergeCell ref="N5:P5"/>
    <mergeCell ref="R5:R7"/>
    <mergeCell ref="O6:O7"/>
    <mergeCell ref="N6:N7"/>
    <mergeCell ref="P6:P7"/>
    <mergeCell ref="T5:T7"/>
    <mergeCell ref="A14:D14"/>
    <mergeCell ref="A24:D24"/>
    <mergeCell ref="D1:Q1"/>
    <mergeCell ref="A5:A7"/>
    <mergeCell ref="L5:L7"/>
    <mergeCell ref="B5:B7"/>
    <mergeCell ref="F6:G6"/>
    <mergeCell ref="C5:C7"/>
    <mergeCell ref="D5:D7"/>
    <mergeCell ref="F5:K5"/>
    <mergeCell ref="K6:K7"/>
    <mergeCell ref="J6:J7"/>
    <mergeCell ref="H6:I6"/>
    <mergeCell ref="E5:E7"/>
  </mergeCells>
  <phoneticPr fontId="47" type="noConversion"/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6"/>
  <sheetViews>
    <sheetView zoomScaleNormal="115" workbookViewId="0">
      <pane xSplit="3" ySplit="6" topLeftCell="D15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A16" sqref="A16:B2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89" customWidth="1"/>
    <col min="5" max="5" width="7.140625" style="2" customWidth="1"/>
    <col min="6" max="33" width="3.42578125" style="121" customWidth="1"/>
    <col min="34" max="35" width="3.42578125" style="122" customWidth="1"/>
    <col min="36" max="36" width="3.42578125" style="122" hidden="1" customWidth="1"/>
    <col min="37" max="38" width="4.42578125" style="2" customWidth="1"/>
    <col min="39" max="39" width="5.5703125" style="98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7"/>
      <c r="B1" s="52"/>
      <c r="C1" s="52"/>
      <c r="D1" s="56"/>
      <c r="E1" s="52"/>
      <c r="F1" s="56"/>
      <c r="G1" s="56"/>
      <c r="H1" s="56"/>
      <c r="I1" s="56"/>
      <c r="J1" s="56"/>
      <c r="K1" s="117"/>
      <c r="L1" s="117"/>
      <c r="M1" s="117"/>
      <c r="N1" s="117"/>
      <c r="O1" s="117"/>
      <c r="P1" s="117"/>
      <c r="Q1" s="117"/>
      <c r="R1" s="117"/>
      <c r="S1" s="54" t="str">
        <f>CONCATENATE("BẢNG CHẤM CÔNG THÁNG ",TEXT($E$4,"mm")," NĂM ",TEXT($E$4,"yyyy"))</f>
        <v>BẢNG CHẤM CÔNG THÁNG 06 NĂM 2015</v>
      </c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K1" s="53"/>
      <c r="AL1" s="53"/>
      <c r="AM1" s="242" t="s">
        <v>170</v>
      </c>
      <c r="AN1" s="243"/>
      <c r="AO1" s="243"/>
      <c r="AP1" s="243"/>
      <c r="AQ1" s="243"/>
      <c r="AR1" s="243"/>
      <c r="AS1" s="244"/>
      <c r="AT1" s="55"/>
    </row>
    <row r="2" spans="1:91" ht="20.25">
      <c r="A2" s="137"/>
      <c r="B2" s="56"/>
      <c r="C2" s="56"/>
      <c r="D2" s="56"/>
      <c r="E2" s="56"/>
      <c r="F2" s="56"/>
      <c r="G2" s="56"/>
      <c r="H2" s="56"/>
      <c r="I2" s="56"/>
      <c r="J2" s="56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53"/>
      <c r="AL2" s="53"/>
      <c r="AM2" s="94"/>
      <c r="AN2" s="57"/>
      <c r="AO2" s="57"/>
      <c r="AP2" s="57"/>
      <c r="AQ2" s="57"/>
      <c r="AR2" s="57"/>
      <c r="AS2" s="93"/>
      <c r="AT2" s="93"/>
    </row>
    <row r="3" spans="1:91" ht="21" customHeight="1">
      <c r="A3" s="137"/>
      <c r="B3" s="58"/>
      <c r="C3" s="58"/>
      <c r="D3" s="59"/>
      <c r="E3" s="59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53"/>
      <c r="AL3" s="53"/>
      <c r="AM3" s="94"/>
      <c r="AN3" s="55"/>
      <c r="AO3" s="55"/>
      <c r="AP3" s="55"/>
      <c r="AQ3" s="55"/>
      <c r="AR3" s="55"/>
      <c r="AS3" s="60"/>
      <c r="AT3" s="60"/>
    </row>
    <row r="4" spans="1:91" ht="14.25" customHeight="1">
      <c r="A4" s="61"/>
      <c r="B4" s="61"/>
      <c r="C4" s="154"/>
      <c r="D4" s="153"/>
      <c r="E4" s="62">
        <v>42156</v>
      </c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4"/>
      <c r="AI4" s="64"/>
      <c r="AJ4" s="64"/>
      <c r="AK4" s="61"/>
      <c r="AL4" s="61"/>
      <c r="AM4" s="95"/>
      <c r="AN4" s="61"/>
      <c r="AO4" s="61"/>
      <c r="AP4" s="61"/>
      <c r="AQ4" s="61"/>
      <c r="AR4" s="61"/>
      <c r="AS4" s="61"/>
      <c r="AT4" s="99"/>
    </row>
    <row r="5" spans="1:91" s="65" customFormat="1" ht="18.75" customHeight="1">
      <c r="A5" s="245" t="s">
        <v>28</v>
      </c>
      <c r="B5" s="245" t="s">
        <v>3</v>
      </c>
      <c r="C5" s="245" t="s">
        <v>1</v>
      </c>
      <c r="D5" s="247" t="s">
        <v>29</v>
      </c>
      <c r="E5" s="245" t="s">
        <v>30</v>
      </c>
      <c r="F5" s="116">
        <f>+E4</f>
        <v>42156</v>
      </c>
      <c r="G5" s="116">
        <f t="shared" ref="G5:AJ5" si="0">F5+1</f>
        <v>42157</v>
      </c>
      <c r="H5" s="116">
        <f t="shared" si="0"/>
        <v>42158</v>
      </c>
      <c r="I5" s="116">
        <f t="shared" si="0"/>
        <v>42159</v>
      </c>
      <c r="J5" s="116">
        <f t="shared" si="0"/>
        <v>42160</v>
      </c>
      <c r="K5" s="116">
        <f t="shared" si="0"/>
        <v>42161</v>
      </c>
      <c r="L5" s="116">
        <f t="shared" si="0"/>
        <v>42162</v>
      </c>
      <c r="M5" s="116">
        <f t="shared" si="0"/>
        <v>42163</v>
      </c>
      <c r="N5" s="116">
        <f t="shared" si="0"/>
        <v>42164</v>
      </c>
      <c r="O5" s="116">
        <f t="shared" si="0"/>
        <v>42165</v>
      </c>
      <c r="P5" s="116">
        <f t="shared" si="0"/>
        <v>42166</v>
      </c>
      <c r="Q5" s="116">
        <f t="shared" si="0"/>
        <v>42167</v>
      </c>
      <c r="R5" s="116">
        <f t="shared" si="0"/>
        <v>42168</v>
      </c>
      <c r="S5" s="116">
        <f t="shared" si="0"/>
        <v>42169</v>
      </c>
      <c r="T5" s="116">
        <f t="shared" si="0"/>
        <v>42170</v>
      </c>
      <c r="U5" s="116">
        <f t="shared" si="0"/>
        <v>42171</v>
      </c>
      <c r="V5" s="116">
        <f t="shared" si="0"/>
        <v>42172</v>
      </c>
      <c r="W5" s="116">
        <f t="shared" si="0"/>
        <v>42173</v>
      </c>
      <c r="X5" s="116">
        <f t="shared" si="0"/>
        <v>42174</v>
      </c>
      <c r="Y5" s="116">
        <f t="shared" si="0"/>
        <v>42175</v>
      </c>
      <c r="Z5" s="116">
        <f t="shared" si="0"/>
        <v>42176</v>
      </c>
      <c r="AA5" s="116">
        <f t="shared" si="0"/>
        <v>42177</v>
      </c>
      <c r="AB5" s="116">
        <f t="shared" si="0"/>
        <v>42178</v>
      </c>
      <c r="AC5" s="116">
        <f t="shared" si="0"/>
        <v>42179</v>
      </c>
      <c r="AD5" s="116">
        <f t="shared" si="0"/>
        <v>42180</v>
      </c>
      <c r="AE5" s="116">
        <f t="shared" si="0"/>
        <v>42181</v>
      </c>
      <c r="AF5" s="116">
        <f t="shared" si="0"/>
        <v>42182</v>
      </c>
      <c r="AG5" s="116">
        <f t="shared" si="0"/>
        <v>42183</v>
      </c>
      <c r="AH5" s="116">
        <f>AG5+1</f>
        <v>42184</v>
      </c>
      <c r="AI5" s="116">
        <f t="shared" si="0"/>
        <v>42185</v>
      </c>
      <c r="AJ5" s="116">
        <f t="shared" si="0"/>
        <v>42186</v>
      </c>
      <c r="AK5" s="248" t="s">
        <v>15</v>
      </c>
      <c r="AL5" s="249"/>
      <c r="AM5" s="250"/>
      <c r="AN5" s="251" t="s">
        <v>45</v>
      </c>
      <c r="AO5" s="251" t="s">
        <v>41</v>
      </c>
      <c r="AP5" s="251" t="s">
        <v>42</v>
      </c>
      <c r="AQ5" s="251" t="s">
        <v>43</v>
      </c>
      <c r="AR5" s="251" t="s">
        <v>44</v>
      </c>
      <c r="AS5" s="247" t="s">
        <v>0</v>
      </c>
      <c r="AT5" s="26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5" customFormat="1" ht="39.75" customHeight="1">
      <c r="A6" s="246"/>
      <c r="B6" s="246"/>
      <c r="C6" s="246"/>
      <c r="D6" s="246"/>
      <c r="E6" s="246"/>
      <c r="F6" s="172" t="str">
        <f>CHOOSE(WEEKDAY(F5),"C.Nhật","T.Hai","T.Ba","T.Tư","T.Năm","T.Sáu","T.Bảy")</f>
        <v>T.Hai</v>
      </c>
      <c r="G6" s="172" t="str">
        <f t="shared" ref="G6:AJ6" si="1">CHOOSE(WEEKDAY(G5),"C.Nhật","T.Hai","T.Ba","T.Tư","T.Năm","T.Sáu","T.Bảy")</f>
        <v>T.Ba</v>
      </c>
      <c r="H6" s="172" t="str">
        <f t="shared" si="1"/>
        <v>T.Tư</v>
      </c>
      <c r="I6" s="172" t="str">
        <f t="shared" si="1"/>
        <v>T.Năm</v>
      </c>
      <c r="J6" s="172" t="str">
        <f t="shared" si="1"/>
        <v>T.Sáu</v>
      </c>
      <c r="K6" s="172" t="str">
        <f t="shared" si="1"/>
        <v>T.Bảy</v>
      </c>
      <c r="L6" s="172" t="str">
        <f t="shared" si="1"/>
        <v>C.Nhật</v>
      </c>
      <c r="M6" s="172" t="str">
        <f t="shared" si="1"/>
        <v>T.Hai</v>
      </c>
      <c r="N6" s="172" t="str">
        <f t="shared" si="1"/>
        <v>T.Ba</v>
      </c>
      <c r="O6" s="172" t="str">
        <f t="shared" si="1"/>
        <v>T.Tư</v>
      </c>
      <c r="P6" s="172" t="str">
        <f t="shared" si="1"/>
        <v>T.Năm</v>
      </c>
      <c r="Q6" s="172" t="str">
        <f t="shared" si="1"/>
        <v>T.Sáu</v>
      </c>
      <c r="R6" s="172" t="str">
        <f t="shared" si="1"/>
        <v>T.Bảy</v>
      </c>
      <c r="S6" s="172" t="str">
        <f t="shared" si="1"/>
        <v>C.Nhật</v>
      </c>
      <c r="T6" s="172" t="str">
        <f t="shared" si="1"/>
        <v>T.Hai</v>
      </c>
      <c r="U6" s="172" t="str">
        <f t="shared" si="1"/>
        <v>T.Ba</v>
      </c>
      <c r="V6" s="172" t="str">
        <f t="shared" si="1"/>
        <v>T.Tư</v>
      </c>
      <c r="W6" s="172" t="str">
        <f t="shared" si="1"/>
        <v>T.Năm</v>
      </c>
      <c r="X6" s="172" t="str">
        <f t="shared" si="1"/>
        <v>T.Sáu</v>
      </c>
      <c r="Y6" s="172" t="str">
        <f t="shared" si="1"/>
        <v>T.Bảy</v>
      </c>
      <c r="Z6" s="172" t="str">
        <f t="shared" si="1"/>
        <v>C.Nhật</v>
      </c>
      <c r="AA6" s="172" t="str">
        <f t="shared" si="1"/>
        <v>T.Hai</v>
      </c>
      <c r="AB6" s="172" t="str">
        <f t="shared" si="1"/>
        <v>T.Ba</v>
      </c>
      <c r="AC6" s="172" t="str">
        <f t="shared" si="1"/>
        <v>T.Tư</v>
      </c>
      <c r="AD6" s="172" t="str">
        <f t="shared" si="1"/>
        <v>T.Năm</v>
      </c>
      <c r="AE6" s="172" t="str">
        <f t="shared" si="1"/>
        <v>T.Sáu</v>
      </c>
      <c r="AF6" s="172" t="str">
        <f t="shared" si="1"/>
        <v>T.Bảy</v>
      </c>
      <c r="AG6" s="172" t="str">
        <f t="shared" si="1"/>
        <v>C.Nhật</v>
      </c>
      <c r="AH6" s="172" t="str">
        <f t="shared" si="1"/>
        <v>T.Hai</v>
      </c>
      <c r="AI6" s="172" t="str">
        <f t="shared" si="1"/>
        <v>T.Ba</v>
      </c>
      <c r="AJ6" s="172" t="str">
        <f t="shared" si="1"/>
        <v>T.Tư</v>
      </c>
      <c r="AK6" s="173" t="s">
        <v>16</v>
      </c>
      <c r="AL6" s="173" t="s">
        <v>31</v>
      </c>
      <c r="AM6" s="174" t="s">
        <v>17</v>
      </c>
      <c r="AN6" s="252"/>
      <c r="AO6" s="252"/>
      <c r="AP6" s="252"/>
      <c r="AQ6" s="252"/>
      <c r="AR6" s="252"/>
      <c r="AS6" s="246"/>
      <c r="AT6" s="26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5" customFormat="1" ht="12.75" customHeight="1">
      <c r="A7" s="175">
        <v>1</v>
      </c>
      <c r="B7" s="175">
        <v>1</v>
      </c>
      <c r="C7" s="175">
        <v>2</v>
      </c>
      <c r="D7" s="175">
        <v>3</v>
      </c>
      <c r="E7" s="175">
        <v>4</v>
      </c>
      <c r="F7" s="175">
        <v>5</v>
      </c>
      <c r="G7" s="175">
        <v>6</v>
      </c>
      <c r="H7" s="175">
        <v>7</v>
      </c>
      <c r="I7" s="175">
        <v>8</v>
      </c>
      <c r="J7" s="175">
        <v>9</v>
      </c>
      <c r="K7" s="175">
        <v>10</v>
      </c>
      <c r="L7" s="175">
        <v>11</v>
      </c>
      <c r="M7" s="175">
        <v>12</v>
      </c>
      <c r="N7" s="175">
        <v>13</v>
      </c>
      <c r="O7" s="175">
        <v>14</v>
      </c>
      <c r="P7" s="175">
        <v>15</v>
      </c>
      <c r="Q7" s="175">
        <v>16</v>
      </c>
      <c r="R7" s="175">
        <v>17</v>
      </c>
      <c r="S7" s="175">
        <v>18</v>
      </c>
      <c r="T7" s="175">
        <v>19</v>
      </c>
      <c r="U7" s="175">
        <v>20</v>
      </c>
      <c r="V7" s="175">
        <v>21</v>
      </c>
      <c r="W7" s="175">
        <v>22</v>
      </c>
      <c r="X7" s="175">
        <v>23</v>
      </c>
      <c r="Y7" s="175">
        <v>24</v>
      </c>
      <c r="Z7" s="175">
        <v>25</v>
      </c>
      <c r="AA7" s="175">
        <v>26</v>
      </c>
      <c r="AB7" s="175">
        <v>27</v>
      </c>
      <c r="AC7" s="175">
        <v>28</v>
      </c>
      <c r="AD7" s="175">
        <v>29</v>
      </c>
      <c r="AE7" s="175">
        <v>30</v>
      </c>
      <c r="AF7" s="175">
        <v>31</v>
      </c>
      <c r="AG7" s="175">
        <v>32</v>
      </c>
      <c r="AH7" s="175">
        <v>33</v>
      </c>
      <c r="AI7" s="175">
        <v>34</v>
      </c>
      <c r="AJ7" s="175">
        <v>35</v>
      </c>
      <c r="AK7" s="175">
        <v>36</v>
      </c>
      <c r="AL7" s="175">
        <v>37</v>
      </c>
      <c r="AM7" s="175">
        <v>38</v>
      </c>
      <c r="AN7" s="175">
        <v>39</v>
      </c>
      <c r="AO7" s="175">
        <v>40</v>
      </c>
      <c r="AP7" s="175">
        <v>41</v>
      </c>
      <c r="AQ7" s="175">
        <v>42</v>
      </c>
      <c r="AR7" s="175">
        <v>43</v>
      </c>
      <c r="AS7" s="175">
        <v>44</v>
      </c>
      <c r="AT7" s="19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8" customFormat="1" ht="21" customHeight="1">
      <c r="A8" s="176" t="s">
        <v>154</v>
      </c>
      <c r="B8" s="179" t="s">
        <v>171</v>
      </c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0"/>
      <c r="W8" s="180"/>
      <c r="X8" s="180"/>
      <c r="Y8" s="180"/>
      <c r="Z8" s="180"/>
      <c r="AA8" s="180"/>
      <c r="AB8" s="180"/>
      <c r="AC8" s="180"/>
      <c r="AD8" s="180"/>
      <c r="AE8" s="180"/>
      <c r="AF8" s="180"/>
      <c r="AG8" s="180"/>
      <c r="AH8" s="180"/>
      <c r="AI8" s="180"/>
      <c r="AJ8" s="180"/>
      <c r="AK8" s="180"/>
      <c r="AL8" s="180"/>
      <c r="AM8" s="180"/>
      <c r="AN8" s="180"/>
      <c r="AO8" s="180"/>
      <c r="AP8" s="180"/>
      <c r="AQ8" s="180"/>
      <c r="AR8" s="180"/>
      <c r="AS8" s="181"/>
      <c r="AT8" s="177"/>
    </row>
    <row r="9" spans="1:91" s="65" customFormat="1" ht="18" customHeight="1">
      <c r="A9" s="253">
        <v>1</v>
      </c>
      <c r="B9" s="253" t="s">
        <v>159</v>
      </c>
      <c r="C9" s="255" t="str">
        <f>VLOOKUP(B9,DS,2,0)</f>
        <v>Nguyễn Thị Thu Sương</v>
      </c>
      <c r="D9" s="257" t="str">
        <f>VLOOKUP(B9,DS,3,0)</f>
        <v>Kinh Doanh</v>
      </c>
      <c r="E9" s="66" t="s">
        <v>32</v>
      </c>
      <c r="F9" s="141">
        <v>8</v>
      </c>
      <c r="G9" s="141">
        <v>8</v>
      </c>
      <c r="H9" s="141">
        <v>8</v>
      </c>
      <c r="I9" s="141">
        <v>8</v>
      </c>
      <c r="J9" s="141">
        <v>8</v>
      </c>
      <c r="K9" s="141">
        <v>8</v>
      </c>
      <c r="L9" s="141"/>
      <c r="M9" s="141">
        <v>8</v>
      </c>
      <c r="N9" s="141">
        <v>8</v>
      </c>
      <c r="O9" s="141">
        <v>8</v>
      </c>
      <c r="P9" s="141">
        <v>8</v>
      </c>
      <c r="Q9" s="141">
        <v>8</v>
      </c>
      <c r="R9" s="141">
        <v>8</v>
      </c>
      <c r="S9" s="141"/>
      <c r="T9" s="141">
        <v>8</v>
      </c>
      <c r="U9" s="141">
        <v>8</v>
      </c>
      <c r="V9" s="141">
        <v>8</v>
      </c>
      <c r="W9" s="141">
        <v>8</v>
      </c>
      <c r="X9" s="141">
        <v>8</v>
      </c>
      <c r="Y9" s="141">
        <v>8</v>
      </c>
      <c r="Z9" s="141"/>
      <c r="AA9" s="141">
        <v>8</v>
      </c>
      <c r="AB9" s="141">
        <v>8</v>
      </c>
      <c r="AC9" s="141">
        <v>8</v>
      </c>
      <c r="AD9" s="141">
        <v>8</v>
      </c>
      <c r="AE9" s="141">
        <v>8</v>
      </c>
      <c r="AF9" s="141">
        <v>8</v>
      </c>
      <c r="AG9" s="141"/>
      <c r="AH9" s="141">
        <v>8</v>
      </c>
      <c r="AI9" s="141">
        <v>8</v>
      </c>
      <c r="AJ9" s="141"/>
      <c r="AK9" s="259">
        <f>((SUM(F9:AJ9))/8)-(SUMIF($F$6:$AJ$6,"C.Nhật",F9:AJ9)/8)</f>
        <v>26</v>
      </c>
      <c r="AL9" s="259">
        <f>SUM(F10:AJ10)/8*1.5</f>
        <v>0</v>
      </c>
      <c r="AM9" s="262">
        <f>SUMIF($F$6:$AJ$6,"C.Nhật",$F9:$AJ10)/8*2</f>
        <v>0</v>
      </c>
      <c r="AN9" s="264">
        <f>SUM(AK9:AM10)</f>
        <v>26</v>
      </c>
      <c r="AO9" s="266">
        <v>0</v>
      </c>
      <c r="AP9" s="264"/>
      <c r="AQ9" s="264"/>
      <c r="AR9" s="264"/>
      <c r="AS9" s="268"/>
      <c r="AT9" s="19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5" customFormat="1" ht="18" customHeight="1">
      <c r="A10" s="254"/>
      <c r="B10" s="254"/>
      <c r="C10" s="256"/>
      <c r="D10" s="258"/>
      <c r="E10" s="67" t="s">
        <v>31</v>
      </c>
      <c r="F10" s="142"/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260"/>
      <c r="AL10" s="260"/>
      <c r="AM10" s="263"/>
      <c r="AN10" s="265"/>
      <c r="AO10" s="267"/>
      <c r="AP10" s="265"/>
      <c r="AQ10" s="265"/>
      <c r="AR10" s="265"/>
      <c r="AS10" s="269"/>
      <c r="AT10" s="19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5" customFormat="1" ht="18" customHeight="1">
      <c r="A11" s="253">
        <v>2</v>
      </c>
      <c r="B11" s="253" t="s">
        <v>160</v>
      </c>
      <c r="C11" s="255" t="str">
        <f>VLOOKUP(B11,DS,2,0)</f>
        <v>Trần Anh Nhựt</v>
      </c>
      <c r="D11" s="257" t="str">
        <f>VLOOKUP(B11,DS,3,0)</f>
        <v>Thiết Kế</v>
      </c>
      <c r="E11" s="66" t="s">
        <v>32</v>
      </c>
      <c r="F11" s="141">
        <v>8</v>
      </c>
      <c r="G11" s="141">
        <v>8</v>
      </c>
      <c r="H11" s="141">
        <v>8</v>
      </c>
      <c r="I11" s="141">
        <v>8</v>
      </c>
      <c r="J11" s="141">
        <v>8</v>
      </c>
      <c r="K11" s="141">
        <v>8</v>
      </c>
      <c r="L11" s="141"/>
      <c r="M11" s="141">
        <v>8</v>
      </c>
      <c r="N11" s="141">
        <v>8</v>
      </c>
      <c r="O11" s="141">
        <v>8</v>
      </c>
      <c r="P11" s="141">
        <v>8</v>
      </c>
      <c r="Q11" s="141">
        <v>8</v>
      </c>
      <c r="R11" s="141">
        <v>8</v>
      </c>
      <c r="S11" s="141"/>
      <c r="T11" s="141">
        <v>8</v>
      </c>
      <c r="U11" s="141">
        <v>8</v>
      </c>
      <c r="V11" s="141">
        <v>8</v>
      </c>
      <c r="W11" s="141">
        <v>8</v>
      </c>
      <c r="X11" s="141">
        <v>8</v>
      </c>
      <c r="Y11" s="141">
        <v>8</v>
      </c>
      <c r="Z11" s="141"/>
      <c r="AA11" s="141">
        <v>8</v>
      </c>
      <c r="AB11" s="141">
        <v>8</v>
      </c>
      <c r="AC11" s="141">
        <v>8</v>
      </c>
      <c r="AD11" s="141">
        <v>8</v>
      </c>
      <c r="AE11" s="141">
        <v>8</v>
      </c>
      <c r="AF11" s="141">
        <v>8</v>
      </c>
      <c r="AG11" s="141"/>
      <c r="AH11" s="141">
        <v>8</v>
      </c>
      <c r="AI11" s="141">
        <v>8</v>
      </c>
      <c r="AJ11" s="141"/>
      <c r="AK11" s="259">
        <f t="shared" ref="AK11" si="2">((SUM(F11:AJ11))/8)-(SUMIF($F$6:$AJ$6,"C.Nhật",F11:AJ11)/8)</f>
        <v>26</v>
      </c>
      <c r="AL11" s="259">
        <f t="shared" ref="AL11" si="3">SUM(F12:AJ12)/8*1.5</f>
        <v>0</v>
      </c>
      <c r="AM11" s="262">
        <f t="shared" ref="AM11:AM13" si="4">SUMIF($F$6:$AJ$6,"C.Nhật",$F11:$AJ12)/8*2</f>
        <v>0</v>
      </c>
      <c r="AN11" s="264">
        <f t="shared" ref="AN11" si="5">SUM(AK11:AM12)</f>
        <v>26</v>
      </c>
      <c r="AO11" s="266">
        <v>0</v>
      </c>
      <c r="AP11" s="264"/>
      <c r="AQ11" s="264"/>
      <c r="AR11" s="264"/>
      <c r="AS11" s="268"/>
      <c r="AT11" s="22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5" customFormat="1" ht="18" customHeight="1">
      <c r="A12" s="254"/>
      <c r="B12" s="254"/>
      <c r="C12" s="256"/>
      <c r="D12" s="258"/>
      <c r="E12" s="67" t="s">
        <v>31</v>
      </c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260"/>
      <c r="AL12" s="260"/>
      <c r="AM12" s="263"/>
      <c r="AN12" s="265"/>
      <c r="AO12" s="267"/>
      <c r="AP12" s="265"/>
      <c r="AQ12" s="265"/>
      <c r="AR12" s="265"/>
      <c r="AS12" s="269"/>
      <c r="AT12" s="22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5" customFormat="1" ht="18" customHeight="1">
      <c r="A13" s="253">
        <v>3</v>
      </c>
      <c r="B13" s="253" t="s">
        <v>168</v>
      </c>
      <c r="C13" s="255" t="str">
        <f>VLOOKUP(B13,DS,2,0)</f>
        <v>Huỳnh Minh Toàn</v>
      </c>
      <c r="D13" s="257" t="str">
        <f>VLOOKUP(B13,DS,3,0)</f>
        <v>Thủ Kho</v>
      </c>
      <c r="E13" s="66" t="s">
        <v>32</v>
      </c>
      <c r="F13" s="141">
        <v>8</v>
      </c>
      <c r="G13" s="141">
        <v>8</v>
      </c>
      <c r="H13" s="141">
        <v>8</v>
      </c>
      <c r="I13" s="141">
        <v>8</v>
      </c>
      <c r="J13" s="141">
        <v>8</v>
      </c>
      <c r="K13" s="141">
        <v>8</v>
      </c>
      <c r="L13" s="141"/>
      <c r="M13" s="141">
        <v>8</v>
      </c>
      <c r="N13" s="141">
        <v>8</v>
      </c>
      <c r="O13" s="141">
        <v>8</v>
      </c>
      <c r="P13" s="141">
        <v>8</v>
      </c>
      <c r="Q13" s="141">
        <v>8</v>
      </c>
      <c r="R13" s="141">
        <v>8</v>
      </c>
      <c r="S13" s="141"/>
      <c r="T13" s="141">
        <v>8</v>
      </c>
      <c r="U13" s="141">
        <v>8</v>
      </c>
      <c r="V13" s="141">
        <v>8</v>
      </c>
      <c r="W13" s="141">
        <v>8</v>
      </c>
      <c r="X13" s="141">
        <v>8</v>
      </c>
      <c r="Y13" s="141">
        <v>8</v>
      </c>
      <c r="Z13" s="141"/>
      <c r="AA13" s="141">
        <v>8</v>
      </c>
      <c r="AB13" s="141">
        <v>8</v>
      </c>
      <c r="AC13" s="141">
        <v>8</v>
      </c>
      <c r="AD13" s="141">
        <v>8</v>
      </c>
      <c r="AE13" s="141">
        <v>8</v>
      </c>
      <c r="AF13" s="141">
        <v>8</v>
      </c>
      <c r="AG13" s="141"/>
      <c r="AH13" s="141">
        <v>8</v>
      </c>
      <c r="AI13" s="141">
        <v>8</v>
      </c>
      <c r="AJ13" s="141"/>
      <c r="AK13" s="259">
        <f t="shared" ref="AK13" si="6">((SUM(F13:AJ13))/8)-(SUMIF($F$6:$AJ$6,"C.Nhật",F13:AJ13)/8)</f>
        <v>26</v>
      </c>
      <c r="AL13" s="259">
        <f t="shared" ref="AL13" si="7">SUM(F14:AJ14)/8*1.5</f>
        <v>0</v>
      </c>
      <c r="AM13" s="262">
        <f t="shared" si="4"/>
        <v>0</v>
      </c>
      <c r="AN13" s="264">
        <f t="shared" ref="AN13" si="8">SUM(AK13:AM14)</f>
        <v>26</v>
      </c>
      <c r="AO13" s="266">
        <v>0</v>
      </c>
      <c r="AP13" s="264"/>
      <c r="AQ13" s="264"/>
      <c r="AR13" s="264"/>
      <c r="AS13" s="268"/>
      <c r="AT13" s="195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5" customFormat="1" ht="18" customHeight="1">
      <c r="A14" s="254"/>
      <c r="B14" s="254"/>
      <c r="C14" s="256"/>
      <c r="D14" s="258"/>
      <c r="E14" s="67" t="s">
        <v>31</v>
      </c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260"/>
      <c r="AL14" s="260"/>
      <c r="AM14" s="263"/>
      <c r="AN14" s="265"/>
      <c r="AO14" s="267"/>
      <c r="AP14" s="265"/>
      <c r="AQ14" s="265"/>
      <c r="AR14" s="265"/>
      <c r="AS14" s="269"/>
      <c r="AT14" s="195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78" customFormat="1" ht="21" customHeight="1">
      <c r="A15" s="176" t="s">
        <v>155</v>
      </c>
      <c r="B15" s="179" t="s">
        <v>158</v>
      </c>
      <c r="C15" s="180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0"/>
      <c r="U15" s="180"/>
      <c r="V15" s="180"/>
      <c r="W15" s="180"/>
      <c r="X15" s="180"/>
      <c r="Y15" s="180"/>
      <c r="Z15" s="180"/>
      <c r="AA15" s="180"/>
      <c r="AB15" s="180"/>
      <c r="AC15" s="180"/>
      <c r="AD15" s="180"/>
      <c r="AE15" s="180"/>
      <c r="AF15" s="180"/>
      <c r="AG15" s="180"/>
      <c r="AH15" s="180"/>
      <c r="AI15" s="180"/>
      <c r="AJ15" s="180"/>
      <c r="AK15" s="180"/>
      <c r="AL15" s="180"/>
      <c r="AM15" s="180"/>
      <c r="AN15" s="180"/>
      <c r="AO15" s="180"/>
      <c r="AP15" s="180"/>
      <c r="AQ15" s="180"/>
      <c r="AR15" s="180"/>
      <c r="AS15" s="181"/>
      <c r="AT15" s="177"/>
    </row>
    <row r="16" spans="1:91" s="65" customFormat="1" ht="18" customHeight="1">
      <c r="A16" s="253">
        <v>1</v>
      </c>
      <c r="B16" s="253" t="s">
        <v>161</v>
      </c>
      <c r="C16" s="255" t="str">
        <f>VLOOKUP(B16,DS,2,0)</f>
        <v>Nguyễn Trường Giang</v>
      </c>
      <c r="D16" s="257" t="str">
        <f>VLOOKUP(B16,DS,3,0)</f>
        <v>Thợ in</v>
      </c>
      <c r="E16" s="66" t="s">
        <v>32</v>
      </c>
      <c r="F16" s="141">
        <v>8</v>
      </c>
      <c r="G16" s="141">
        <v>8</v>
      </c>
      <c r="H16" s="141">
        <v>8</v>
      </c>
      <c r="I16" s="141">
        <v>8</v>
      </c>
      <c r="J16" s="141">
        <v>8</v>
      </c>
      <c r="K16" s="141">
        <v>8</v>
      </c>
      <c r="L16" s="141"/>
      <c r="M16" s="141">
        <v>8</v>
      </c>
      <c r="N16" s="141">
        <v>8</v>
      </c>
      <c r="O16" s="141">
        <v>8</v>
      </c>
      <c r="P16" s="141">
        <v>8</v>
      </c>
      <c r="Q16" s="141">
        <v>8</v>
      </c>
      <c r="R16" s="141">
        <v>8</v>
      </c>
      <c r="S16" s="141"/>
      <c r="T16" s="141">
        <v>8</v>
      </c>
      <c r="U16" s="141">
        <v>8</v>
      </c>
      <c r="V16" s="141">
        <v>8</v>
      </c>
      <c r="W16" s="141">
        <v>8</v>
      </c>
      <c r="X16" s="141">
        <v>8</v>
      </c>
      <c r="Y16" s="141">
        <v>8</v>
      </c>
      <c r="Z16" s="141"/>
      <c r="AA16" s="141">
        <v>8</v>
      </c>
      <c r="AB16" s="141">
        <v>8</v>
      </c>
      <c r="AC16" s="141">
        <v>8</v>
      </c>
      <c r="AD16" s="141">
        <v>8</v>
      </c>
      <c r="AE16" s="141">
        <v>8</v>
      </c>
      <c r="AF16" s="141">
        <v>8</v>
      </c>
      <c r="AG16" s="141"/>
      <c r="AH16" s="141">
        <v>8</v>
      </c>
      <c r="AI16" s="141">
        <v>8</v>
      </c>
      <c r="AJ16" s="141"/>
      <c r="AK16" s="259">
        <f t="shared" ref="AK16" si="9">((SUM(F16:AJ16))/8)-(SUMIF($F$6:$AJ$6,"C.Nhật",F16:AJ16)/8)</f>
        <v>26</v>
      </c>
      <c r="AL16" s="259">
        <f t="shared" ref="AL16" si="10">SUM(F17:AJ17)/8*1.5</f>
        <v>0</v>
      </c>
      <c r="AM16" s="262">
        <f>SUMIF($F$6:$AJ$6,"C.Nhật",$F16:$AJ17)/8*2</f>
        <v>0</v>
      </c>
      <c r="AN16" s="264">
        <f>SUM(AK16:AM17)</f>
        <v>26</v>
      </c>
      <c r="AO16" s="266">
        <v>0</v>
      </c>
      <c r="AP16" s="264"/>
      <c r="AQ16" s="264"/>
      <c r="AR16" s="264"/>
      <c r="AS16" s="268"/>
      <c r="AT16" s="21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5" customFormat="1" ht="18" customHeight="1">
      <c r="A17" s="254"/>
      <c r="B17" s="254"/>
      <c r="C17" s="256"/>
      <c r="D17" s="258"/>
      <c r="E17" s="67" t="s">
        <v>31</v>
      </c>
      <c r="F17" s="142"/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  <c r="AA17" s="142"/>
      <c r="AB17" s="142"/>
      <c r="AC17" s="142"/>
      <c r="AD17" s="142"/>
      <c r="AE17" s="142"/>
      <c r="AF17" s="142"/>
      <c r="AG17" s="142"/>
      <c r="AH17" s="142"/>
      <c r="AI17" s="142"/>
      <c r="AJ17" s="142"/>
      <c r="AK17" s="260"/>
      <c r="AL17" s="260"/>
      <c r="AM17" s="263"/>
      <c r="AN17" s="265"/>
      <c r="AO17" s="267"/>
      <c r="AP17" s="265"/>
      <c r="AQ17" s="265"/>
      <c r="AR17" s="265"/>
      <c r="AS17" s="269"/>
      <c r="AT17" s="21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5" customFormat="1" ht="18" customHeight="1">
      <c r="A18" s="253">
        <v>2</v>
      </c>
      <c r="B18" s="253" t="s">
        <v>162</v>
      </c>
      <c r="C18" s="255" t="str">
        <f>VLOOKUP(B18,DS,2,0)</f>
        <v>Võ Văn Kiệt</v>
      </c>
      <c r="D18" s="257" t="str">
        <f>VLOOKUP(B18,DS,3,0)</f>
        <v>Công Đoạn 1</v>
      </c>
      <c r="E18" s="66" t="s">
        <v>32</v>
      </c>
      <c r="F18" s="141">
        <v>8</v>
      </c>
      <c r="G18" s="141">
        <v>8</v>
      </c>
      <c r="H18" s="141">
        <v>8</v>
      </c>
      <c r="I18" s="141">
        <v>8</v>
      </c>
      <c r="J18" s="141">
        <v>8</v>
      </c>
      <c r="K18" s="141">
        <v>8</v>
      </c>
      <c r="L18" s="141"/>
      <c r="M18" s="141">
        <v>8</v>
      </c>
      <c r="N18" s="141">
        <v>8</v>
      </c>
      <c r="O18" s="141">
        <v>8</v>
      </c>
      <c r="P18" s="141">
        <v>8</v>
      </c>
      <c r="Q18" s="141">
        <v>8</v>
      </c>
      <c r="R18" s="141">
        <v>8</v>
      </c>
      <c r="S18" s="141"/>
      <c r="T18" s="141">
        <v>8</v>
      </c>
      <c r="U18" s="141">
        <v>8</v>
      </c>
      <c r="V18" s="141">
        <v>8</v>
      </c>
      <c r="W18" s="141">
        <v>8</v>
      </c>
      <c r="X18" s="141">
        <v>8</v>
      </c>
      <c r="Y18" s="141">
        <v>8</v>
      </c>
      <c r="Z18" s="141"/>
      <c r="AA18" s="141">
        <v>8</v>
      </c>
      <c r="AB18" s="141">
        <v>8</v>
      </c>
      <c r="AC18" s="141">
        <v>8</v>
      </c>
      <c r="AD18" s="141">
        <v>8</v>
      </c>
      <c r="AE18" s="141">
        <v>8</v>
      </c>
      <c r="AF18" s="141">
        <v>8</v>
      </c>
      <c r="AG18" s="141"/>
      <c r="AH18" s="141">
        <v>8</v>
      </c>
      <c r="AI18" s="141">
        <v>8</v>
      </c>
      <c r="AJ18" s="141"/>
      <c r="AK18" s="259">
        <f t="shared" ref="AK18" si="11">((SUM(F18:AJ18))/8)-(SUMIF($F$6:$AJ$6,"C.Nhật",F18:AJ18)/8)</f>
        <v>26</v>
      </c>
      <c r="AL18" s="259">
        <f t="shared" ref="AL18" si="12">SUM(F19:AJ19)/8*1.5</f>
        <v>0</v>
      </c>
      <c r="AM18" s="262">
        <f>SUMIF($F$6:$AJ$6,"C.Nhật",$F18:$AJ19)/8*2</f>
        <v>0</v>
      </c>
      <c r="AN18" s="264">
        <f t="shared" ref="AN18" si="13">SUM(AK18:AM19)</f>
        <v>26</v>
      </c>
      <c r="AO18" s="266">
        <v>0</v>
      </c>
      <c r="AP18" s="264"/>
      <c r="AQ18" s="264"/>
      <c r="AR18" s="264"/>
      <c r="AS18" s="268"/>
      <c r="AT18" s="22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5" customFormat="1" ht="18" customHeight="1">
      <c r="A19" s="254"/>
      <c r="B19" s="254"/>
      <c r="C19" s="256"/>
      <c r="D19" s="258"/>
      <c r="E19" s="67" t="s">
        <v>31</v>
      </c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  <c r="Y19" s="142"/>
      <c r="Z19" s="142"/>
      <c r="AA19" s="142"/>
      <c r="AB19" s="142"/>
      <c r="AC19" s="142"/>
      <c r="AD19" s="142"/>
      <c r="AE19" s="142"/>
      <c r="AF19" s="142"/>
      <c r="AG19" s="142"/>
      <c r="AH19" s="142"/>
      <c r="AI19" s="142"/>
      <c r="AJ19" s="142"/>
      <c r="AK19" s="260"/>
      <c r="AL19" s="260"/>
      <c r="AM19" s="263"/>
      <c r="AN19" s="265"/>
      <c r="AO19" s="267"/>
      <c r="AP19" s="265"/>
      <c r="AQ19" s="265"/>
      <c r="AR19" s="265"/>
      <c r="AS19" s="269"/>
      <c r="AT19" s="22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5" customFormat="1" ht="18" customHeight="1">
      <c r="A20" s="253">
        <v>3</v>
      </c>
      <c r="B20" s="253" t="s">
        <v>163</v>
      </c>
      <c r="C20" s="255" t="str">
        <f>VLOOKUP(B20,DS,2,0)</f>
        <v>Diệp Văn Lân</v>
      </c>
      <c r="D20" s="257" t="str">
        <f>VLOOKUP(B20,DS,3,0)</f>
        <v>Công Đoạn 1</v>
      </c>
      <c r="E20" s="66" t="s">
        <v>32</v>
      </c>
      <c r="F20" s="141">
        <v>8</v>
      </c>
      <c r="G20" s="141">
        <v>8</v>
      </c>
      <c r="H20" s="141">
        <v>8</v>
      </c>
      <c r="I20" s="141">
        <v>8</v>
      </c>
      <c r="J20" s="141">
        <v>8</v>
      </c>
      <c r="K20" s="141">
        <v>8</v>
      </c>
      <c r="L20" s="141"/>
      <c r="M20" s="141">
        <v>8</v>
      </c>
      <c r="N20" s="141">
        <v>8</v>
      </c>
      <c r="O20" s="141">
        <v>8</v>
      </c>
      <c r="P20" s="141">
        <v>8</v>
      </c>
      <c r="Q20" s="141">
        <v>8</v>
      </c>
      <c r="R20" s="141">
        <v>8</v>
      </c>
      <c r="S20" s="141"/>
      <c r="T20" s="141">
        <v>8</v>
      </c>
      <c r="U20" s="141">
        <v>8</v>
      </c>
      <c r="V20" s="141">
        <v>8</v>
      </c>
      <c r="W20" s="141">
        <v>8</v>
      </c>
      <c r="X20" s="141">
        <v>8</v>
      </c>
      <c r="Y20" s="141">
        <v>8</v>
      </c>
      <c r="Z20" s="141"/>
      <c r="AA20" s="141">
        <v>8</v>
      </c>
      <c r="AB20" s="141">
        <v>8</v>
      </c>
      <c r="AC20" s="141">
        <v>8</v>
      </c>
      <c r="AD20" s="141">
        <v>8</v>
      </c>
      <c r="AE20" s="141">
        <v>8</v>
      </c>
      <c r="AF20" s="141">
        <v>8</v>
      </c>
      <c r="AG20" s="141"/>
      <c r="AH20" s="141">
        <v>8</v>
      </c>
      <c r="AI20" s="141">
        <v>8</v>
      </c>
      <c r="AJ20" s="141"/>
      <c r="AK20" s="259">
        <f t="shared" ref="AK20" si="14">((SUM(F20:AJ20))/8)-(SUMIF($F$6:$AJ$6,"C.Nhật",F20:AJ20)/8)</f>
        <v>26</v>
      </c>
      <c r="AL20" s="259">
        <f t="shared" ref="AL20" si="15">SUM(F21:AJ21)/8*1.5</f>
        <v>0</v>
      </c>
      <c r="AM20" s="262">
        <f>SUMIF($F$6:$AJ$6,"C.Nhật",$F20:$AJ21)/8*2</f>
        <v>0</v>
      </c>
      <c r="AN20" s="264">
        <f t="shared" ref="AN20" si="16">SUM(AK20:AM21)</f>
        <v>26</v>
      </c>
      <c r="AO20" s="266">
        <v>0</v>
      </c>
      <c r="AP20" s="264"/>
      <c r="AQ20" s="264"/>
      <c r="AR20" s="264"/>
      <c r="AS20" s="268"/>
      <c r="AT20" s="22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5" customFormat="1" ht="18" customHeight="1">
      <c r="A21" s="254"/>
      <c r="B21" s="254"/>
      <c r="C21" s="256"/>
      <c r="D21" s="258"/>
      <c r="E21" s="67" t="s">
        <v>31</v>
      </c>
      <c r="F21" s="142"/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142"/>
      <c r="AA21" s="142"/>
      <c r="AB21" s="142"/>
      <c r="AC21" s="142"/>
      <c r="AD21" s="142"/>
      <c r="AE21" s="142"/>
      <c r="AF21" s="142"/>
      <c r="AG21" s="142"/>
      <c r="AH21" s="142"/>
      <c r="AI21" s="142"/>
      <c r="AJ21" s="142"/>
      <c r="AK21" s="260"/>
      <c r="AL21" s="260"/>
      <c r="AM21" s="263"/>
      <c r="AN21" s="265"/>
      <c r="AO21" s="267"/>
      <c r="AP21" s="265"/>
      <c r="AQ21" s="265"/>
      <c r="AR21" s="265"/>
      <c r="AS21" s="269"/>
      <c r="AT21" s="22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5" customFormat="1" ht="18" customHeight="1">
      <c r="A22" s="253">
        <v>4</v>
      </c>
      <c r="B22" s="253" t="s">
        <v>176</v>
      </c>
      <c r="C22" s="255" t="str">
        <f>VLOOKUP(B22,DS,2,0)</f>
        <v>Dương Thế Kiệt</v>
      </c>
      <c r="D22" s="257" t="str">
        <f>VLOOKUP(B22,DS,3,0)</f>
        <v>Công Đoạn 1</v>
      </c>
      <c r="E22" s="66" t="s">
        <v>32</v>
      </c>
      <c r="F22" s="141">
        <v>8</v>
      </c>
      <c r="G22" s="141">
        <v>8</v>
      </c>
      <c r="H22" s="141">
        <v>8</v>
      </c>
      <c r="I22" s="141">
        <v>8</v>
      </c>
      <c r="J22" s="141">
        <v>8</v>
      </c>
      <c r="K22" s="141">
        <v>8</v>
      </c>
      <c r="L22" s="141"/>
      <c r="M22" s="141">
        <v>8</v>
      </c>
      <c r="N22" s="141">
        <v>8</v>
      </c>
      <c r="O22" s="141">
        <v>8</v>
      </c>
      <c r="P22" s="141">
        <v>8</v>
      </c>
      <c r="Q22" s="141">
        <v>8</v>
      </c>
      <c r="R22" s="141">
        <v>8</v>
      </c>
      <c r="S22" s="141"/>
      <c r="T22" s="141">
        <v>8</v>
      </c>
      <c r="U22" s="141">
        <v>8</v>
      </c>
      <c r="V22" s="141">
        <v>8</v>
      </c>
      <c r="W22" s="141">
        <v>8</v>
      </c>
      <c r="X22" s="141">
        <v>8</v>
      </c>
      <c r="Y22" s="141">
        <v>8</v>
      </c>
      <c r="Z22" s="141"/>
      <c r="AA22" s="141">
        <v>8</v>
      </c>
      <c r="AB22" s="141">
        <v>8</v>
      </c>
      <c r="AC22" s="141">
        <v>8</v>
      </c>
      <c r="AD22" s="141">
        <v>8</v>
      </c>
      <c r="AE22" s="141">
        <v>8</v>
      </c>
      <c r="AF22" s="141">
        <v>8</v>
      </c>
      <c r="AG22" s="141"/>
      <c r="AH22" s="141">
        <v>8</v>
      </c>
      <c r="AI22" s="141">
        <v>8</v>
      </c>
      <c r="AJ22" s="141"/>
      <c r="AK22" s="259">
        <f t="shared" ref="AK22" si="17">((SUM(F22:AJ22))/8)-(SUMIF($F$6:$AJ$6,"C.Nhật",F22:AJ22)/8)</f>
        <v>26</v>
      </c>
      <c r="AL22" s="259">
        <f t="shared" ref="AL22" si="18">SUM(F23:AJ23)/8*1.5</f>
        <v>0</v>
      </c>
      <c r="AM22" s="262">
        <f>SUMIF($F$6:$AJ$6,"C.Nhật",$F22:$AJ23)/8*2</f>
        <v>0</v>
      </c>
      <c r="AN22" s="264">
        <f t="shared" ref="AN22" si="19">SUM(AK22:AM23)</f>
        <v>26</v>
      </c>
      <c r="AO22" s="266">
        <v>0</v>
      </c>
      <c r="AP22" s="264"/>
      <c r="AQ22" s="264"/>
      <c r="AR22" s="264"/>
      <c r="AS22" s="268"/>
      <c r="AT22" s="22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5" customFormat="1" ht="18" customHeight="1">
      <c r="A23" s="254"/>
      <c r="B23" s="254"/>
      <c r="C23" s="256"/>
      <c r="D23" s="258"/>
      <c r="E23" s="67" t="s">
        <v>31</v>
      </c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  <c r="AA23" s="142"/>
      <c r="AB23" s="142"/>
      <c r="AC23" s="142"/>
      <c r="AD23" s="142"/>
      <c r="AE23" s="142"/>
      <c r="AF23" s="142"/>
      <c r="AG23" s="142"/>
      <c r="AH23" s="142"/>
      <c r="AI23" s="142"/>
      <c r="AJ23" s="142"/>
      <c r="AK23" s="260"/>
      <c r="AL23" s="260"/>
      <c r="AM23" s="263"/>
      <c r="AN23" s="265"/>
      <c r="AO23" s="267"/>
      <c r="AP23" s="265"/>
      <c r="AQ23" s="265"/>
      <c r="AR23" s="265"/>
      <c r="AS23" s="269"/>
      <c r="AT23" s="22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5" customFormat="1" ht="18" customHeight="1">
      <c r="A24" s="253">
        <v>5</v>
      </c>
      <c r="B24" s="253" t="s">
        <v>177</v>
      </c>
      <c r="C24" s="255" t="str">
        <f>VLOOKUP(B24,DS,2,0)</f>
        <v>Lê Văn Hữu</v>
      </c>
      <c r="D24" s="257" t="str">
        <f>VLOOKUP(B24,DS,3,0)</f>
        <v>Công Đoạn 2</v>
      </c>
      <c r="E24" s="66" t="s">
        <v>32</v>
      </c>
      <c r="F24" s="141">
        <v>8</v>
      </c>
      <c r="G24" s="141">
        <v>8</v>
      </c>
      <c r="H24" s="141">
        <v>8</v>
      </c>
      <c r="I24" s="141">
        <v>8</v>
      </c>
      <c r="J24" s="141">
        <v>8</v>
      </c>
      <c r="K24" s="141">
        <v>8</v>
      </c>
      <c r="L24" s="141"/>
      <c r="M24" s="141">
        <v>8</v>
      </c>
      <c r="N24" s="141">
        <v>8</v>
      </c>
      <c r="O24" s="141">
        <v>8</v>
      </c>
      <c r="P24" s="141">
        <v>8</v>
      </c>
      <c r="Q24" s="141">
        <v>8</v>
      </c>
      <c r="R24" s="141">
        <v>8</v>
      </c>
      <c r="S24" s="141"/>
      <c r="T24" s="141">
        <v>8</v>
      </c>
      <c r="U24" s="141">
        <v>8</v>
      </c>
      <c r="V24" s="141">
        <v>8</v>
      </c>
      <c r="W24" s="141">
        <v>8</v>
      </c>
      <c r="X24" s="141">
        <v>8</v>
      </c>
      <c r="Y24" s="141">
        <v>8</v>
      </c>
      <c r="Z24" s="141"/>
      <c r="AA24" s="141">
        <v>8</v>
      </c>
      <c r="AB24" s="141">
        <v>8</v>
      </c>
      <c r="AC24" s="141">
        <v>8</v>
      </c>
      <c r="AD24" s="141">
        <v>8</v>
      </c>
      <c r="AE24" s="141">
        <v>8</v>
      </c>
      <c r="AF24" s="141">
        <v>8</v>
      </c>
      <c r="AG24" s="141"/>
      <c r="AH24" s="141">
        <v>8</v>
      </c>
      <c r="AI24" s="141">
        <v>8</v>
      </c>
      <c r="AJ24" s="141"/>
      <c r="AK24" s="259">
        <f t="shared" ref="AK24" si="20">((SUM(F24:AJ24))/8)-(SUMIF($F$6:$AJ$6,"C.Nhật",F24:AJ24)/8)</f>
        <v>26</v>
      </c>
      <c r="AL24" s="259">
        <f t="shared" ref="AL24" si="21">SUM(F25:AJ25)/8*1.5</f>
        <v>0</v>
      </c>
      <c r="AM24" s="262">
        <f>SUMIF($F$6:$AJ$6,"C.Nhật",$F24:$AJ25)/8*2</f>
        <v>0</v>
      </c>
      <c r="AN24" s="264">
        <f t="shared" ref="AN24" si="22">SUM(AK24:AM25)</f>
        <v>26</v>
      </c>
      <c r="AO24" s="266">
        <v>0</v>
      </c>
      <c r="AP24" s="264"/>
      <c r="AQ24" s="264"/>
      <c r="AR24" s="264"/>
      <c r="AS24" s="268"/>
      <c r="AT24" s="22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5" customFormat="1" ht="18" customHeight="1">
      <c r="A25" s="254"/>
      <c r="B25" s="254"/>
      <c r="C25" s="256"/>
      <c r="D25" s="258"/>
      <c r="E25" s="67" t="s">
        <v>31</v>
      </c>
      <c r="F25" s="142"/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  <c r="AA25" s="142"/>
      <c r="AB25" s="142"/>
      <c r="AC25" s="142"/>
      <c r="AD25" s="142"/>
      <c r="AE25" s="142"/>
      <c r="AF25" s="142"/>
      <c r="AG25" s="142"/>
      <c r="AH25" s="142"/>
      <c r="AI25" s="142"/>
      <c r="AJ25" s="142"/>
      <c r="AK25" s="260"/>
      <c r="AL25" s="260"/>
      <c r="AM25" s="263"/>
      <c r="AN25" s="265"/>
      <c r="AO25" s="267"/>
      <c r="AP25" s="265"/>
      <c r="AQ25" s="265"/>
      <c r="AR25" s="265"/>
      <c r="AS25" s="269"/>
      <c r="AT25" s="22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5" customFormat="1" ht="18" customHeight="1">
      <c r="A26" s="253">
        <v>6</v>
      </c>
      <c r="B26" s="253" t="s">
        <v>178</v>
      </c>
      <c r="C26" s="255" t="str">
        <f>VLOOKUP(B26,DS,2,0)</f>
        <v>Bùi Trường Giang</v>
      </c>
      <c r="D26" s="257" t="str">
        <f>VLOOKUP(B26,DS,3,0)</f>
        <v>Công Đoạn 2</v>
      </c>
      <c r="E26" s="66" t="s">
        <v>32</v>
      </c>
      <c r="F26" s="141">
        <v>8</v>
      </c>
      <c r="G26" s="141">
        <v>8</v>
      </c>
      <c r="H26" s="141">
        <v>8</v>
      </c>
      <c r="I26" s="141">
        <v>8</v>
      </c>
      <c r="J26" s="141">
        <v>8</v>
      </c>
      <c r="K26" s="141">
        <v>8</v>
      </c>
      <c r="L26" s="141"/>
      <c r="M26" s="141">
        <v>8</v>
      </c>
      <c r="N26" s="141">
        <v>8</v>
      </c>
      <c r="O26" s="141">
        <v>8</v>
      </c>
      <c r="P26" s="141">
        <v>8</v>
      </c>
      <c r="Q26" s="141">
        <v>8</v>
      </c>
      <c r="R26" s="141">
        <v>8</v>
      </c>
      <c r="S26" s="141"/>
      <c r="T26" s="141">
        <v>8</v>
      </c>
      <c r="U26" s="141">
        <v>8</v>
      </c>
      <c r="V26" s="141">
        <v>8</v>
      </c>
      <c r="W26" s="141">
        <v>8</v>
      </c>
      <c r="X26" s="141">
        <v>8</v>
      </c>
      <c r="Y26" s="141">
        <v>8</v>
      </c>
      <c r="Z26" s="141"/>
      <c r="AA26" s="141">
        <v>8</v>
      </c>
      <c r="AB26" s="141">
        <v>8</v>
      </c>
      <c r="AC26" s="141">
        <v>8</v>
      </c>
      <c r="AD26" s="141">
        <v>8</v>
      </c>
      <c r="AE26" s="141">
        <v>8</v>
      </c>
      <c r="AF26" s="141">
        <v>8</v>
      </c>
      <c r="AG26" s="141"/>
      <c r="AH26" s="141">
        <v>8</v>
      </c>
      <c r="AI26" s="141">
        <v>8</v>
      </c>
      <c r="AJ26" s="141"/>
      <c r="AK26" s="259">
        <f t="shared" ref="AK26" si="23">((SUM(F26:AJ26))/8)-(SUMIF($F$6:$AJ$6,"C.Nhật",F26:AJ26)/8)</f>
        <v>26</v>
      </c>
      <c r="AL26" s="259">
        <f t="shared" ref="AL26" si="24">SUM(F27:AJ27)/8*1.5</f>
        <v>0</v>
      </c>
      <c r="AM26" s="262">
        <f>SUMIF($F$6:$AJ$6,"C.Nhật",$F26:$AJ27)/8*2</f>
        <v>0</v>
      </c>
      <c r="AN26" s="264">
        <f t="shared" ref="AN26" si="25">SUM(AK26:AM27)</f>
        <v>26</v>
      </c>
      <c r="AO26" s="266">
        <v>0</v>
      </c>
      <c r="AP26" s="264"/>
      <c r="AQ26" s="264"/>
      <c r="AR26" s="264"/>
      <c r="AS26" s="268"/>
      <c r="AT26" s="219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5" customFormat="1" ht="18" customHeight="1">
      <c r="A27" s="254"/>
      <c r="B27" s="254"/>
      <c r="C27" s="256"/>
      <c r="D27" s="258"/>
      <c r="E27" s="67" t="s">
        <v>31</v>
      </c>
      <c r="F27" s="142"/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142"/>
      <c r="Z27" s="142"/>
      <c r="AA27" s="142"/>
      <c r="AB27" s="142"/>
      <c r="AC27" s="142"/>
      <c r="AD27" s="142"/>
      <c r="AE27" s="142"/>
      <c r="AF27" s="142"/>
      <c r="AG27" s="142"/>
      <c r="AH27" s="142"/>
      <c r="AI27" s="142"/>
      <c r="AJ27" s="142"/>
      <c r="AK27" s="260"/>
      <c r="AL27" s="260"/>
      <c r="AM27" s="263"/>
      <c r="AN27" s="265"/>
      <c r="AO27" s="267"/>
      <c r="AP27" s="265"/>
      <c r="AQ27" s="265"/>
      <c r="AR27" s="265"/>
      <c r="AS27" s="269"/>
      <c r="AT27" s="219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5" customFormat="1" ht="18" customHeight="1">
      <c r="A28" s="253">
        <v>7</v>
      </c>
      <c r="B28" s="253" t="s">
        <v>179</v>
      </c>
      <c r="C28" s="255" t="str">
        <f>VLOOKUP(B28,DS,2,0)</f>
        <v>Nguyễn T Bích Thủy</v>
      </c>
      <c r="D28" s="257" t="str">
        <f>VLOOKUP(B28,DS,3,0)</f>
        <v>Công Đoạn 2</v>
      </c>
      <c r="E28" s="66" t="s">
        <v>32</v>
      </c>
      <c r="F28" s="141">
        <v>8</v>
      </c>
      <c r="G28" s="141">
        <v>8</v>
      </c>
      <c r="H28" s="141">
        <v>8</v>
      </c>
      <c r="I28" s="141">
        <v>8</v>
      </c>
      <c r="J28" s="141">
        <v>8</v>
      </c>
      <c r="K28" s="141">
        <v>8</v>
      </c>
      <c r="L28" s="141"/>
      <c r="M28" s="141">
        <v>8</v>
      </c>
      <c r="N28" s="141">
        <v>8</v>
      </c>
      <c r="O28" s="141">
        <v>8</v>
      </c>
      <c r="P28" s="141">
        <v>8</v>
      </c>
      <c r="Q28" s="141">
        <v>8</v>
      </c>
      <c r="R28" s="141">
        <v>8</v>
      </c>
      <c r="S28" s="141"/>
      <c r="T28" s="141">
        <v>8</v>
      </c>
      <c r="U28" s="141">
        <v>8</v>
      </c>
      <c r="V28" s="141">
        <v>8</v>
      </c>
      <c r="W28" s="141">
        <v>8</v>
      </c>
      <c r="X28" s="141">
        <v>8</v>
      </c>
      <c r="Y28" s="141">
        <v>8</v>
      </c>
      <c r="Z28" s="141"/>
      <c r="AA28" s="141">
        <v>8</v>
      </c>
      <c r="AB28" s="141">
        <v>8</v>
      </c>
      <c r="AC28" s="141">
        <v>8</v>
      </c>
      <c r="AD28" s="141">
        <v>8</v>
      </c>
      <c r="AE28" s="141">
        <v>8</v>
      </c>
      <c r="AF28" s="141">
        <v>8</v>
      </c>
      <c r="AG28" s="141"/>
      <c r="AH28" s="141">
        <v>8</v>
      </c>
      <c r="AI28" s="141">
        <v>8</v>
      </c>
      <c r="AJ28" s="141"/>
      <c r="AK28" s="259">
        <f t="shared" ref="AK28" si="26">((SUM(F28:AJ28))/8)-(SUMIF($F$6:$AJ$6,"C.Nhật",F28:AJ28)/8)</f>
        <v>26</v>
      </c>
      <c r="AL28" s="259">
        <f t="shared" ref="AL28" si="27">SUM(F29:AJ29)/8*1.5</f>
        <v>0</v>
      </c>
      <c r="AM28" s="262">
        <f>SUMIF($F$6:$AJ$6,"C.Nhật",$F28:$AJ29)/8*2</f>
        <v>0</v>
      </c>
      <c r="AN28" s="264">
        <f t="shared" ref="AN28" si="28">SUM(AK28:AM29)</f>
        <v>26</v>
      </c>
      <c r="AO28" s="266">
        <v>0</v>
      </c>
      <c r="AP28" s="264"/>
      <c r="AQ28" s="264"/>
      <c r="AR28" s="264"/>
      <c r="AS28" s="268"/>
      <c r="AT28" s="219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5" customFormat="1" ht="18" customHeight="1">
      <c r="A29" s="254"/>
      <c r="B29" s="254"/>
      <c r="C29" s="256"/>
      <c r="D29" s="258"/>
      <c r="E29" s="67" t="s">
        <v>31</v>
      </c>
      <c r="F29" s="142"/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  <c r="Y29" s="142"/>
      <c r="Z29" s="142"/>
      <c r="AA29" s="142"/>
      <c r="AB29" s="142"/>
      <c r="AC29" s="142"/>
      <c r="AD29" s="142"/>
      <c r="AE29" s="142"/>
      <c r="AF29" s="142"/>
      <c r="AG29" s="142"/>
      <c r="AH29" s="142"/>
      <c r="AI29" s="142"/>
      <c r="AJ29" s="142"/>
      <c r="AK29" s="260"/>
      <c r="AL29" s="260"/>
      <c r="AM29" s="263"/>
      <c r="AN29" s="265"/>
      <c r="AO29" s="267"/>
      <c r="AP29" s="265"/>
      <c r="AQ29" s="265"/>
      <c r="AR29" s="265"/>
      <c r="AS29" s="269"/>
      <c r="AT29" s="219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8" customFormat="1" ht="12.75">
      <c r="A30" s="14"/>
      <c r="B30" s="69"/>
      <c r="C30" s="4"/>
      <c r="D30" s="111"/>
      <c r="E30" s="4"/>
      <c r="F30" s="73"/>
      <c r="G30" s="73"/>
      <c r="H30" s="70"/>
      <c r="I30" s="70"/>
      <c r="J30" s="118"/>
      <c r="K30" s="73"/>
      <c r="L30" s="70"/>
      <c r="M30" s="73"/>
      <c r="N30" s="73"/>
      <c r="O30" s="73"/>
      <c r="P30" s="73"/>
      <c r="Q30" s="70"/>
      <c r="R30" s="73"/>
      <c r="S30" s="73"/>
      <c r="T30" s="118"/>
      <c r="U30" s="73"/>
      <c r="V30" s="73"/>
      <c r="W30" s="73"/>
      <c r="X30" s="69"/>
      <c r="Y30" s="73"/>
      <c r="Z30" s="73"/>
      <c r="AA30" s="73"/>
      <c r="AB30" s="73"/>
      <c r="AC30" s="73"/>
      <c r="AD30" s="70"/>
      <c r="AE30" s="73"/>
      <c r="AF30" s="73"/>
      <c r="AG30" s="73"/>
      <c r="AH30" s="73"/>
      <c r="AI30" s="73"/>
      <c r="AJ30" s="73"/>
      <c r="AK30" s="4"/>
      <c r="AL30" s="4"/>
      <c r="AM30" s="96"/>
      <c r="AN30" s="72"/>
      <c r="AO30" s="72"/>
      <c r="AP30" s="72"/>
      <c r="AQ30" s="72"/>
      <c r="AR30" s="72"/>
      <c r="AS30" s="4"/>
      <c r="AT30" s="102"/>
    </row>
    <row r="31" spans="1:90" s="68" customFormat="1" ht="12.75">
      <c r="A31" s="14"/>
      <c r="B31" s="69"/>
      <c r="C31" s="14" t="s">
        <v>14</v>
      </c>
      <c r="D31" s="111"/>
      <c r="E31" s="4"/>
      <c r="F31" s="73"/>
      <c r="G31" s="73"/>
      <c r="H31" s="70"/>
      <c r="I31" s="70"/>
      <c r="J31" s="118"/>
      <c r="K31" s="73"/>
      <c r="L31" s="70"/>
      <c r="M31" s="73"/>
      <c r="N31" s="73"/>
      <c r="O31" s="73"/>
      <c r="P31" s="73"/>
      <c r="Q31" s="70"/>
      <c r="R31" s="73"/>
      <c r="S31" s="73"/>
      <c r="T31" s="118"/>
      <c r="U31" s="73"/>
      <c r="V31" s="73"/>
      <c r="W31" s="73"/>
      <c r="X31" s="69"/>
      <c r="Y31" s="73"/>
      <c r="Z31" s="73"/>
      <c r="AA31" s="73"/>
      <c r="AB31" s="73"/>
      <c r="AC31" s="73"/>
      <c r="AD31" s="70"/>
      <c r="AE31" s="73"/>
      <c r="AF31" s="73"/>
      <c r="AG31" s="73"/>
      <c r="AH31" s="73"/>
      <c r="AI31" s="73"/>
      <c r="AJ31" s="73"/>
      <c r="AK31" s="4"/>
      <c r="AL31" s="4"/>
      <c r="AM31" s="96"/>
      <c r="AN31" s="72"/>
      <c r="AO31" s="72"/>
      <c r="AP31" s="72"/>
      <c r="AQ31" s="72"/>
      <c r="AR31" s="72"/>
      <c r="AS31" s="4"/>
      <c r="AT31" s="102"/>
    </row>
    <row r="32" spans="1:90" s="68" customFormat="1" ht="12.75">
      <c r="A32" s="12"/>
      <c r="B32" s="12"/>
      <c r="C32" s="4"/>
      <c r="D32" s="111"/>
      <c r="E32" s="4"/>
      <c r="F32" s="73"/>
      <c r="G32" s="73"/>
      <c r="H32" s="119"/>
      <c r="I32" s="119"/>
      <c r="J32" s="119"/>
      <c r="K32" s="73"/>
      <c r="L32" s="119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119"/>
      <c r="AE32" s="73"/>
      <c r="AF32" s="73"/>
      <c r="AG32" s="73"/>
      <c r="AH32" s="73"/>
      <c r="AI32" s="73"/>
      <c r="AJ32" s="73"/>
      <c r="AK32" s="4"/>
      <c r="AL32" s="4"/>
      <c r="AM32" s="96"/>
      <c r="AN32" s="74"/>
      <c r="AO32" s="74"/>
      <c r="AP32" s="74"/>
      <c r="AQ32" s="74"/>
      <c r="AR32" s="74"/>
      <c r="AS32" s="4"/>
      <c r="AT32" s="102"/>
    </row>
    <row r="33" spans="1:46" s="71" customFormat="1" ht="15" customHeight="1">
      <c r="A33" s="12"/>
      <c r="B33" s="12"/>
      <c r="C33" s="4"/>
      <c r="D33" s="111"/>
      <c r="E33" s="4"/>
      <c r="F33" s="73"/>
      <c r="G33" s="73"/>
      <c r="H33" s="119"/>
      <c r="I33" s="119"/>
      <c r="J33" s="119"/>
      <c r="K33" s="73"/>
      <c r="L33" s="119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119"/>
      <c r="AE33" s="73"/>
      <c r="AF33" s="73"/>
      <c r="AG33" s="73"/>
      <c r="AH33" s="73"/>
      <c r="AI33" s="73"/>
      <c r="AJ33" s="73"/>
      <c r="AK33" s="4"/>
      <c r="AL33" s="4"/>
      <c r="AM33" s="96"/>
      <c r="AN33" s="74"/>
      <c r="AO33" s="74"/>
      <c r="AP33" s="74"/>
      <c r="AQ33" s="74"/>
      <c r="AR33" s="74"/>
      <c r="AS33" s="4"/>
      <c r="AT33" s="4"/>
    </row>
    <row r="34" spans="1:46" s="71" customFormat="1" ht="11.25">
      <c r="A34" s="12"/>
      <c r="B34" s="12"/>
      <c r="C34" s="4"/>
      <c r="D34" s="111"/>
      <c r="E34" s="4"/>
      <c r="F34" s="73"/>
      <c r="G34" s="73"/>
      <c r="H34" s="119"/>
      <c r="I34" s="119"/>
      <c r="J34" s="119"/>
      <c r="K34" s="73"/>
      <c r="L34" s="119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119"/>
      <c r="AE34" s="73"/>
      <c r="AF34" s="73"/>
      <c r="AG34" s="73"/>
      <c r="AH34" s="73"/>
      <c r="AI34" s="73"/>
      <c r="AJ34" s="73"/>
      <c r="AK34" s="4"/>
      <c r="AL34" s="4"/>
      <c r="AM34" s="96"/>
      <c r="AN34" s="74"/>
      <c r="AO34" s="74"/>
      <c r="AP34" s="74"/>
      <c r="AQ34" s="74"/>
      <c r="AR34" s="74"/>
      <c r="AS34" s="4"/>
      <c r="AT34" s="4"/>
    </row>
    <row r="35" spans="1:46" s="71" customFormat="1" ht="11.25">
      <c r="A35" s="12"/>
      <c r="B35" s="12"/>
      <c r="C35" s="4"/>
      <c r="D35" s="111"/>
      <c r="E35" s="4"/>
      <c r="F35" s="73"/>
      <c r="G35" s="73"/>
      <c r="H35" s="119"/>
      <c r="I35" s="119"/>
      <c r="J35" s="119"/>
      <c r="K35" s="73"/>
      <c r="L35" s="119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119"/>
      <c r="AE35" s="73"/>
      <c r="AF35" s="73"/>
      <c r="AG35" s="73"/>
      <c r="AH35" s="73"/>
      <c r="AI35" s="73"/>
      <c r="AJ35" s="73"/>
      <c r="AK35" s="4"/>
      <c r="AL35" s="4"/>
      <c r="AM35" s="96"/>
      <c r="AN35" s="74"/>
      <c r="AO35" s="74"/>
      <c r="AP35" s="74"/>
      <c r="AQ35" s="74"/>
      <c r="AR35" s="74"/>
      <c r="AS35" s="4"/>
      <c r="AT35" s="4"/>
    </row>
    <row r="36" spans="1:46" s="71" customFormat="1" ht="11.25">
      <c r="A36" s="10"/>
      <c r="B36" s="10"/>
      <c r="C36" s="14"/>
      <c r="D36" s="112"/>
      <c r="E36" s="75"/>
      <c r="F36" s="118"/>
      <c r="G36" s="120"/>
      <c r="H36" s="70"/>
      <c r="I36" s="70"/>
      <c r="J36" s="70"/>
      <c r="K36" s="120"/>
      <c r="L36" s="70"/>
      <c r="M36" s="120"/>
      <c r="N36" s="120"/>
      <c r="O36" s="120"/>
      <c r="P36" s="120"/>
      <c r="Q36" s="70"/>
      <c r="R36" s="118"/>
      <c r="S36" s="120"/>
      <c r="T36" s="120"/>
      <c r="U36" s="70"/>
      <c r="V36" s="120"/>
      <c r="W36" s="120"/>
      <c r="X36" s="70"/>
      <c r="Y36" s="120"/>
      <c r="Z36" s="120"/>
      <c r="AA36" s="120"/>
      <c r="AB36" s="120"/>
      <c r="AC36" s="120"/>
      <c r="AD36" s="70"/>
      <c r="AE36" s="120"/>
      <c r="AF36" s="120"/>
      <c r="AG36" s="120"/>
      <c r="AH36" s="120"/>
      <c r="AI36" s="120"/>
      <c r="AJ36" s="120"/>
      <c r="AK36" s="75"/>
      <c r="AM36" s="97"/>
      <c r="AN36" s="10"/>
      <c r="AO36" s="10"/>
      <c r="AP36" s="10"/>
      <c r="AQ36" s="10"/>
      <c r="AR36" s="10"/>
      <c r="AS36" s="14"/>
      <c r="AT36" s="4"/>
    </row>
    <row r="37" spans="1:46" s="71" customFormat="1" ht="12.75">
      <c r="A37" s="2"/>
      <c r="B37" s="2" t="s">
        <v>0</v>
      </c>
      <c r="C37" s="2"/>
      <c r="D37" s="189"/>
      <c r="E37" s="2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2"/>
      <c r="AI37" s="122"/>
      <c r="AJ37" s="122"/>
      <c r="AK37" s="2"/>
      <c r="AL37" s="2"/>
      <c r="AM37" s="98"/>
      <c r="AN37" s="2"/>
      <c r="AO37" s="2"/>
      <c r="AP37" s="2"/>
      <c r="AQ37" s="2"/>
      <c r="AR37" s="2"/>
      <c r="AS37" s="2"/>
      <c r="AT37" s="4"/>
    </row>
    <row r="38" spans="1:46" s="71" customFormat="1" ht="12.75">
      <c r="A38" s="2"/>
      <c r="B38" s="2"/>
      <c r="C38" s="2" t="s">
        <v>46</v>
      </c>
      <c r="D38" s="189"/>
      <c r="E38" s="2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1"/>
      <c r="AD38" s="121"/>
      <c r="AE38" s="121"/>
      <c r="AF38" s="121"/>
      <c r="AG38" s="121"/>
      <c r="AH38" s="122"/>
      <c r="AI38" s="122"/>
      <c r="AJ38" s="122"/>
      <c r="AK38" s="2"/>
      <c r="AL38" s="2"/>
      <c r="AM38" s="98"/>
      <c r="AN38" s="2"/>
      <c r="AO38" s="2"/>
      <c r="AP38" s="2"/>
      <c r="AQ38" s="2"/>
      <c r="AR38" s="2"/>
      <c r="AS38" s="2"/>
      <c r="AT38" s="14"/>
    </row>
    <row r="39" spans="1:46" ht="15" customHeight="1">
      <c r="C39" s="2" t="s">
        <v>47</v>
      </c>
    </row>
    <row r="40" spans="1:46" ht="15" customHeight="1">
      <c r="C40" s="2" t="s">
        <v>48</v>
      </c>
    </row>
    <row r="41" spans="1:46" ht="15" customHeight="1">
      <c r="C41" s="2" t="s">
        <v>49</v>
      </c>
    </row>
    <row r="42" spans="1:46" ht="15" customHeight="1">
      <c r="C42" s="2" t="s">
        <v>50</v>
      </c>
    </row>
    <row r="43" spans="1:46" ht="15" customHeight="1">
      <c r="C43" s="2" t="s">
        <v>51</v>
      </c>
    </row>
    <row r="44" spans="1:46" ht="15" customHeight="1">
      <c r="C44" s="2" t="s">
        <v>52</v>
      </c>
    </row>
    <row r="45" spans="1:46" ht="15" customHeight="1">
      <c r="C45" s="2" t="s">
        <v>53</v>
      </c>
    </row>
    <row r="46" spans="1:46" ht="15" customHeight="1">
      <c r="C46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2:J35 Q30:Q31" name="Range1_1_1_1"/>
    <protectedRange password="CC78" sqref="J36" name="Range1_3_1_1"/>
    <protectedRange password="CC78" sqref="A16:A29" name="Range1_1_2"/>
    <protectedRange password="CC78" sqref="C16:E29 A16:A29" name="Range1_6_2"/>
    <protectedRange password="CC78" sqref="B16:B29" name="Range1_4_2"/>
  </protectedRanges>
  <mergeCells count="144">
    <mergeCell ref="C18:C19"/>
    <mergeCell ref="D18:D19"/>
    <mergeCell ref="AK18:AK19"/>
    <mergeCell ref="AL18:AL19"/>
    <mergeCell ref="AM18:AM19"/>
    <mergeCell ref="AP20:AP21"/>
    <mergeCell ref="AQ20:AQ21"/>
    <mergeCell ref="AR20:AR21"/>
    <mergeCell ref="AS20:AS21"/>
    <mergeCell ref="AN18:AN19"/>
    <mergeCell ref="AO18:AO19"/>
    <mergeCell ref="AP18:AP19"/>
    <mergeCell ref="AQ18:AQ19"/>
    <mergeCell ref="AR18:AR19"/>
    <mergeCell ref="AO24:AO25"/>
    <mergeCell ref="AP24:AP25"/>
    <mergeCell ref="AQ24:AQ25"/>
    <mergeCell ref="AR24:AR25"/>
    <mergeCell ref="AS24:AS25"/>
    <mergeCell ref="A24:A25"/>
    <mergeCell ref="B24:B25"/>
    <mergeCell ref="C24:C25"/>
    <mergeCell ref="D24:D25"/>
    <mergeCell ref="AK24:AK25"/>
    <mergeCell ref="AP22:AP23"/>
    <mergeCell ref="AQ22:AQ23"/>
    <mergeCell ref="AR22:AR23"/>
    <mergeCell ref="AS22:AS23"/>
    <mergeCell ref="A18:A19"/>
    <mergeCell ref="B18:B19"/>
    <mergeCell ref="AL11:AL12"/>
    <mergeCell ref="AM11:AM12"/>
    <mergeCell ref="AN11:AN12"/>
    <mergeCell ref="AO11:AO12"/>
    <mergeCell ref="AP11:AP12"/>
    <mergeCell ref="A11:A12"/>
    <mergeCell ref="B11:B12"/>
    <mergeCell ref="C11:C12"/>
    <mergeCell ref="AS18:AS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D11:D12"/>
    <mergeCell ref="AK11:AK12"/>
    <mergeCell ref="A28:A29"/>
    <mergeCell ref="B28:B29"/>
    <mergeCell ref="C28:C29"/>
    <mergeCell ref="D28:D29"/>
    <mergeCell ref="AK28:AK29"/>
    <mergeCell ref="AQ28:AQ29"/>
    <mergeCell ref="AR28:AR29"/>
    <mergeCell ref="AL16:AL17"/>
    <mergeCell ref="AM16:AM17"/>
    <mergeCell ref="AN16:AN17"/>
    <mergeCell ref="AO16:AO17"/>
    <mergeCell ref="AP16:AP17"/>
    <mergeCell ref="AL24:AL25"/>
    <mergeCell ref="AM24:AM25"/>
    <mergeCell ref="AN24:AN25"/>
    <mergeCell ref="A26:A27"/>
    <mergeCell ref="B26:B27"/>
    <mergeCell ref="C26:C27"/>
    <mergeCell ref="D26:D27"/>
    <mergeCell ref="AK26:AK27"/>
    <mergeCell ref="C13:C14"/>
    <mergeCell ref="D13:D14"/>
    <mergeCell ref="AS28:AS29"/>
    <mergeCell ref="AL28:AL29"/>
    <mergeCell ref="AM28:AM29"/>
    <mergeCell ref="AN28:AN29"/>
    <mergeCell ref="AO28:AO29"/>
    <mergeCell ref="AP28:AP29"/>
    <mergeCell ref="AQ26:AQ27"/>
    <mergeCell ref="AR26:AR27"/>
    <mergeCell ref="AS26:AS27"/>
    <mergeCell ref="AL26:AL27"/>
    <mergeCell ref="AM26:AM27"/>
    <mergeCell ref="AN26:AN27"/>
    <mergeCell ref="AO26:AO27"/>
    <mergeCell ref="AP26:AP27"/>
    <mergeCell ref="AQ11:AQ12"/>
    <mergeCell ref="AR11:AR12"/>
    <mergeCell ref="AM1:AS1"/>
    <mergeCell ref="AQ5:AQ6"/>
    <mergeCell ref="AR5:AR6"/>
    <mergeCell ref="AS5:AS6"/>
    <mergeCell ref="AP13:AP14"/>
    <mergeCell ref="AQ13:AQ14"/>
    <mergeCell ref="AR13:AR14"/>
    <mergeCell ref="AS11:AS12"/>
    <mergeCell ref="AK13:AK14"/>
    <mergeCell ref="AL13:AL14"/>
    <mergeCell ref="D16:D17"/>
    <mergeCell ref="AK16:AK17"/>
    <mergeCell ref="AS16:AS17"/>
    <mergeCell ref="A16:A17"/>
    <mergeCell ref="B16:B17"/>
    <mergeCell ref="C16:C17"/>
    <mergeCell ref="AS13:AS14"/>
    <mergeCell ref="A13:A14"/>
    <mergeCell ref="B13:B14"/>
    <mergeCell ref="AN13:AN14"/>
    <mergeCell ref="AO13:AO14"/>
    <mergeCell ref="AQ16:AQ17"/>
    <mergeCell ref="AR16:AR17"/>
    <mergeCell ref="AM13:AM14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M9:AM10"/>
    <mergeCell ref="AN9:AN10"/>
    <mergeCell ref="AO9:AO10"/>
  </mergeCells>
  <conditionalFormatting sqref="F5:AJ6 F9:AJ10 F13:AI14">
    <cfRule type="expression" dxfId="125" priority="53" stopIfTrue="1">
      <formula>IF(WEEKDAY(F$5)=1,TRUE,FALSE)</formula>
    </cfRule>
  </conditionalFormatting>
  <conditionalFormatting sqref="F9:AJ10 F13:AI14">
    <cfRule type="expression" dxfId="124" priority="52" stopIfTrue="1">
      <formula>IF(WEEKDAY(F$5)=1,TRUE,FALSE)</formula>
    </cfRule>
  </conditionalFormatting>
  <conditionalFormatting sqref="AJ13:AJ14">
    <cfRule type="expression" dxfId="123" priority="43" stopIfTrue="1">
      <formula>IF(WEEKDAY(AJ$5)=1,TRUE,FALSE)</formula>
    </cfRule>
  </conditionalFormatting>
  <conditionalFormatting sqref="AJ13:AJ14">
    <cfRule type="expression" dxfId="122" priority="42" stopIfTrue="1">
      <formula>IF(WEEKDAY(AJ$5)=1,TRUE,FALSE)</formula>
    </cfRule>
  </conditionalFormatting>
  <conditionalFormatting sqref="AJ16:AJ17 AJ26:AJ29">
    <cfRule type="expression" dxfId="121" priority="41" stopIfTrue="1">
      <formula>IF(WEEKDAY(AJ$5)=1,TRUE,FALSE)</formula>
    </cfRule>
  </conditionalFormatting>
  <conditionalFormatting sqref="AJ16:AJ17 AJ26:AJ29">
    <cfRule type="expression" dxfId="120" priority="40" stopIfTrue="1">
      <formula>IF(WEEKDAY(AJ$5)=1,TRUE,FALSE)</formula>
    </cfRule>
  </conditionalFormatting>
  <conditionalFormatting sqref="AJ16:AJ17 AJ26:AJ29">
    <cfRule type="expression" dxfId="119" priority="39" stopIfTrue="1">
      <formula>IF(WEEKDAY(AJ$5)=1,TRUE,FALSE)</formula>
    </cfRule>
  </conditionalFormatting>
  <conditionalFormatting sqref="AJ16:AJ17 AJ26:AJ29">
    <cfRule type="expression" dxfId="118" priority="37" stopIfTrue="1">
      <formula>IF(WEEKDAY(AJ$5)=1,TRUE,FALSE)</formula>
    </cfRule>
  </conditionalFormatting>
  <conditionalFormatting sqref="AJ16:AJ17 AJ26:AJ29">
    <cfRule type="expression" dxfId="117" priority="35" stopIfTrue="1">
      <formula>IF(WEEKDAY(AJ$5)=1,TRUE,FALSE)</formula>
    </cfRule>
  </conditionalFormatting>
  <conditionalFormatting sqref="AJ16:AJ17 AJ26:AJ29">
    <cfRule type="expression" dxfId="116" priority="34" stopIfTrue="1">
      <formula>IF(WEEKDAY(AJ$5)=1,TRUE,FALSE)</formula>
    </cfRule>
  </conditionalFormatting>
  <conditionalFormatting sqref="AJ16:AJ17 AJ26:AJ29">
    <cfRule type="expression" dxfId="115" priority="33" stopIfTrue="1">
      <formula>IF(WEEKDAY(AJ$5)=1,TRUE,FALSE)</formula>
    </cfRule>
  </conditionalFormatting>
  <conditionalFormatting sqref="F16:AI17 F26:AI29">
    <cfRule type="expression" dxfId="114" priority="24" stopIfTrue="1">
      <formula>IF(WEEKDAY(F$5)=1,TRUE,FALSE)</formula>
    </cfRule>
  </conditionalFormatting>
  <conditionalFormatting sqref="F16:AI17 F26:AI29">
    <cfRule type="expression" dxfId="113" priority="23" stopIfTrue="1">
      <formula>IF(WEEKDAY(F$5)=1,TRUE,FALSE)</formula>
    </cfRule>
  </conditionalFormatting>
  <conditionalFormatting sqref="F11:AI12">
    <cfRule type="expression" dxfId="112" priority="22" stopIfTrue="1">
      <formula>IF(WEEKDAY(F$5)=1,TRUE,FALSE)</formula>
    </cfRule>
  </conditionalFormatting>
  <conditionalFormatting sqref="F11:AI12">
    <cfRule type="expression" dxfId="111" priority="21" stopIfTrue="1">
      <formula>IF(WEEKDAY(F$5)=1,TRUE,FALSE)</formula>
    </cfRule>
  </conditionalFormatting>
  <conditionalFormatting sqref="AJ11:AJ12">
    <cfRule type="expression" dxfId="110" priority="20" stopIfTrue="1">
      <formula>IF(WEEKDAY(AJ$5)=1,TRUE,FALSE)</formula>
    </cfRule>
  </conditionalFormatting>
  <conditionalFormatting sqref="AJ11:AJ12">
    <cfRule type="expression" dxfId="109" priority="19" stopIfTrue="1">
      <formula>IF(WEEKDAY(AJ$5)=1,TRUE,FALSE)</formula>
    </cfRule>
  </conditionalFormatting>
  <conditionalFormatting sqref="AJ22:AJ25">
    <cfRule type="expression" dxfId="108" priority="18" stopIfTrue="1">
      <formula>IF(WEEKDAY(AJ$5)=1,TRUE,FALSE)</formula>
    </cfRule>
  </conditionalFormatting>
  <conditionalFormatting sqref="AJ22:AJ25">
    <cfRule type="expression" dxfId="107" priority="17" stopIfTrue="1">
      <formula>IF(WEEKDAY(AJ$5)=1,TRUE,FALSE)</formula>
    </cfRule>
  </conditionalFormatting>
  <conditionalFormatting sqref="AJ22:AJ25">
    <cfRule type="expression" dxfId="106" priority="16" stopIfTrue="1">
      <formula>IF(WEEKDAY(AJ$5)=1,TRUE,FALSE)</formula>
    </cfRule>
  </conditionalFormatting>
  <conditionalFormatting sqref="AJ22:AJ25">
    <cfRule type="expression" dxfId="105" priority="15" stopIfTrue="1">
      <formula>IF(WEEKDAY(AJ$5)=1,TRUE,FALSE)</formula>
    </cfRule>
  </conditionalFormatting>
  <conditionalFormatting sqref="AJ22:AJ25">
    <cfRule type="expression" dxfId="104" priority="14" stopIfTrue="1">
      <formula>IF(WEEKDAY(AJ$5)=1,TRUE,FALSE)</formula>
    </cfRule>
  </conditionalFormatting>
  <conditionalFormatting sqref="AJ22:AJ25">
    <cfRule type="expression" dxfId="103" priority="13" stopIfTrue="1">
      <formula>IF(WEEKDAY(AJ$5)=1,TRUE,FALSE)</formula>
    </cfRule>
  </conditionalFormatting>
  <conditionalFormatting sqref="AJ22:AJ25">
    <cfRule type="expression" dxfId="102" priority="12" stopIfTrue="1">
      <formula>IF(WEEKDAY(AJ$5)=1,TRUE,FALSE)</formula>
    </cfRule>
  </conditionalFormatting>
  <conditionalFormatting sqref="F22:AI25">
    <cfRule type="expression" dxfId="101" priority="11" stopIfTrue="1">
      <formula>IF(WEEKDAY(F$5)=1,TRUE,FALSE)</formula>
    </cfRule>
  </conditionalFormatting>
  <conditionalFormatting sqref="F22:AI25">
    <cfRule type="expression" dxfId="100" priority="10" stopIfTrue="1">
      <formula>IF(WEEKDAY(F$5)=1,TRUE,FALSE)</formula>
    </cfRule>
  </conditionalFormatting>
  <conditionalFormatting sqref="AJ18:AJ21">
    <cfRule type="expression" dxfId="99" priority="9" stopIfTrue="1">
      <formula>IF(WEEKDAY(AJ$5)=1,TRUE,FALSE)</formula>
    </cfRule>
  </conditionalFormatting>
  <conditionalFormatting sqref="AJ18:AJ21">
    <cfRule type="expression" dxfId="98" priority="8" stopIfTrue="1">
      <formula>IF(WEEKDAY(AJ$5)=1,TRUE,FALSE)</formula>
    </cfRule>
  </conditionalFormatting>
  <conditionalFormatting sqref="AJ18:AJ21">
    <cfRule type="expression" dxfId="97" priority="7" stopIfTrue="1">
      <formula>IF(WEEKDAY(AJ$5)=1,TRUE,FALSE)</formula>
    </cfRule>
  </conditionalFormatting>
  <conditionalFormatting sqref="AJ18:AJ21">
    <cfRule type="expression" dxfId="96" priority="6" stopIfTrue="1">
      <formula>IF(WEEKDAY(AJ$5)=1,TRUE,FALSE)</formula>
    </cfRule>
  </conditionalFormatting>
  <conditionalFormatting sqref="AJ18:AJ21">
    <cfRule type="expression" dxfId="95" priority="5" stopIfTrue="1">
      <formula>IF(WEEKDAY(AJ$5)=1,TRUE,FALSE)</formula>
    </cfRule>
  </conditionalFormatting>
  <conditionalFormatting sqref="AJ18:AJ21">
    <cfRule type="expression" dxfId="94" priority="4" stopIfTrue="1">
      <formula>IF(WEEKDAY(AJ$5)=1,TRUE,FALSE)</formula>
    </cfRule>
  </conditionalFormatting>
  <conditionalFormatting sqref="AJ18:AJ21">
    <cfRule type="expression" dxfId="93" priority="3" stopIfTrue="1">
      <formula>IF(WEEKDAY(AJ$5)=1,TRUE,FALSE)</formula>
    </cfRule>
  </conditionalFormatting>
  <conditionalFormatting sqref="F18:AI21">
    <cfRule type="expression" dxfId="92" priority="2" stopIfTrue="1">
      <formula>IF(WEEKDAY(F$5)=1,TRUE,FALSE)</formula>
    </cfRule>
  </conditionalFormatting>
  <conditionalFormatting sqref="F18:AI21">
    <cfRule type="expression" dxfId="91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5"/>
  <sheetViews>
    <sheetView zoomScaleNormal="70" workbookViewId="0">
      <pane xSplit="3" ySplit="8" topLeftCell="D18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S24" activeCellId="1" sqref="S14 S24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9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7"/>
      <c r="B1" s="192"/>
      <c r="C1" s="192"/>
      <c r="D1" s="270" t="str">
        <f>"BẢNG THANH TOÁN LƯƠNG THÁNG"&amp;" "&amp;TEXT($E$4,"mm")&amp;" / "&amp;TEXT($E$4,"yyyy")</f>
        <v>BẢNG THANH TOÁN LƯƠNG THÁNG 06 / 2015</v>
      </c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1"/>
      <c r="R1" s="272" t="s">
        <v>170</v>
      </c>
      <c r="S1" s="273"/>
      <c r="T1" s="274"/>
      <c r="U1" s="128" t="s">
        <v>58</v>
      </c>
      <c r="V1" s="108" t="s">
        <v>37</v>
      </c>
      <c r="W1" s="81"/>
      <c r="X1" s="81"/>
      <c r="Y1" s="5"/>
      <c r="Z1" s="5"/>
    </row>
    <row r="2" spans="1:31" s="4" customFormat="1" ht="15" customHeight="1">
      <c r="A2" s="137"/>
      <c r="B2" s="192"/>
      <c r="C2" s="192"/>
      <c r="D2" s="192"/>
      <c r="E2" s="79"/>
      <c r="F2" s="192"/>
      <c r="G2" s="192"/>
      <c r="H2" s="192"/>
      <c r="I2" s="192"/>
      <c r="J2" s="80"/>
      <c r="K2" s="192"/>
      <c r="L2" s="192"/>
      <c r="M2" s="192"/>
      <c r="N2" s="192"/>
      <c r="O2" s="192"/>
      <c r="P2" s="192"/>
      <c r="Q2" s="192"/>
      <c r="R2" s="192"/>
      <c r="S2" s="192"/>
      <c r="T2" s="57"/>
      <c r="U2" s="78">
        <f>MAX(F10:F24)</f>
        <v>26</v>
      </c>
      <c r="V2" s="109">
        <v>31</v>
      </c>
      <c r="W2" s="81"/>
      <c r="X2" s="81"/>
      <c r="Y2" s="5"/>
      <c r="Z2" s="5"/>
    </row>
    <row r="3" spans="1:31" s="4" customFormat="1" ht="15" customHeight="1">
      <c r="A3" s="137"/>
      <c r="B3" s="192"/>
      <c r="C3" s="192"/>
      <c r="D3" s="192"/>
      <c r="E3" s="79"/>
      <c r="F3" s="192"/>
      <c r="G3" s="192"/>
      <c r="H3" s="192"/>
      <c r="I3" s="192"/>
      <c r="J3" s="80"/>
      <c r="K3" s="192"/>
      <c r="L3" s="192"/>
      <c r="M3" s="192"/>
      <c r="N3" s="192"/>
      <c r="O3" s="192"/>
      <c r="P3" s="192"/>
      <c r="Q3" s="192"/>
      <c r="R3" s="192"/>
      <c r="S3" s="192"/>
      <c r="T3" s="57"/>
      <c r="U3" s="129"/>
      <c r="V3" s="130"/>
      <c r="W3" s="81"/>
      <c r="X3" s="81"/>
      <c r="Y3" s="5"/>
      <c r="Z3" s="5"/>
    </row>
    <row r="4" spans="1:31" s="103" customFormat="1" ht="14.25" customHeight="1">
      <c r="A4" s="101"/>
      <c r="B4" s="102"/>
      <c r="C4" s="102"/>
      <c r="D4" s="102"/>
      <c r="E4" s="187">
        <f>'CC -6'!$E$4</f>
        <v>42156</v>
      </c>
      <c r="F4" s="102"/>
      <c r="G4" s="102"/>
      <c r="H4" s="102"/>
      <c r="I4" s="102"/>
      <c r="J4" s="102"/>
      <c r="K4" s="102"/>
      <c r="L4" s="102"/>
      <c r="M4" s="102"/>
      <c r="N4" s="160">
        <v>0.08</v>
      </c>
      <c r="O4" s="160">
        <v>1.4999999999999999E-2</v>
      </c>
      <c r="P4" s="160">
        <v>0.01</v>
      </c>
      <c r="Q4" s="102"/>
      <c r="R4" s="102"/>
      <c r="S4" s="102"/>
      <c r="T4" s="102"/>
      <c r="U4" s="102"/>
      <c r="V4" s="104"/>
      <c r="W4" s="104"/>
      <c r="X4" s="104"/>
      <c r="Y4" s="104"/>
      <c r="Z4" s="104"/>
    </row>
    <row r="5" spans="1:31" s="26" customFormat="1" ht="24" customHeight="1">
      <c r="A5" s="275" t="s">
        <v>19</v>
      </c>
      <c r="B5" s="275" t="s">
        <v>20</v>
      </c>
      <c r="C5" s="238" t="s">
        <v>1</v>
      </c>
      <c r="D5" s="238" t="s">
        <v>2</v>
      </c>
      <c r="E5" s="241" t="s">
        <v>56</v>
      </c>
      <c r="F5" s="278" t="s">
        <v>26</v>
      </c>
      <c r="G5" s="279"/>
      <c r="H5" s="279"/>
      <c r="I5" s="279"/>
      <c r="J5" s="279"/>
      <c r="K5" s="280"/>
      <c r="L5" s="277" t="s">
        <v>57</v>
      </c>
      <c r="M5" s="277" t="s">
        <v>5</v>
      </c>
      <c r="N5" s="238" t="s">
        <v>6</v>
      </c>
      <c r="O5" s="238"/>
      <c r="P5" s="238"/>
      <c r="Q5" s="277" t="s">
        <v>7</v>
      </c>
      <c r="R5" s="277" t="s">
        <v>8</v>
      </c>
      <c r="S5" s="277" t="s">
        <v>9</v>
      </c>
      <c r="T5" s="239" t="s">
        <v>10</v>
      </c>
      <c r="U5" s="102"/>
      <c r="V5" s="27"/>
      <c r="W5" s="27"/>
      <c r="X5" s="5"/>
      <c r="Y5" s="5"/>
      <c r="Z5" s="5"/>
      <c r="AA5" s="4"/>
      <c r="AB5" s="4"/>
      <c r="AC5" s="4"/>
      <c r="AD5" s="4"/>
      <c r="AE5" s="4"/>
    </row>
    <row r="6" spans="1:31" s="26" customFormat="1" ht="33.75" customHeight="1">
      <c r="A6" s="276"/>
      <c r="B6" s="276"/>
      <c r="C6" s="238"/>
      <c r="D6" s="238"/>
      <c r="E6" s="241"/>
      <c r="F6" s="278" t="s">
        <v>59</v>
      </c>
      <c r="G6" s="280"/>
      <c r="H6" s="278" t="s">
        <v>157</v>
      </c>
      <c r="I6" s="279"/>
      <c r="J6" s="284" t="s">
        <v>27</v>
      </c>
      <c r="K6" s="277" t="s">
        <v>4</v>
      </c>
      <c r="L6" s="281"/>
      <c r="M6" s="281"/>
      <c r="N6" s="286" t="s">
        <v>12</v>
      </c>
      <c r="O6" s="277" t="s">
        <v>13</v>
      </c>
      <c r="P6" s="277" t="s">
        <v>34</v>
      </c>
      <c r="Q6" s="281"/>
      <c r="R6" s="281"/>
      <c r="S6" s="281"/>
      <c r="T6" s="240"/>
      <c r="U6" s="102"/>
      <c r="V6" s="27"/>
      <c r="W6" s="27"/>
      <c r="X6" s="5"/>
      <c r="Y6" s="5"/>
      <c r="Z6" s="5"/>
      <c r="AA6" s="4"/>
      <c r="AB6" s="4"/>
      <c r="AC6" s="4"/>
      <c r="AD6" s="4"/>
      <c r="AE6" s="4"/>
    </row>
    <row r="7" spans="1:31" s="26" customFormat="1" ht="35.25" customHeight="1">
      <c r="A7" s="276"/>
      <c r="B7" s="276"/>
      <c r="C7" s="277"/>
      <c r="D7" s="277"/>
      <c r="E7" s="241"/>
      <c r="F7" s="193" t="s">
        <v>40</v>
      </c>
      <c r="G7" s="190" t="s">
        <v>18</v>
      </c>
      <c r="H7" s="193" t="s">
        <v>40</v>
      </c>
      <c r="I7" s="126" t="s">
        <v>18</v>
      </c>
      <c r="J7" s="285"/>
      <c r="K7" s="281"/>
      <c r="L7" s="282"/>
      <c r="M7" s="282"/>
      <c r="N7" s="287"/>
      <c r="O7" s="281"/>
      <c r="P7" s="281"/>
      <c r="Q7" s="281"/>
      <c r="R7" s="281"/>
      <c r="S7" s="281"/>
      <c r="T7" s="240"/>
      <c r="U7" s="102"/>
      <c r="V7" s="27"/>
      <c r="W7" s="27"/>
      <c r="X7" s="5"/>
      <c r="Y7" s="5"/>
      <c r="Z7" s="5"/>
      <c r="AA7" s="4"/>
      <c r="AB7" s="4"/>
      <c r="AC7" s="4"/>
      <c r="AD7" s="4"/>
      <c r="AE7" s="4"/>
    </row>
    <row r="8" spans="1:31" s="83" customFormat="1" ht="12.75" customHeight="1">
      <c r="A8" s="82">
        <v>1</v>
      </c>
      <c r="B8" s="82">
        <v>2</v>
      </c>
      <c r="C8" s="82">
        <v>3</v>
      </c>
      <c r="D8" s="82">
        <v>4</v>
      </c>
      <c r="E8" s="82">
        <v>5</v>
      </c>
      <c r="F8" s="82">
        <v>7</v>
      </c>
      <c r="G8" s="82">
        <v>8</v>
      </c>
      <c r="H8" s="82">
        <v>9</v>
      </c>
      <c r="I8" s="82">
        <v>10</v>
      </c>
      <c r="J8" s="82">
        <v>13</v>
      </c>
      <c r="K8" s="82">
        <v>14</v>
      </c>
      <c r="L8" s="82">
        <v>16</v>
      </c>
      <c r="M8" s="82">
        <v>17</v>
      </c>
      <c r="N8" s="82">
        <v>18</v>
      </c>
      <c r="O8" s="82">
        <v>19</v>
      </c>
      <c r="P8" s="82">
        <v>20</v>
      </c>
      <c r="Q8" s="82">
        <v>21</v>
      </c>
      <c r="R8" s="82">
        <v>22</v>
      </c>
      <c r="S8" s="82">
        <v>23</v>
      </c>
      <c r="T8" s="82">
        <v>24</v>
      </c>
      <c r="U8" s="102"/>
      <c r="V8" s="84"/>
      <c r="W8" s="84"/>
      <c r="X8" s="85"/>
      <c r="Y8" s="85"/>
      <c r="Z8" s="85"/>
      <c r="AA8" s="86"/>
      <c r="AB8" s="86"/>
      <c r="AC8" s="86"/>
      <c r="AD8" s="86"/>
      <c r="AE8" s="86"/>
    </row>
    <row r="9" spans="1:31" s="83" customFormat="1" ht="24" customHeight="1">
      <c r="A9" s="186" t="s">
        <v>154</v>
      </c>
      <c r="B9" s="185" t="s">
        <v>171</v>
      </c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02"/>
      <c r="V9" s="84"/>
      <c r="W9" s="84"/>
      <c r="X9" s="85"/>
      <c r="Y9" s="85"/>
      <c r="Z9" s="85"/>
      <c r="AA9" s="86"/>
      <c r="AB9" s="86"/>
      <c r="AC9" s="86"/>
      <c r="AD9" s="86"/>
      <c r="AE9" s="86"/>
    </row>
    <row r="10" spans="1:31" s="35" customFormat="1" ht="24" customHeight="1">
      <c r="A10" s="37">
        <v>1</v>
      </c>
      <c r="B10" s="139" t="s">
        <v>159</v>
      </c>
      <c r="C10" s="87" t="str">
        <f t="shared" ref="C10:C11" si="0">VLOOKUP(B10,DS,2,0)</f>
        <v>Nguyễn Thị Thu Sương</v>
      </c>
      <c r="D10" s="114" t="str">
        <f t="shared" ref="D10:D11" si="1">VLOOKUP(B10,DS,3,0)</f>
        <v>Kinh Doanh</v>
      </c>
      <c r="E10" s="88">
        <f t="shared" ref="E10:E11" si="2">VLOOKUP(B10,DS,4,0)</f>
        <v>5000000</v>
      </c>
      <c r="F10" s="90">
        <f>VLOOKUP(B10,'CC -6'!$B$8:$AS$29,36,0)</f>
        <v>26</v>
      </c>
      <c r="G10" s="143">
        <f t="shared" ref="G10:G11" si="3">ROUND(E10/$U$2*F10,0)</f>
        <v>5000000</v>
      </c>
      <c r="H10" s="90">
        <f>(VLOOKUP(B10,'CC -6'!$B$8:$AS$29,37,0)+VLOOKUP(B10,'CC -6'!$B$8:$AS$29,38,0))</f>
        <v>0</v>
      </c>
      <c r="I10" s="143">
        <f t="shared" ref="I10:I11" si="4">ROUND(E10/$U$2*H10,0)</f>
        <v>0</v>
      </c>
      <c r="J10" s="91">
        <f t="shared" ref="J10:J11" si="5">F10+H10</f>
        <v>26</v>
      </c>
      <c r="K10" s="38">
        <f>G10+I10</f>
        <v>5000000</v>
      </c>
      <c r="L10" s="88">
        <f t="shared" ref="L10:L11" si="6">+F10*15000</f>
        <v>390000</v>
      </c>
      <c r="M10" s="39">
        <f t="shared" ref="M10:M11" si="7">K10+L10</f>
        <v>5390000</v>
      </c>
      <c r="N10" s="39">
        <f>IF(VLOOKUP(B10,DS,9,0)="x",E10*$N$4,0)</f>
        <v>0</v>
      </c>
      <c r="O10" s="39">
        <f>IF(VLOOKUP(B10,DS,9,0)="x",E10*$O$4,0)</f>
        <v>0</v>
      </c>
      <c r="P10" s="39">
        <f>IF(VLOOKUP(B10,DS,9,0)="x",E10*$P$4,0)</f>
        <v>0</v>
      </c>
      <c r="Q10" s="38">
        <f t="shared" ref="Q10:Q11" si="8">M10-SUM(N10:P10)</f>
        <v>5390000</v>
      </c>
      <c r="R10" s="38">
        <f>VLOOKUP(B10,DS,23,0)</f>
        <v>0</v>
      </c>
      <c r="S10" s="44">
        <f t="shared" ref="S10:S11" si="9">Q10-R10</f>
        <v>5390000</v>
      </c>
      <c r="T10" s="38"/>
      <c r="U10" s="102"/>
      <c r="V10" s="36"/>
      <c r="W10" s="27"/>
      <c r="X10" s="5"/>
      <c r="Y10" s="5"/>
      <c r="Z10" s="5"/>
      <c r="AA10" s="4"/>
      <c r="AB10" s="4"/>
      <c r="AC10" s="4"/>
      <c r="AD10" s="4"/>
      <c r="AE10" s="4"/>
    </row>
    <row r="11" spans="1:31" s="35" customFormat="1" ht="24" customHeight="1">
      <c r="A11" s="37">
        <v>2</v>
      </c>
      <c r="B11" s="139" t="s">
        <v>160</v>
      </c>
      <c r="C11" s="87" t="str">
        <f t="shared" si="0"/>
        <v>Trần Anh Nhựt</v>
      </c>
      <c r="D11" s="114" t="str">
        <f t="shared" si="1"/>
        <v>Thiết Kế</v>
      </c>
      <c r="E11" s="88">
        <f t="shared" si="2"/>
        <v>5000000</v>
      </c>
      <c r="F11" s="90">
        <f>VLOOKUP(B11,'CC -6'!$B$8:$AS$29,36,0)</f>
        <v>26</v>
      </c>
      <c r="G11" s="143">
        <f t="shared" si="3"/>
        <v>5000000</v>
      </c>
      <c r="H11" s="90">
        <f>(VLOOKUP(B11,'CC -6'!$B$8:$AS$29,37,0)+VLOOKUP(B11,'CC -6'!$B$8:$AS$29,38,0))</f>
        <v>0</v>
      </c>
      <c r="I11" s="143">
        <f t="shared" si="4"/>
        <v>0</v>
      </c>
      <c r="J11" s="91">
        <f t="shared" si="5"/>
        <v>26</v>
      </c>
      <c r="K11" s="38">
        <f t="shared" ref="K11" si="10">G11+I11</f>
        <v>5000000</v>
      </c>
      <c r="L11" s="88">
        <f t="shared" si="6"/>
        <v>390000</v>
      </c>
      <c r="M11" s="39">
        <f t="shared" si="7"/>
        <v>5390000</v>
      </c>
      <c r="N11" s="39">
        <f>IF(VLOOKUP(B11,DS,9,0)="x",E11*$N$4,0)</f>
        <v>0</v>
      </c>
      <c r="O11" s="39">
        <f>IF(VLOOKUP(B11,DS,9,0)="x",E11*$O$4,0)</f>
        <v>0</v>
      </c>
      <c r="P11" s="39">
        <f>IF(VLOOKUP(B11,DS,9,0)="x",E11*$P$4,0)</f>
        <v>0</v>
      </c>
      <c r="Q11" s="38">
        <f t="shared" si="8"/>
        <v>5390000</v>
      </c>
      <c r="R11" s="38">
        <f>VLOOKUP(B11,DS,23,0)</f>
        <v>0</v>
      </c>
      <c r="S11" s="44">
        <f t="shared" si="9"/>
        <v>5390000</v>
      </c>
      <c r="T11" s="38"/>
      <c r="U11" s="102"/>
      <c r="V11" s="36"/>
      <c r="W11" s="27"/>
      <c r="X11" s="5"/>
      <c r="Y11" s="5"/>
      <c r="Z11" s="5"/>
      <c r="AA11" s="4"/>
      <c r="AB11" s="4"/>
      <c r="AC11" s="4"/>
      <c r="AD11" s="4"/>
      <c r="AE11" s="4"/>
    </row>
    <row r="12" spans="1:31" s="35" customFormat="1" ht="24" customHeight="1">
      <c r="A12" s="37">
        <v>3</v>
      </c>
      <c r="B12" s="139" t="s">
        <v>168</v>
      </c>
      <c r="C12" s="87" t="str">
        <f t="shared" ref="C12" si="11">VLOOKUP(B12,DS,2,0)</f>
        <v>Huỳnh Minh Toàn</v>
      </c>
      <c r="D12" s="114" t="str">
        <f t="shared" ref="D12" si="12">VLOOKUP(B12,DS,3,0)</f>
        <v>Thủ Kho</v>
      </c>
      <c r="E12" s="88">
        <f t="shared" ref="E12" si="13">VLOOKUP(B12,DS,4,0)</f>
        <v>5500000</v>
      </c>
      <c r="F12" s="90">
        <f>VLOOKUP(B12,'CC -6'!$B$8:$AS$29,36,0)</f>
        <v>26</v>
      </c>
      <c r="G12" s="143">
        <f t="shared" ref="G12" si="14">ROUND(E12/$U$2*F12,0)</f>
        <v>5500000</v>
      </c>
      <c r="H12" s="90">
        <f>(VLOOKUP(B12,'CC -6'!$B$8:$AS$29,37,0)+VLOOKUP(B12,'CC -6'!$B$8:$AS$29,38,0))</f>
        <v>0</v>
      </c>
      <c r="I12" s="143">
        <f t="shared" ref="I12" si="15">ROUND(E12/$U$2*H12,0)</f>
        <v>0</v>
      </c>
      <c r="J12" s="91">
        <f t="shared" ref="J12" si="16">F12+H12</f>
        <v>26</v>
      </c>
      <c r="K12" s="38">
        <f t="shared" ref="K12" si="17">G12+I12</f>
        <v>5500000</v>
      </c>
      <c r="L12" s="88">
        <f t="shared" ref="L12" si="18">+F12*15000</f>
        <v>390000</v>
      </c>
      <c r="M12" s="39">
        <f t="shared" ref="M12" si="19">K12+L12</f>
        <v>5890000</v>
      </c>
      <c r="N12" s="39">
        <f>IF(VLOOKUP(B12,DS,9,0)="x",E12*$N$4,0)</f>
        <v>0</v>
      </c>
      <c r="O12" s="39">
        <f>IF(VLOOKUP(B12,DS,9,0)="x",E12*$O$4,0)</f>
        <v>0</v>
      </c>
      <c r="P12" s="39">
        <f>IF(VLOOKUP(B12,DS,9,0)="x",E12*$P$4,0)</f>
        <v>0</v>
      </c>
      <c r="Q12" s="38">
        <f t="shared" ref="Q12" si="20">M12-SUM(N12:P12)</f>
        <v>5890000</v>
      </c>
      <c r="R12" s="38">
        <f>VLOOKUP(B12,DS,23,0)</f>
        <v>0</v>
      </c>
      <c r="S12" s="44">
        <f t="shared" ref="S12" si="21">Q12-R12</f>
        <v>5890000</v>
      </c>
      <c r="T12" s="38"/>
      <c r="U12" s="102"/>
      <c r="V12" s="36"/>
      <c r="W12" s="27"/>
      <c r="X12" s="5"/>
      <c r="Y12" s="5"/>
      <c r="Z12" s="5"/>
      <c r="AA12" s="4"/>
      <c r="AB12" s="4"/>
      <c r="AC12" s="4"/>
      <c r="AD12" s="4"/>
      <c r="AE12" s="4"/>
    </row>
    <row r="13" spans="1:31" s="35" customFormat="1" ht="24" customHeight="1">
      <c r="A13" s="201"/>
      <c r="B13" s="202"/>
      <c r="C13" s="203"/>
      <c r="D13" s="204"/>
      <c r="E13" s="205"/>
      <c r="F13" s="206"/>
      <c r="G13" s="207"/>
      <c r="H13" s="206"/>
      <c r="I13" s="207"/>
      <c r="J13" s="208"/>
      <c r="K13" s="209"/>
      <c r="L13" s="205"/>
      <c r="M13" s="210"/>
      <c r="N13" s="210"/>
      <c r="O13" s="210"/>
      <c r="P13" s="210"/>
      <c r="Q13" s="209"/>
      <c r="R13" s="209"/>
      <c r="S13" s="211"/>
      <c r="T13" s="209"/>
      <c r="U13" s="102"/>
      <c r="V13" s="36"/>
      <c r="W13" s="27"/>
      <c r="X13" s="5"/>
      <c r="Y13" s="5"/>
      <c r="Z13" s="5"/>
      <c r="AA13" s="4"/>
      <c r="AB13" s="4"/>
      <c r="AC13" s="4"/>
      <c r="AD13" s="4"/>
      <c r="AE13" s="4"/>
    </row>
    <row r="14" spans="1:31" s="31" customFormat="1" ht="21" customHeight="1">
      <c r="A14" s="283" t="s">
        <v>25</v>
      </c>
      <c r="B14" s="283"/>
      <c r="C14" s="283"/>
      <c r="D14" s="283"/>
      <c r="E14" s="138">
        <f>SUM(E9:E12)</f>
        <v>15500000</v>
      </c>
      <c r="F14" s="138"/>
      <c r="G14" s="138">
        <f>SUM(G9:G12)</f>
        <v>15500000</v>
      </c>
      <c r="H14" s="138"/>
      <c r="I14" s="138">
        <f>SUM(I9:I12)</f>
        <v>0</v>
      </c>
      <c r="J14" s="138"/>
      <c r="K14" s="138">
        <f t="shared" ref="K14:S14" si="22">SUM(K9:K12)</f>
        <v>15500000</v>
      </c>
      <c r="L14" s="138">
        <f t="shared" si="22"/>
        <v>1170000</v>
      </c>
      <c r="M14" s="138">
        <f t="shared" si="22"/>
        <v>16670000</v>
      </c>
      <c r="N14" s="138">
        <f t="shared" si="22"/>
        <v>0</v>
      </c>
      <c r="O14" s="138">
        <f t="shared" si="22"/>
        <v>0</v>
      </c>
      <c r="P14" s="138">
        <f t="shared" si="22"/>
        <v>0</v>
      </c>
      <c r="Q14" s="138">
        <f t="shared" si="22"/>
        <v>16670000</v>
      </c>
      <c r="R14" s="138">
        <f t="shared" si="22"/>
        <v>0</v>
      </c>
      <c r="S14" s="138">
        <f t="shared" si="22"/>
        <v>16670000</v>
      </c>
      <c r="T14" s="25"/>
      <c r="U14" s="102"/>
      <c r="V14" s="32"/>
      <c r="W14" s="32"/>
      <c r="X14" s="32"/>
      <c r="Y14" s="32"/>
      <c r="Z14" s="32"/>
    </row>
    <row r="15" spans="1:31" s="83" customFormat="1" ht="24" customHeight="1">
      <c r="A15" s="186" t="s">
        <v>155</v>
      </c>
      <c r="B15" s="185" t="s">
        <v>156</v>
      </c>
      <c r="C15" s="184"/>
      <c r="D15" s="184"/>
      <c r="E15" s="184"/>
      <c r="F15" s="184"/>
      <c r="G15" s="184"/>
      <c r="H15" s="184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02"/>
      <c r="V15" s="84"/>
      <c r="W15" s="84"/>
      <c r="X15" s="85"/>
      <c r="Y15" s="85"/>
      <c r="Z15" s="85"/>
      <c r="AA15" s="86"/>
      <c r="AB15" s="86"/>
      <c r="AC15" s="86"/>
      <c r="AD15" s="86"/>
      <c r="AE15" s="86"/>
    </row>
    <row r="16" spans="1:31" s="35" customFormat="1" ht="24" customHeight="1">
      <c r="A16" s="37">
        <v>1</v>
      </c>
      <c r="B16" s="139" t="s">
        <v>161</v>
      </c>
      <c r="C16" s="87" t="str">
        <f t="shared" ref="C16:C20" si="23">VLOOKUP(B16,DS,2,0)</f>
        <v>Nguyễn Trường Giang</v>
      </c>
      <c r="D16" s="114" t="str">
        <f t="shared" ref="D16:D20" si="24">VLOOKUP(B16,DS,3,0)</f>
        <v>Thợ in</v>
      </c>
      <c r="E16" s="88">
        <f t="shared" ref="E16:E20" si="25">VLOOKUP(B16,DS,4,0)</f>
        <v>5000000</v>
      </c>
      <c r="F16" s="90">
        <f>VLOOKUP(B16,'CC -6'!$B$8:$AS$29,36,0)</f>
        <v>26</v>
      </c>
      <c r="G16" s="143">
        <f t="shared" ref="G16:G20" si="26">ROUND(E16/$U$2*F16,0)</f>
        <v>5000000</v>
      </c>
      <c r="H16" s="90">
        <f>(VLOOKUP(B16,'CC -6'!$B$8:$AS$29,37,0)+VLOOKUP(B16,'CC -6'!$B$8:$AS$29,38,0))</f>
        <v>0</v>
      </c>
      <c r="I16" s="143">
        <f t="shared" ref="I16:I20" si="27">ROUND(E16/$U$2*H16,0)</f>
        <v>0</v>
      </c>
      <c r="J16" s="144">
        <f t="shared" ref="J16:K20" si="28">F16+H16</f>
        <v>26</v>
      </c>
      <c r="K16" s="38">
        <f t="shared" si="28"/>
        <v>5000000</v>
      </c>
      <c r="L16" s="88">
        <f t="shared" ref="L16:L20" si="29">+F16*15000</f>
        <v>390000</v>
      </c>
      <c r="M16" s="39">
        <f t="shared" ref="M16:M20" si="30">K16+L16</f>
        <v>5390000</v>
      </c>
      <c r="N16" s="39">
        <f>IF(VLOOKUP(B16,DS,9,0)="x",'L - 6'!E16*$N$4,0)</f>
        <v>0</v>
      </c>
      <c r="O16" s="39">
        <f t="shared" ref="O16:O20" si="31">IF(VLOOKUP(B16,DS,9,0)="x",E16*0.015,0)</f>
        <v>0</v>
      </c>
      <c r="P16" s="39">
        <f t="shared" ref="P16:P20" si="32">IF(VLOOKUP(B16,DS,9,0)="x",E16*0.01,0)</f>
        <v>0</v>
      </c>
      <c r="Q16" s="38">
        <f>M16-SUM(N16:P16)</f>
        <v>5390000</v>
      </c>
      <c r="R16" s="38">
        <f t="shared" ref="R16:R20" si="33">VLOOKUP(B16,DS,23,0)</f>
        <v>0</v>
      </c>
      <c r="S16" s="44">
        <f>Q16-R16</f>
        <v>5390000</v>
      </c>
      <c r="T16" s="38"/>
      <c r="U16" s="102"/>
      <c r="V16" s="36"/>
      <c r="W16" s="27"/>
      <c r="X16" s="5"/>
      <c r="Y16" s="5"/>
      <c r="Z16" s="5"/>
      <c r="AA16" s="4"/>
      <c r="AB16" s="4"/>
      <c r="AC16" s="4"/>
      <c r="AD16" s="4"/>
      <c r="AE16" s="4"/>
    </row>
    <row r="17" spans="1:31" s="35" customFormat="1" ht="24" customHeight="1">
      <c r="A17" s="37">
        <v>2</v>
      </c>
      <c r="B17" s="139" t="s">
        <v>162</v>
      </c>
      <c r="C17" s="87" t="str">
        <f t="shared" ref="C17:C18" si="34">VLOOKUP(B17,DS,2,0)</f>
        <v>Võ Văn Kiệt</v>
      </c>
      <c r="D17" s="114" t="str">
        <f t="shared" ref="D17:D18" si="35">VLOOKUP(B17,DS,3,0)</f>
        <v>Công Đoạn 1</v>
      </c>
      <c r="E17" s="88">
        <f t="shared" ref="E17:E18" si="36">VLOOKUP(B17,DS,4,0)</f>
        <v>5000000</v>
      </c>
      <c r="F17" s="90">
        <f>VLOOKUP(B17,'CC -6'!$B$8:$AS$29,36,0)</f>
        <v>26</v>
      </c>
      <c r="G17" s="143">
        <f t="shared" ref="G17:G18" si="37">ROUND(E17/$U$2*F17,0)</f>
        <v>5000000</v>
      </c>
      <c r="H17" s="90">
        <f>(VLOOKUP(B17,'CC -6'!$B$8:$AS$29,37,0)+VLOOKUP(B17,'CC -6'!$B$8:$AS$29,38,0))</f>
        <v>0</v>
      </c>
      <c r="I17" s="143">
        <f t="shared" ref="I17:I18" si="38">ROUND(E17/$U$2*H17,0)</f>
        <v>0</v>
      </c>
      <c r="J17" s="144">
        <f t="shared" ref="J17:J18" si="39">F17+H17</f>
        <v>26</v>
      </c>
      <c r="K17" s="38">
        <f t="shared" ref="K17:K18" si="40">G17+I17</f>
        <v>5000000</v>
      </c>
      <c r="L17" s="88">
        <f t="shared" ref="L17:L18" si="41">+F17*15000</f>
        <v>390000</v>
      </c>
      <c r="M17" s="39">
        <f t="shared" ref="M17:M18" si="42">K17+L17</f>
        <v>5390000</v>
      </c>
      <c r="N17" s="39">
        <f>IF(VLOOKUP(B17,DS,9,0)="x",'L - 6'!E17*$N$4,0)</f>
        <v>0</v>
      </c>
      <c r="O17" s="39">
        <f t="shared" ref="O17:O18" si="43">IF(VLOOKUP(B17,DS,9,0)="x",E17*0.015,0)</f>
        <v>0</v>
      </c>
      <c r="P17" s="39">
        <f t="shared" ref="P17:P18" si="44">IF(VLOOKUP(B17,DS,9,0)="x",E17*0.01,0)</f>
        <v>0</v>
      </c>
      <c r="Q17" s="38">
        <f t="shared" ref="Q17:Q18" si="45">M17-SUM(N17:P17)</f>
        <v>5390000</v>
      </c>
      <c r="R17" s="38">
        <f t="shared" ref="R17:R18" si="46">VLOOKUP(B17,DS,23,0)</f>
        <v>0</v>
      </c>
      <c r="S17" s="44">
        <f t="shared" ref="S17:S18" si="47">Q17-R17</f>
        <v>5390000</v>
      </c>
      <c r="T17" s="38"/>
      <c r="U17" s="102"/>
      <c r="V17" s="36"/>
      <c r="W17" s="27"/>
      <c r="X17" s="5"/>
      <c r="Y17" s="5"/>
      <c r="Z17" s="5"/>
      <c r="AA17" s="4"/>
      <c r="AB17" s="4"/>
      <c r="AC17" s="4"/>
      <c r="AD17" s="4"/>
      <c r="AE17" s="4"/>
    </row>
    <row r="18" spans="1:31" s="35" customFormat="1" ht="24" customHeight="1">
      <c r="A18" s="37">
        <v>3</v>
      </c>
      <c r="B18" s="139" t="s">
        <v>163</v>
      </c>
      <c r="C18" s="87" t="str">
        <f t="shared" si="34"/>
        <v>Diệp Văn Lân</v>
      </c>
      <c r="D18" s="114" t="str">
        <f t="shared" si="35"/>
        <v>Công Đoạn 1</v>
      </c>
      <c r="E18" s="88">
        <f t="shared" si="36"/>
        <v>4200000</v>
      </c>
      <c r="F18" s="90">
        <f>VLOOKUP(B18,'CC -6'!$B$8:$AS$29,36,0)</f>
        <v>26</v>
      </c>
      <c r="G18" s="143">
        <f t="shared" si="37"/>
        <v>4200000</v>
      </c>
      <c r="H18" s="90">
        <f>(VLOOKUP(B18,'CC -6'!$B$8:$AS$29,37,0)+VLOOKUP(B18,'CC -6'!$B$8:$AS$29,38,0))</f>
        <v>0</v>
      </c>
      <c r="I18" s="143">
        <f t="shared" si="38"/>
        <v>0</v>
      </c>
      <c r="J18" s="144">
        <f t="shared" si="39"/>
        <v>26</v>
      </c>
      <c r="K18" s="38">
        <f t="shared" si="40"/>
        <v>4200000</v>
      </c>
      <c r="L18" s="88">
        <f t="shared" si="41"/>
        <v>390000</v>
      </c>
      <c r="M18" s="39">
        <f t="shared" si="42"/>
        <v>4590000</v>
      </c>
      <c r="N18" s="39">
        <f>IF(VLOOKUP(B18,DS,9,0)="x",'L - 6'!E18*$N$4,0)</f>
        <v>0</v>
      </c>
      <c r="O18" s="39">
        <f t="shared" si="43"/>
        <v>0</v>
      </c>
      <c r="P18" s="39">
        <f t="shared" si="44"/>
        <v>0</v>
      </c>
      <c r="Q18" s="38">
        <f t="shared" si="45"/>
        <v>4590000</v>
      </c>
      <c r="R18" s="38">
        <f t="shared" si="46"/>
        <v>0</v>
      </c>
      <c r="S18" s="44">
        <f t="shared" si="47"/>
        <v>4590000</v>
      </c>
      <c r="T18" s="38"/>
      <c r="U18" s="102"/>
      <c r="V18" s="36"/>
      <c r="W18" s="27"/>
      <c r="X18" s="5"/>
      <c r="Y18" s="5"/>
      <c r="Z18" s="5"/>
      <c r="AA18" s="4"/>
      <c r="AB18" s="4"/>
      <c r="AC18" s="4"/>
      <c r="AD18" s="4"/>
      <c r="AE18" s="4"/>
    </row>
    <row r="19" spans="1:31" s="35" customFormat="1" ht="24" customHeight="1">
      <c r="A19" s="37">
        <v>4</v>
      </c>
      <c r="B19" s="139" t="s">
        <v>176</v>
      </c>
      <c r="C19" s="87" t="str">
        <f t="shared" si="23"/>
        <v>Dương Thế Kiệt</v>
      </c>
      <c r="D19" s="114" t="str">
        <f t="shared" si="24"/>
        <v>Công Đoạn 1</v>
      </c>
      <c r="E19" s="88">
        <f t="shared" si="25"/>
        <v>4200000</v>
      </c>
      <c r="F19" s="90">
        <f>VLOOKUP(B19,'CC -6'!$B$8:$AS$29,36,0)</f>
        <v>26</v>
      </c>
      <c r="G19" s="143">
        <f t="shared" si="26"/>
        <v>4200000</v>
      </c>
      <c r="H19" s="90">
        <f>(VLOOKUP(B19,'CC -6'!$B$8:$AS$29,37,0)+VLOOKUP(B19,'CC -6'!$B$8:$AS$29,38,0))</f>
        <v>0</v>
      </c>
      <c r="I19" s="143">
        <f t="shared" si="27"/>
        <v>0</v>
      </c>
      <c r="J19" s="144">
        <f t="shared" si="28"/>
        <v>26</v>
      </c>
      <c r="K19" s="38">
        <f t="shared" si="28"/>
        <v>4200000</v>
      </c>
      <c r="L19" s="88">
        <f t="shared" si="29"/>
        <v>390000</v>
      </c>
      <c r="M19" s="39">
        <f t="shared" si="30"/>
        <v>4590000</v>
      </c>
      <c r="N19" s="39">
        <f>IF(VLOOKUP(B19,DS,9,0)="x",'L - 6'!E19*$N$4,0)</f>
        <v>0</v>
      </c>
      <c r="O19" s="39">
        <f t="shared" si="31"/>
        <v>0</v>
      </c>
      <c r="P19" s="39">
        <f t="shared" si="32"/>
        <v>0</v>
      </c>
      <c r="Q19" s="38">
        <f t="shared" ref="Q19:Q20" si="48">M19-SUM(N19:P19)</f>
        <v>4590000</v>
      </c>
      <c r="R19" s="38">
        <f t="shared" si="33"/>
        <v>0</v>
      </c>
      <c r="S19" s="44">
        <f t="shared" ref="S19:S20" si="49">Q19-R19</f>
        <v>4590000</v>
      </c>
      <c r="T19" s="38"/>
      <c r="U19" s="102"/>
      <c r="V19" s="36"/>
      <c r="W19" s="27"/>
      <c r="X19" s="5"/>
      <c r="Y19" s="5"/>
      <c r="Z19" s="5"/>
      <c r="AA19" s="4"/>
      <c r="AB19" s="4"/>
      <c r="AC19" s="4"/>
      <c r="AD19" s="4"/>
      <c r="AE19" s="4"/>
    </row>
    <row r="20" spans="1:31" s="35" customFormat="1" ht="24" customHeight="1">
      <c r="A20" s="37">
        <v>5</v>
      </c>
      <c r="B20" s="139" t="s">
        <v>177</v>
      </c>
      <c r="C20" s="87" t="str">
        <f t="shared" si="23"/>
        <v>Lê Văn Hữu</v>
      </c>
      <c r="D20" s="114" t="str">
        <f t="shared" si="24"/>
        <v>Công Đoạn 2</v>
      </c>
      <c r="E20" s="88">
        <f t="shared" si="25"/>
        <v>5000000</v>
      </c>
      <c r="F20" s="90">
        <f>VLOOKUP(B20,'CC -6'!$B$8:$AS$29,36,0)</f>
        <v>26</v>
      </c>
      <c r="G20" s="143">
        <f t="shared" si="26"/>
        <v>5000000</v>
      </c>
      <c r="H20" s="90">
        <f>(VLOOKUP(B20,'CC -6'!$B$8:$AS$29,37,0)+VLOOKUP(B20,'CC -6'!$B$8:$AS$29,38,0))</f>
        <v>0</v>
      </c>
      <c r="I20" s="143">
        <f t="shared" si="27"/>
        <v>0</v>
      </c>
      <c r="J20" s="144">
        <f t="shared" si="28"/>
        <v>26</v>
      </c>
      <c r="K20" s="38">
        <f t="shared" si="28"/>
        <v>5000000</v>
      </c>
      <c r="L20" s="88">
        <f t="shared" si="29"/>
        <v>390000</v>
      </c>
      <c r="M20" s="39">
        <f t="shared" si="30"/>
        <v>5390000</v>
      </c>
      <c r="N20" s="39">
        <f>IF(VLOOKUP(B20,DS,9,0)="x",'L - 6'!E20*$N$4,0)</f>
        <v>0</v>
      </c>
      <c r="O20" s="39">
        <f t="shared" si="31"/>
        <v>0</v>
      </c>
      <c r="P20" s="39">
        <f t="shared" si="32"/>
        <v>0</v>
      </c>
      <c r="Q20" s="38">
        <f t="shared" si="48"/>
        <v>5390000</v>
      </c>
      <c r="R20" s="38">
        <f t="shared" si="33"/>
        <v>0</v>
      </c>
      <c r="S20" s="44">
        <f t="shared" si="49"/>
        <v>5390000</v>
      </c>
      <c r="T20" s="38"/>
      <c r="U20" s="102"/>
      <c r="V20" s="36"/>
      <c r="W20" s="27"/>
      <c r="X20" s="5"/>
      <c r="Y20" s="5"/>
      <c r="Z20" s="5"/>
      <c r="AA20" s="4"/>
      <c r="AB20" s="4"/>
      <c r="AC20" s="4"/>
      <c r="AD20" s="4"/>
      <c r="AE20" s="4"/>
    </row>
    <row r="21" spans="1:31" s="35" customFormat="1" ht="24" customHeight="1">
      <c r="A21" s="37">
        <v>6</v>
      </c>
      <c r="B21" s="139" t="s">
        <v>178</v>
      </c>
      <c r="C21" s="87" t="str">
        <f t="shared" ref="C21:C22" si="50">VLOOKUP(B21,DS,2,0)</f>
        <v>Bùi Trường Giang</v>
      </c>
      <c r="D21" s="114" t="str">
        <f t="shared" ref="D21:D22" si="51">VLOOKUP(B21,DS,3,0)</f>
        <v>Công Đoạn 2</v>
      </c>
      <c r="E21" s="88">
        <f t="shared" ref="E21:E22" si="52">VLOOKUP(B21,DS,4,0)</f>
        <v>4200000</v>
      </c>
      <c r="F21" s="90">
        <f>VLOOKUP(B21,'CC -6'!$B$8:$AS$29,36,0)</f>
        <v>26</v>
      </c>
      <c r="G21" s="143">
        <f t="shared" ref="G21:G22" si="53">ROUND(E21/$U$2*F21,0)</f>
        <v>4200000</v>
      </c>
      <c r="H21" s="90">
        <f>(VLOOKUP(B21,'CC -6'!$B$8:$AS$29,37,0)+VLOOKUP(B21,'CC -6'!$B$8:$AS$29,38,0))</f>
        <v>0</v>
      </c>
      <c r="I21" s="143">
        <f t="shared" ref="I21:I22" si="54">ROUND(E21/$U$2*H21,0)</f>
        <v>0</v>
      </c>
      <c r="J21" s="144">
        <f t="shared" ref="J21:J22" si="55">F21+H21</f>
        <v>26</v>
      </c>
      <c r="K21" s="38">
        <f t="shared" ref="K21:K22" si="56">G21+I21</f>
        <v>4200000</v>
      </c>
      <c r="L21" s="88">
        <f t="shared" ref="L21:L22" si="57">+F21*15000</f>
        <v>390000</v>
      </c>
      <c r="M21" s="39">
        <f t="shared" ref="M21:M22" si="58">K21+L21</f>
        <v>4590000</v>
      </c>
      <c r="N21" s="39">
        <f>IF(VLOOKUP(B21,DS,9,0)="x",'L - 6'!E21*$N$4,0)</f>
        <v>0</v>
      </c>
      <c r="O21" s="39">
        <f t="shared" ref="O21:O22" si="59">IF(VLOOKUP(B21,DS,9,0)="x",E21*0.015,0)</f>
        <v>0</v>
      </c>
      <c r="P21" s="39">
        <f t="shared" ref="P21:P22" si="60">IF(VLOOKUP(B21,DS,9,0)="x",E21*0.01,0)</f>
        <v>0</v>
      </c>
      <c r="Q21" s="38">
        <f t="shared" ref="Q21:Q22" si="61">M21-SUM(N21:P21)</f>
        <v>4590000</v>
      </c>
      <c r="R21" s="38">
        <f t="shared" ref="R21:R22" si="62">VLOOKUP(B21,DS,23,0)</f>
        <v>0</v>
      </c>
      <c r="S21" s="44">
        <f t="shared" ref="S21:S22" si="63">Q21-R21</f>
        <v>4590000</v>
      </c>
      <c r="T21" s="38"/>
      <c r="U21" s="102"/>
      <c r="V21" s="36"/>
      <c r="W21" s="27"/>
      <c r="X21" s="5"/>
      <c r="Y21" s="5"/>
      <c r="Z21" s="5"/>
      <c r="AA21" s="4"/>
      <c r="AB21" s="4"/>
      <c r="AC21" s="4"/>
      <c r="AD21" s="4"/>
      <c r="AE21" s="4"/>
    </row>
    <row r="22" spans="1:31" s="35" customFormat="1" ht="24" customHeight="1">
      <c r="A22" s="37">
        <v>7</v>
      </c>
      <c r="B22" s="139" t="s">
        <v>179</v>
      </c>
      <c r="C22" s="87" t="str">
        <f t="shared" si="50"/>
        <v>Nguyễn T Bích Thủy</v>
      </c>
      <c r="D22" s="114" t="str">
        <f t="shared" si="51"/>
        <v>Công Đoạn 2</v>
      </c>
      <c r="E22" s="88">
        <f t="shared" si="52"/>
        <v>4200000</v>
      </c>
      <c r="F22" s="90">
        <f>VLOOKUP(B22,'CC -6'!$B$8:$AS$29,36,0)</f>
        <v>26</v>
      </c>
      <c r="G22" s="143">
        <f t="shared" si="53"/>
        <v>4200000</v>
      </c>
      <c r="H22" s="90">
        <f>(VLOOKUP(B22,'CC -6'!$B$8:$AS$29,37,0)+VLOOKUP(B22,'CC -6'!$B$8:$AS$29,38,0))</f>
        <v>0</v>
      </c>
      <c r="I22" s="143">
        <f t="shared" si="54"/>
        <v>0</v>
      </c>
      <c r="J22" s="144">
        <f t="shared" si="55"/>
        <v>26</v>
      </c>
      <c r="K22" s="38">
        <f t="shared" si="56"/>
        <v>4200000</v>
      </c>
      <c r="L22" s="88">
        <f t="shared" si="57"/>
        <v>390000</v>
      </c>
      <c r="M22" s="39">
        <f t="shared" si="58"/>
        <v>4590000</v>
      </c>
      <c r="N22" s="39">
        <f>IF(VLOOKUP(B22,DS,9,0)="x",'L - 6'!E22*$N$4,0)</f>
        <v>0</v>
      </c>
      <c r="O22" s="39">
        <f t="shared" si="59"/>
        <v>0</v>
      </c>
      <c r="P22" s="39">
        <f t="shared" si="60"/>
        <v>0</v>
      </c>
      <c r="Q22" s="38">
        <f t="shared" si="61"/>
        <v>4590000</v>
      </c>
      <c r="R22" s="38">
        <f t="shared" si="62"/>
        <v>0</v>
      </c>
      <c r="S22" s="44">
        <f t="shared" si="63"/>
        <v>4590000</v>
      </c>
      <c r="T22" s="38"/>
      <c r="U22" s="102"/>
      <c r="V22" s="36"/>
      <c r="W22" s="27"/>
      <c r="X22" s="5"/>
      <c r="Y22" s="5"/>
      <c r="Z22" s="5"/>
      <c r="AA22" s="4"/>
      <c r="AB22" s="4"/>
      <c r="AC22" s="4"/>
      <c r="AD22" s="4"/>
      <c r="AE22" s="4"/>
    </row>
    <row r="23" spans="1:31" s="35" customFormat="1" ht="22.5" customHeight="1">
      <c r="A23" s="40"/>
      <c r="B23" s="183"/>
      <c r="C23" s="41"/>
      <c r="D23" s="3"/>
      <c r="E23" s="42"/>
      <c r="F23" s="42"/>
      <c r="G23" s="42"/>
      <c r="H23" s="42"/>
      <c r="I23" s="42"/>
      <c r="J23" s="43"/>
      <c r="K23" s="42"/>
      <c r="L23" s="42"/>
      <c r="M23" s="182"/>
      <c r="N23" s="42"/>
      <c r="O23" s="42"/>
      <c r="P23" s="42"/>
      <c r="Q23" s="42"/>
      <c r="R23" s="42"/>
      <c r="S23" s="42"/>
      <c r="T23" s="38"/>
      <c r="U23" s="102"/>
      <c r="V23" s="36"/>
      <c r="W23" s="36"/>
      <c r="X23" s="36"/>
      <c r="Y23" s="36"/>
      <c r="Z23" s="36"/>
    </row>
    <row r="24" spans="1:31" s="31" customFormat="1" ht="21" customHeight="1">
      <c r="A24" s="283" t="s">
        <v>25</v>
      </c>
      <c r="B24" s="283"/>
      <c r="C24" s="283"/>
      <c r="D24" s="283"/>
      <c r="E24" s="138">
        <f>SUM(E15:E23)</f>
        <v>31800000</v>
      </c>
      <c r="F24" s="138"/>
      <c r="G24" s="138">
        <f>SUM(G15:G23)</f>
        <v>31800000</v>
      </c>
      <c r="H24" s="138"/>
      <c r="I24" s="138">
        <f>SUM(I15:I23)</f>
        <v>0</v>
      </c>
      <c r="J24" s="138"/>
      <c r="K24" s="138">
        <f t="shared" ref="K24:S24" si="64">SUM(K15:K23)</f>
        <v>31800000</v>
      </c>
      <c r="L24" s="138">
        <f t="shared" si="64"/>
        <v>2730000</v>
      </c>
      <c r="M24" s="138">
        <f t="shared" si="64"/>
        <v>34530000</v>
      </c>
      <c r="N24" s="138">
        <f t="shared" si="64"/>
        <v>0</v>
      </c>
      <c r="O24" s="138">
        <f t="shared" si="64"/>
        <v>0</v>
      </c>
      <c r="P24" s="138">
        <f t="shared" si="64"/>
        <v>0</v>
      </c>
      <c r="Q24" s="138">
        <f t="shared" si="64"/>
        <v>34530000</v>
      </c>
      <c r="R24" s="138">
        <f t="shared" si="64"/>
        <v>0</v>
      </c>
      <c r="S24" s="138">
        <f t="shared" si="64"/>
        <v>34530000</v>
      </c>
      <c r="T24" s="25"/>
      <c r="U24" s="102"/>
      <c r="V24" s="32"/>
      <c r="W24" s="32"/>
      <c r="X24" s="32"/>
      <c r="Y24" s="32"/>
      <c r="Z24" s="32"/>
    </row>
    <row r="25" spans="1:31" ht="11.25" customHeight="1">
      <c r="A25" s="8"/>
      <c r="B25" s="8"/>
      <c r="C25" s="9"/>
      <c r="D25" s="115"/>
      <c r="E25" s="92"/>
      <c r="F25" s="9"/>
      <c r="G25" s="9"/>
      <c r="H25" s="9"/>
      <c r="I25" s="9"/>
      <c r="K25" s="9"/>
      <c r="L25" s="9"/>
      <c r="M25" s="100"/>
      <c r="N25" s="9"/>
      <c r="O25" s="9"/>
      <c r="P25" s="9"/>
      <c r="Q25" s="9"/>
      <c r="R25" s="9"/>
      <c r="S25" s="9"/>
      <c r="T25" s="9"/>
      <c r="U25" s="102"/>
    </row>
    <row r="26" spans="1:31" s="35" customFormat="1" ht="11.25" customHeight="1">
      <c r="A26" s="76"/>
      <c r="B26" s="76"/>
      <c r="C26" s="76"/>
      <c r="D26" s="131"/>
      <c r="E26" s="132"/>
      <c r="F26" s="76"/>
      <c r="G26" s="76"/>
      <c r="H26" s="76"/>
      <c r="I26" s="76"/>
      <c r="J26" s="133"/>
      <c r="K26" s="132"/>
      <c r="L26" s="76"/>
      <c r="M26" s="76"/>
      <c r="N26" s="76"/>
      <c r="O26" s="76"/>
      <c r="P26" s="76"/>
      <c r="Q26" s="76"/>
      <c r="R26" s="76"/>
      <c r="S26" s="106" t="str">
        <f>"Long An, ngày  "&amp;$V$2&amp;"   tháng   "&amp;TEXT(E4,"mm")&amp;"   năm "&amp;TEXT(E4,"yyyy")</f>
        <v>Long An, ngày  31   tháng   06   năm 2015</v>
      </c>
      <c r="T26" s="76"/>
      <c r="U26" s="134"/>
      <c r="V26" s="36"/>
      <c r="W26" s="36"/>
      <c r="X26" s="36"/>
      <c r="Y26" s="36"/>
      <c r="Z26" s="36"/>
    </row>
    <row r="27" spans="1:31" s="35" customFormat="1" ht="12.75">
      <c r="A27" s="28"/>
      <c r="B27" s="28"/>
      <c r="C27" s="28" t="s">
        <v>60</v>
      </c>
      <c r="D27" s="135"/>
      <c r="E27" s="77"/>
      <c r="F27" s="134"/>
      <c r="G27" s="77"/>
      <c r="H27" s="77"/>
      <c r="I27" s="77"/>
      <c r="J27" s="136"/>
      <c r="K27" s="36"/>
      <c r="L27" s="28"/>
      <c r="M27" s="145"/>
      <c r="N27" s="19"/>
      <c r="O27" s="19"/>
      <c r="P27" s="19"/>
      <c r="Q27" s="19"/>
      <c r="S27" s="134" t="s">
        <v>22</v>
      </c>
      <c r="T27" s="134"/>
      <c r="U27" s="134"/>
      <c r="V27" s="36"/>
      <c r="W27" s="36"/>
      <c r="X27" s="36"/>
      <c r="Y27" s="36"/>
      <c r="Z27" s="36"/>
    </row>
    <row r="28" spans="1:31" ht="12">
      <c r="A28" s="8"/>
      <c r="B28" s="8"/>
      <c r="C28" s="15"/>
      <c r="E28" s="13"/>
      <c r="F28" s="12"/>
      <c r="G28" s="13"/>
      <c r="H28" s="13"/>
      <c r="I28" s="13"/>
      <c r="K28" s="7"/>
      <c r="L28" s="15"/>
      <c r="N28" s="11"/>
      <c r="O28" s="11"/>
      <c r="P28" s="11"/>
      <c r="Q28" s="11"/>
      <c r="S28" s="11"/>
      <c r="T28" s="12"/>
      <c r="U28" s="102"/>
    </row>
    <row r="29" spans="1:31" ht="12">
      <c r="C29" s="15"/>
      <c r="L29" s="15"/>
      <c r="T29" s="15"/>
      <c r="U29" s="102"/>
    </row>
    <row r="30" spans="1:31" ht="12">
      <c r="U30" s="102"/>
    </row>
    <row r="31" spans="1:31" ht="12">
      <c r="U31" s="102"/>
    </row>
    <row r="32" spans="1:31" ht="12">
      <c r="U32" s="102"/>
    </row>
    <row r="33" spans="21:21" ht="12">
      <c r="U33" s="102"/>
    </row>
    <row r="34" spans="21:21" ht="12">
      <c r="U34" s="102"/>
    </row>
    <row r="35" spans="21:21" ht="12">
      <c r="U35" s="102"/>
    </row>
  </sheetData>
  <protectedRanges>
    <protectedRange password="CC78" sqref="V23:IK24 C5:D7 B27:C27 V5:W9 A23:A28 B23:B26 B28 V15:W15 Q5:T7 E5:I6 D24 N5:P6 L5 L27 J6:K7 L7 A30:T63 U36:U63 N23:S23 V30:IK63 J23:L23 A64:IK65331 AF15:IK15 V14:IK14 D14 Q10:S13 W10:W13 AF5:IK13 A10:B14" name="Range1"/>
    <protectedRange password="CC78" sqref="F7:H7" name="Range1_4"/>
    <protectedRange password="CC78" sqref="V27:IK28 S27:T28 N27:Q28 E27:I28" name="Range1_1_1"/>
    <protectedRange password="CC78" sqref="U1 W1:IK3 V4:IK4 B4:T4 R2:S3 B1:Q3 U23:U35 X15:AE15 U4:U15 X5:AE13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6:W22 Q16:S22 AF16:IK22 A16:B22" name="Range1_5"/>
    <protectedRange password="CC78" sqref="U16:U22 X16:AE22" name="Range1_2_3"/>
    <protectedRange password="CC78" sqref="V16:V22" name="Range1_1_3"/>
    <protectedRange password="CC78" sqref="K10:K13 K16:K22" name="Range1_6"/>
    <protectedRange password="CC78" sqref="A2:A3" name="Range1_2_1_3"/>
    <protectedRange password="CC78" sqref="E14:T14" name="Range1_3"/>
    <protectedRange password="CC78" sqref="E24:T24" name="Range1_7"/>
    <protectedRange password="CC78" sqref="U2" name="Range1_2_2_1_1"/>
  </protectedRanges>
  <autoFilter ref="A7:AE10"/>
  <mergeCells count="24">
    <mergeCell ref="A24:D24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R5:R7"/>
    <mergeCell ref="S5:S7"/>
    <mergeCell ref="T5:T7"/>
    <mergeCell ref="F6:G6"/>
    <mergeCell ref="H6:I6"/>
    <mergeCell ref="N5:P5"/>
    <mergeCell ref="Q5:Q7"/>
    <mergeCell ref="A14:D14"/>
    <mergeCell ref="K6:K7"/>
    <mergeCell ref="N6:N7"/>
    <mergeCell ref="O6:O7"/>
    <mergeCell ref="P6:P7"/>
    <mergeCell ref="J6:J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6"/>
  <sheetViews>
    <sheetView zoomScaleNormal="115" workbookViewId="0">
      <pane xSplit="3" ySplit="6" topLeftCell="D16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A16" sqref="A16:B2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6" customWidth="1"/>
    <col min="5" max="5" width="7.140625" style="2" customWidth="1"/>
    <col min="6" max="33" width="3.42578125" style="121" customWidth="1"/>
    <col min="34" max="36" width="3.42578125" style="122" customWidth="1"/>
    <col min="37" max="38" width="4.42578125" style="2" customWidth="1"/>
    <col min="39" max="39" width="5.5703125" style="98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7"/>
      <c r="B1" s="52"/>
      <c r="C1" s="52"/>
      <c r="D1" s="56"/>
      <c r="E1" s="52"/>
      <c r="F1" s="56"/>
      <c r="G1" s="56"/>
      <c r="H1" s="56"/>
      <c r="I1" s="56"/>
      <c r="J1" s="56"/>
      <c r="K1" s="117"/>
      <c r="L1" s="117"/>
      <c r="M1" s="117"/>
      <c r="N1" s="117"/>
      <c r="O1" s="117"/>
      <c r="P1" s="117"/>
      <c r="Q1" s="117"/>
      <c r="R1" s="117"/>
      <c r="S1" s="54" t="str">
        <f>CONCATENATE("BẢNG CHẤM CÔNG THÁNG ",TEXT($E$4,"mm")," NĂM ",TEXT($E$4,"yyyy"))</f>
        <v>BẢNG CHẤM CÔNG THÁNG 07 NĂM 2015</v>
      </c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K1" s="53"/>
      <c r="AL1" s="53"/>
      <c r="AM1" s="242" t="s">
        <v>170</v>
      </c>
      <c r="AN1" s="243"/>
      <c r="AO1" s="243"/>
      <c r="AP1" s="243"/>
      <c r="AQ1" s="243"/>
      <c r="AR1" s="243"/>
      <c r="AS1" s="244"/>
      <c r="AT1" s="55"/>
    </row>
    <row r="2" spans="1:91" ht="20.25">
      <c r="A2" s="137"/>
      <c r="B2" s="56"/>
      <c r="C2" s="56"/>
      <c r="D2" s="56"/>
      <c r="E2" s="56"/>
      <c r="F2" s="56"/>
      <c r="G2" s="56"/>
      <c r="H2" s="56"/>
      <c r="I2" s="56"/>
      <c r="J2" s="56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53"/>
      <c r="AL2" s="53"/>
      <c r="AM2" s="94"/>
      <c r="AN2" s="57"/>
      <c r="AO2" s="57"/>
      <c r="AP2" s="57"/>
      <c r="AQ2" s="57"/>
      <c r="AR2" s="57"/>
      <c r="AS2" s="93"/>
      <c r="AT2" s="93"/>
    </row>
    <row r="3" spans="1:91" ht="21" customHeight="1">
      <c r="A3" s="137"/>
      <c r="B3" s="58"/>
      <c r="C3" s="58"/>
      <c r="D3" s="59"/>
      <c r="E3" s="59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53"/>
      <c r="AL3" s="53"/>
      <c r="AM3" s="94"/>
      <c r="AN3" s="55"/>
      <c r="AO3" s="55"/>
      <c r="AP3" s="55"/>
      <c r="AQ3" s="55"/>
      <c r="AR3" s="55"/>
      <c r="AS3" s="60"/>
      <c r="AT3" s="60"/>
    </row>
    <row r="4" spans="1:91" ht="14.25" customHeight="1">
      <c r="A4" s="61"/>
      <c r="B4" s="61"/>
      <c r="C4" s="154"/>
      <c r="D4" s="153"/>
      <c r="E4" s="62">
        <v>42186</v>
      </c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4"/>
      <c r="AI4" s="64"/>
      <c r="AJ4" s="64"/>
      <c r="AK4" s="61"/>
      <c r="AL4" s="61"/>
      <c r="AM4" s="95"/>
      <c r="AN4" s="61"/>
      <c r="AO4" s="61"/>
      <c r="AP4" s="61"/>
      <c r="AQ4" s="61"/>
      <c r="AR4" s="61"/>
      <c r="AS4" s="61"/>
      <c r="AT4" s="99"/>
    </row>
    <row r="5" spans="1:91" s="65" customFormat="1" ht="18.75" customHeight="1">
      <c r="A5" s="245" t="s">
        <v>28</v>
      </c>
      <c r="B5" s="245" t="s">
        <v>3</v>
      </c>
      <c r="C5" s="245" t="s">
        <v>1</v>
      </c>
      <c r="D5" s="247" t="s">
        <v>29</v>
      </c>
      <c r="E5" s="245" t="s">
        <v>30</v>
      </c>
      <c r="F5" s="116">
        <f>+E4</f>
        <v>42186</v>
      </c>
      <c r="G5" s="116">
        <f t="shared" ref="G5:AJ5" si="0">F5+1</f>
        <v>42187</v>
      </c>
      <c r="H5" s="116">
        <f t="shared" si="0"/>
        <v>42188</v>
      </c>
      <c r="I5" s="116">
        <f t="shared" si="0"/>
        <v>42189</v>
      </c>
      <c r="J5" s="116">
        <f t="shared" si="0"/>
        <v>42190</v>
      </c>
      <c r="K5" s="116">
        <f t="shared" si="0"/>
        <v>42191</v>
      </c>
      <c r="L5" s="116">
        <f t="shared" si="0"/>
        <v>42192</v>
      </c>
      <c r="M5" s="116">
        <f t="shared" si="0"/>
        <v>42193</v>
      </c>
      <c r="N5" s="116">
        <f t="shared" si="0"/>
        <v>42194</v>
      </c>
      <c r="O5" s="116">
        <f t="shared" si="0"/>
        <v>42195</v>
      </c>
      <c r="P5" s="116">
        <f t="shared" si="0"/>
        <v>42196</v>
      </c>
      <c r="Q5" s="116">
        <f t="shared" si="0"/>
        <v>42197</v>
      </c>
      <c r="R5" s="116">
        <f t="shared" si="0"/>
        <v>42198</v>
      </c>
      <c r="S5" s="116">
        <f t="shared" si="0"/>
        <v>42199</v>
      </c>
      <c r="T5" s="116">
        <f t="shared" si="0"/>
        <v>42200</v>
      </c>
      <c r="U5" s="116">
        <f t="shared" si="0"/>
        <v>42201</v>
      </c>
      <c r="V5" s="116">
        <f t="shared" si="0"/>
        <v>42202</v>
      </c>
      <c r="W5" s="116">
        <f t="shared" si="0"/>
        <v>42203</v>
      </c>
      <c r="X5" s="116">
        <f t="shared" si="0"/>
        <v>42204</v>
      </c>
      <c r="Y5" s="116">
        <f t="shared" si="0"/>
        <v>42205</v>
      </c>
      <c r="Z5" s="116">
        <f t="shared" si="0"/>
        <v>42206</v>
      </c>
      <c r="AA5" s="116">
        <f t="shared" si="0"/>
        <v>42207</v>
      </c>
      <c r="AB5" s="116">
        <f t="shared" si="0"/>
        <v>42208</v>
      </c>
      <c r="AC5" s="116">
        <f t="shared" si="0"/>
        <v>42209</v>
      </c>
      <c r="AD5" s="116">
        <f t="shared" si="0"/>
        <v>42210</v>
      </c>
      <c r="AE5" s="116">
        <f t="shared" si="0"/>
        <v>42211</v>
      </c>
      <c r="AF5" s="116">
        <f t="shared" si="0"/>
        <v>42212</v>
      </c>
      <c r="AG5" s="116">
        <f t="shared" si="0"/>
        <v>42213</v>
      </c>
      <c r="AH5" s="116">
        <f>AG5+1</f>
        <v>42214</v>
      </c>
      <c r="AI5" s="116">
        <f t="shared" si="0"/>
        <v>42215</v>
      </c>
      <c r="AJ5" s="116">
        <f t="shared" si="0"/>
        <v>42216</v>
      </c>
      <c r="AK5" s="248" t="s">
        <v>15</v>
      </c>
      <c r="AL5" s="249"/>
      <c r="AM5" s="250"/>
      <c r="AN5" s="251" t="s">
        <v>45</v>
      </c>
      <c r="AO5" s="251" t="s">
        <v>41</v>
      </c>
      <c r="AP5" s="251" t="s">
        <v>42</v>
      </c>
      <c r="AQ5" s="251" t="s">
        <v>43</v>
      </c>
      <c r="AR5" s="251" t="s">
        <v>44</v>
      </c>
      <c r="AS5" s="247" t="s">
        <v>0</v>
      </c>
      <c r="AT5" s="26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5" customFormat="1" ht="39.75" customHeight="1">
      <c r="A6" s="246"/>
      <c r="B6" s="246"/>
      <c r="C6" s="246"/>
      <c r="D6" s="246"/>
      <c r="E6" s="246"/>
      <c r="F6" s="172" t="str">
        <f>CHOOSE(WEEKDAY(F5),"C.Nhật","T.Hai","T.Ba","T.Tư","T.Năm","T.Sáu","T.Bảy")</f>
        <v>T.Tư</v>
      </c>
      <c r="G6" s="172" t="str">
        <f t="shared" ref="G6:AJ6" si="1">CHOOSE(WEEKDAY(G5),"C.Nhật","T.Hai","T.Ba","T.Tư","T.Năm","T.Sáu","T.Bảy")</f>
        <v>T.Năm</v>
      </c>
      <c r="H6" s="172" t="str">
        <f t="shared" si="1"/>
        <v>T.Sáu</v>
      </c>
      <c r="I6" s="172" t="str">
        <f t="shared" si="1"/>
        <v>T.Bảy</v>
      </c>
      <c r="J6" s="172" t="str">
        <f t="shared" si="1"/>
        <v>C.Nhật</v>
      </c>
      <c r="K6" s="172" t="str">
        <f t="shared" si="1"/>
        <v>T.Hai</v>
      </c>
      <c r="L6" s="172" t="str">
        <f t="shared" si="1"/>
        <v>T.Ba</v>
      </c>
      <c r="M6" s="172" t="str">
        <f t="shared" si="1"/>
        <v>T.Tư</v>
      </c>
      <c r="N6" s="172" t="str">
        <f t="shared" si="1"/>
        <v>T.Năm</v>
      </c>
      <c r="O6" s="172" t="str">
        <f t="shared" si="1"/>
        <v>T.Sáu</v>
      </c>
      <c r="P6" s="172" t="str">
        <f t="shared" si="1"/>
        <v>T.Bảy</v>
      </c>
      <c r="Q6" s="172" t="str">
        <f t="shared" si="1"/>
        <v>C.Nhật</v>
      </c>
      <c r="R6" s="172" t="str">
        <f t="shared" si="1"/>
        <v>T.Hai</v>
      </c>
      <c r="S6" s="172" t="str">
        <f t="shared" si="1"/>
        <v>T.Ba</v>
      </c>
      <c r="T6" s="172" t="str">
        <f t="shared" si="1"/>
        <v>T.Tư</v>
      </c>
      <c r="U6" s="172" t="str">
        <f t="shared" si="1"/>
        <v>T.Năm</v>
      </c>
      <c r="V6" s="172" t="str">
        <f t="shared" si="1"/>
        <v>T.Sáu</v>
      </c>
      <c r="W6" s="172" t="str">
        <f t="shared" si="1"/>
        <v>T.Bảy</v>
      </c>
      <c r="X6" s="172" t="str">
        <f t="shared" si="1"/>
        <v>C.Nhật</v>
      </c>
      <c r="Y6" s="172" t="str">
        <f t="shared" si="1"/>
        <v>T.Hai</v>
      </c>
      <c r="Z6" s="172" t="str">
        <f t="shared" si="1"/>
        <v>T.Ba</v>
      </c>
      <c r="AA6" s="172" t="str">
        <f t="shared" si="1"/>
        <v>T.Tư</v>
      </c>
      <c r="AB6" s="172" t="str">
        <f t="shared" si="1"/>
        <v>T.Năm</v>
      </c>
      <c r="AC6" s="172" t="str">
        <f t="shared" si="1"/>
        <v>T.Sáu</v>
      </c>
      <c r="AD6" s="172" t="str">
        <f t="shared" si="1"/>
        <v>T.Bảy</v>
      </c>
      <c r="AE6" s="172" t="str">
        <f t="shared" si="1"/>
        <v>C.Nhật</v>
      </c>
      <c r="AF6" s="172" t="str">
        <f t="shared" si="1"/>
        <v>T.Hai</v>
      </c>
      <c r="AG6" s="172" t="str">
        <f t="shared" si="1"/>
        <v>T.Ba</v>
      </c>
      <c r="AH6" s="172" t="str">
        <f t="shared" si="1"/>
        <v>T.Tư</v>
      </c>
      <c r="AI6" s="172" t="str">
        <f t="shared" si="1"/>
        <v>T.Năm</v>
      </c>
      <c r="AJ6" s="172" t="str">
        <f t="shared" si="1"/>
        <v>T.Sáu</v>
      </c>
      <c r="AK6" s="173" t="s">
        <v>16</v>
      </c>
      <c r="AL6" s="173" t="s">
        <v>31</v>
      </c>
      <c r="AM6" s="174" t="s">
        <v>17</v>
      </c>
      <c r="AN6" s="252"/>
      <c r="AO6" s="252"/>
      <c r="AP6" s="252"/>
      <c r="AQ6" s="252"/>
      <c r="AR6" s="252"/>
      <c r="AS6" s="246"/>
      <c r="AT6" s="26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5" customFormat="1" ht="12.75" customHeight="1">
      <c r="A7" s="175">
        <v>1</v>
      </c>
      <c r="B7" s="175">
        <v>1</v>
      </c>
      <c r="C7" s="175">
        <v>2</v>
      </c>
      <c r="D7" s="175">
        <v>3</v>
      </c>
      <c r="E7" s="175">
        <v>4</v>
      </c>
      <c r="F7" s="175">
        <v>5</v>
      </c>
      <c r="G7" s="175">
        <v>6</v>
      </c>
      <c r="H7" s="175">
        <v>7</v>
      </c>
      <c r="I7" s="175">
        <v>8</v>
      </c>
      <c r="J7" s="175">
        <v>9</v>
      </c>
      <c r="K7" s="175">
        <v>10</v>
      </c>
      <c r="L7" s="175">
        <v>11</v>
      </c>
      <c r="M7" s="175">
        <v>12</v>
      </c>
      <c r="N7" s="175">
        <v>13</v>
      </c>
      <c r="O7" s="175">
        <v>14</v>
      </c>
      <c r="P7" s="175">
        <v>15</v>
      </c>
      <c r="Q7" s="175">
        <v>16</v>
      </c>
      <c r="R7" s="175">
        <v>17</v>
      </c>
      <c r="S7" s="175">
        <v>18</v>
      </c>
      <c r="T7" s="175">
        <v>19</v>
      </c>
      <c r="U7" s="175">
        <v>20</v>
      </c>
      <c r="V7" s="175">
        <v>21</v>
      </c>
      <c r="W7" s="175">
        <v>22</v>
      </c>
      <c r="X7" s="175">
        <v>23</v>
      </c>
      <c r="Y7" s="175">
        <v>24</v>
      </c>
      <c r="Z7" s="175">
        <v>25</v>
      </c>
      <c r="AA7" s="175">
        <v>26</v>
      </c>
      <c r="AB7" s="175">
        <v>27</v>
      </c>
      <c r="AC7" s="175">
        <v>28</v>
      </c>
      <c r="AD7" s="175">
        <v>29</v>
      </c>
      <c r="AE7" s="175">
        <v>30</v>
      </c>
      <c r="AF7" s="175">
        <v>31</v>
      </c>
      <c r="AG7" s="175">
        <v>32</v>
      </c>
      <c r="AH7" s="175">
        <v>33</v>
      </c>
      <c r="AI7" s="175">
        <v>34</v>
      </c>
      <c r="AJ7" s="175">
        <v>35</v>
      </c>
      <c r="AK7" s="175">
        <v>36</v>
      </c>
      <c r="AL7" s="175">
        <v>37</v>
      </c>
      <c r="AM7" s="175">
        <v>38</v>
      </c>
      <c r="AN7" s="175">
        <v>39</v>
      </c>
      <c r="AO7" s="175">
        <v>40</v>
      </c>
      <c r="AP7" s="175">
        <v>41</v>
      </c>
      <c r="AQ7" s="175">
        <v>42</v>
      </c>
      <c r="AR7" s="175">
        <v>43</v>
      </c>
      <c r="AS7" s="175">
        <v>44</v>
      </c>
      <c r="AT7" s="198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8" customFormat="1" ht="21" customHeight="1">
      <c r="A8" s="176" t="s">
        <v>154</v>
      </c>
      <c r="B8" s="179" t="s">
        <v>171</v>
      </c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0"/>
      <c r="W8" s="180"/>
      <c r="X8" s="180"/>
      <c r="Y8" s="180"/>
      <c r="Z8" s="180"/>
      <c r="AA8" s="180"/>
      <c r="AB8" s="180"/>
      <c r="AC8" s="180"/>
      <c r="AD8" s="180"/>
      <c r="AE8" s="180"/>
      <c r="AF8" s="180"/>
      <c r="AG8" s="180"/>
      <c r="AH8" s="180"/>
      <c r="AI8" s="180"/>
      <c r="AJ8" s="180"/>
      <c r="AK8" s="180"/>
      <c r="AL8" s="180"/>
      <c r="AM8" s="180"/>
      <c r="AN8" s="180"/>
      <c r="AO8" s="180"/>
      <c r="AP8" s="180"/>
      <c r="AQ8" s="180"/>
      <c r="AR8" s="180"/>
      <c r="AS8" s="181"/>
      <c r="AT8" s="177"/>
    </row>
    <row r="9" spans="1:91" s="65" customFormat="1" ht="18" customHeight="1">
      <c r="A9" s="253">
        <v>1</v>
      </c>
      <c r="B9" s="253" t="s">
        <v>159</v>
      </c>
      <c r="C9" s="255" t="str">
        <f>VLOOKUP(B9,DS,2,0)</f>
        <v>Nguyễn Thị Thu Sương</v>
      </c>
      <c r="D9" s="257" t="str">
        <f>VLOOKUP(B9,DS,3,0)</f>
        <v>Kinh Doanh</v>
      </c>
      <c r="E9" s="66" t="s">
        <v>32</v>
      </c>
      <c r="F9" s="141">
        <v>8</v>
      </c>
      <c r="G9" s="141">
        <v>8</v>
      </c>
      <c r="H9" s="141">
        <v>8</v>
      </c>
      <c r="I9" s="141">
        <v>8</v>
      </c>
      <c r="J9" s="141"/>
      <c r="K9" s="141">
        <v>8</v>
      </c>
      <c r="L9" s="141">
        <v>8</v>
      </c>
      <c r="M9" s="141">
        <v>8</v>
      </c>
      <c r="N9" s="141">
        <v>8</v>
      </c>
      <c r="O9" s="141">
        <v>8</v>
      </c>
      <c r="P9" s="141">
        <v>8</v>
      </c>
      <c r="Q9" s="141"/>
      <c r="R9" s="141">
        <v>8</v>
      </c>
      <c r="S9" s="141">
        <v>8</v>
      </c>
      <c r="T9" s="141">
        <v>8</v>
      </c>
      <c r="U9" s="141">
        <v>8</v>
      </c>
      <c r="V9" s="141">
        <v>8</v>
      </c>
      <c r="W9" s="141">
        <v>8</v>
      </c>
      <c r="X9" s="141"/>
      <c r="Y9" s="141">
        <v>8</v>
      </c>
      <c r="Z9" s="141">
        <v>8</v>
      </c>
      <c r="AA9" s="141">
        <v>8</v>
      </c>
      <c r="AB9" s="141">
        <v>8</v>
      </c>
      <c r="AC9" s="141">
        <v>8</v>
      </c>
      <c r="AD9" s="141">
        <v>8</v>
      </c>
      <c r="AE9" s="141"/>
      <c r="AF9" s="141">
        <v>8</v>
      </c>
      <c r="AG9" s="141">
        <v>8</v>
      </c>
      <c r="AH9" s="141">
        <v>8</v>
      </c>
      <c r="AI9" s="141">
        <v>8</v>
      </c>
      <c r="AJ9" s="141">
        <v>8</v>
      </c>
      <c r="AK9" s="259">
        <f>((SUM(F9:AJ9))/8)-(SUMIF($F$6:$AJ$6,"C.Nhật",F9:AJ9)/8)</f>
        <v>27</v>
      </c>
      <c r="AL9" s="259">
        <f>SUM(F10:AJ10)/8*1.5</f>
        <v>0</v>
      </c>
      <c r="AM9" s="262">
        <f>SUMIF($F$6:$AJ$6,"C.Nhật",$F9:$AJ10)/8*2</f>
        <v>0</v>
      </c>
      <c r="AN9" s="264">
        <f>SUM(AK9:AM10)</f>
        <v>27</v>
      </c>
      <c r="AO9" s="266">
        <v>0</v>
      </c>
      <c r="AP9" s="264"/>
      <c r="AQ9" s="264"/>
      <c r="AR9" s="264"/>
      <c r="AS9" s="268"/>
      <c r="AT9" s="198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5" customFormat="1" ht="18" customHeight="1">
      <c r="A10" s="254"/>
      <c r="B10" s="254"/>
      <c r="C10" s="256"/>
      <c r="D10" s="258"/>
      <c r="E10" s="67" t="s">
        <v>31</v>
      </c>
      <c r="F10" s="142"/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260"/>
      <c r="AL10" s="260"/>
      <c r="AM10" s="263"/>
      <c r="AN10" s="265"/>
      <c r="AO10" s="267"/>
      <c r="AP10" s="265"/>
      <c r="AQ10" s="265"/>
      <c r="AR10" s="265"/>
      <c r="AS10" s="269"/>
      <c r="AT10" s="198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5" customFormat="1" ht="18" customHeight="1">
      <c r="A11" s="253">
        <v>2</v>
      </c>
      <c r="B11" s="253" t="s">
        <v>160</v>
      </c>
      <c r="C11" s="255" t="str">
        <f>VLOOKUP(B11,DS,2,0)</f>
        <v>Trần Anh Nhựt</v>
      </c>
      <c r="D11" s="257" t="str">
        <f>VLOOKUP(B11,DS,3,0)</f>
        <v>Thiết Kế</v>
      </c>
      <c r="E11" s="66" t="s">
        <v>32</v>
      </c>
      <c r="F11" s="141">
        <v>8</v>
      </c>
      <c r="G11" s="141">
        <v>8</v>
      </c>
      <c r="H11" s="141">
        <v>8</v>
      </c>
      <c r="I11" s="141">
        <v>8</v>
      </c>
      <c r="J11" s="141"/>
      <c r="K11" s="141">
        <v>8</v>
      </c>
      <c r="L11" s="141">
        <v>8</v>
      </c>
      <c r="M11" s="141">
        <v>8</v>
      </c>
      <c r="N11" s="141">
        <v>8</v>
      </c>
      <c r="O11" s="141">
        <v>8</v>
      </c>
      <c r="P11" s="141">
        <v>8</v>
      </c>
      <c r="Q11" s="141"/>
      <c r="R11" s="141">
        <v>8</v>
      </c>
      <c r="S11" s="141">
        <v>8</v>
      </c>
      <c r="T11" s="141">
        <v>8</v>
      </c>
      <c r="U11" s="141">
        <v>8</v>
      </c>
      <c r="V11" s="141">
        <v>8</v>
      </c>
      <c r="W11" s="141">
        <v>8</v>
      </c>
      <c r="X11" s="141"/>
      <c r="Y11" s="141">
        <v>8</v>
      </c>
      <c r="Z11" s="141">
        <v>8</v>
      </c>
      <c r="AA11" s="141">
        <v>8</v>
      </c>
      <c r="AB11" s="141">
        <v>8</v>
      </c>
      <c r="AC11" s="141">
        <v>8</v>
      </c>
      <c r="AD11" s="141">
        <v>8</v>
      </c>
      <c r="AE11" s="141"/>
      <c r="AF11" s="141">
        <v>8</v>
      </c>
      <c r="AG11" s="141">
        <v>8</v>
      </c>
      <c r="AH11" s="141">
        <v>8</v>
      </c>
      <c r="AI11" s="141">
        <v>8</v>
      </c>
      <c r="AJ11" s="141">
        <v>8</v>
      </c>
      <c r="AK11" s="259">
        <f t="shared" ref="AK11" si="2">((SUM(F11:AJ11))/8)-(SUMIF($F$6:$AJ$6,"C.Nhật",F11:AJ11)/8)</f>
        <v>27</v>
      </c>
      <c r="AL11" s="259">
        <f t="shared" ref="AL11" si="3">SUM(F12:AJ12)/8*1.5</f>
        <v>0</v>
      </c>
      <c r="AM11" s="262">
        <f t="shared" ref="AM11:AM13" si="4">SUMIF($F$6:$AJ$6,"C.Nhật",$F11:$AJ12)/8*2</f>
        <v>0</v>
      </c>
      <c r="AN11" s="264">
        <f t="shared" ref="AN11" si="5">SUM(AK11:AM12)</f>
        <v>27</v>
      </c>
      <c r="AO11" s="266">
        <v>0</v>
      </c>
      <c r="AP11" s="264"/>
      <c r="AQ11" s="264"/>
      <c r="AR11" s="264"/>
      <c r="AS11" s="268"/>
      <c r="AT11" s="22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5" customFormat="1" ht="18" customHeight="1">
      <c r="A12" s="254"/>
      <c r="B12" s="254"/>
      <c r="C12" s="256"/>
      <c r="D12" s="258"/>
      <c r="E12" s="67" t="s">
        <v>31</v>
      </c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260"/>
      <c r="AL12" s="260"/>
      <c r="AM12" s="263"/>
      <c r="AN12" s="265"/>
      <c r="AO12" s="267"/>
      <c r="AP12" s="265"/>
      <c r="AQ12" s="265"/>
      <c r="AR12" s="265"/>
      <c r="AS12" s="269"/>
      <c r="AT12" s="22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5" customFormat="1" ht="18" customHeight="1">
      <c r="A13" s="253">
        <v>3</v>
      </c>
      <c r="B13" s="253" t="s">
        <v>168</v>
      </c>
      <c r="C13" s="255" t="str">
        <f>VLOOKUP(B13,DS,2,0)</f>
        <v>Huỳnh Minh Toàn</v>
      </c>
      <c r="D13" s="257" t="str">
        <f>VLOOKUP(B13,DS,3,0)</f>
        <v>Thủ Kho</v>
      </c>
      <c r="E13" s="66" t="s">
        <v>32</v>
      </c>
      <c r="F13" s="141">
        <v>8</v>
      </c>
      <c r="G13" s="141">
        <v>8</v>
      </c>
      <c r="H13" s="141">
        <v>8</v>
      </c>
      <c r="I13" s="141">
        <v>8</v>
      </c>
      <c r="J13" s="141"/>
      <c r="K13" s="141">
        <v>8</v>
      </c>
      <c r="L13" s="141">
        <v>8</v>
      </c>
      <c r="M13" s="141">
        <v>8</v>
      </c>
      <c r="N13" s="141">
        <v>8</v>
      </c>
      <c r="O13" s="141">
        <v>8</v>
      </c>
      <c r="P13" s="141">
        <v>8</v>
      </c>
      <c r="Q13" s="141"/>
      <c r="R13" s="141">
        <v>8</v>
      </c>
      <c r="S13" s="141">
        <v>8</v>
      </c>
      <c r="T13" s="141">
        <v>8</v>
      </c>
      <c r="U13" s="141">
        <v>8</v>
      </c>
      <c r="V13" s="141">
        <v>8</v>
      </c>
      <c r="W13" s="141">
        <v>8</v>
      </c>
      <c r="X13" s="141"/>
      <c r="Y13" s="141">
        <v>8</v>
      </c>
      <c r="Z13" s="141">
        <v>8</v>
      </c>
      <c r="AA13" s="141">
        <v>8</v>
      </c>
      <c r="AB13" s="141">
        <v>8</v>
      </c>
      <c r="AC13" s="141">
        <v>8</v>
      </c>
      <c r="AD13" s="141">
        <v>8</v>
      </c>
      <c r="AE13" s="141"/>
      <c r="AF13" s="141">
        <v>8</v>
      </c>
      <c r="AG13" s="141">
        <v>8</v>
      </c>
      <c r="AH13" s="141">
        <v>8</v>
      </c>
      <c r="AI13" s="141">
        <v>8</v>
      </c>
      <c r="AJ13" s="141">
        <v>8</v>
      </c>
      <c r="AK13" s="259">
        <f t="shared" ref="AK13" si="6">((SUM(F13:AJ13))/8)-(SUMIF($F$6:$AJ$6,"C.Nhật",F13:AJ13)/8)</f>
        <v>27</v>
      </c>
      <c r="AL13" s="259">
        <f t="shared" ref="AL13" si="7">SUM(F14:AJ14)/8*1.5</f>
        <v>0</v>
      </c>
      <c r="AM13" s="262">
        <f t="shared" si="4"/>
        <v>0</v>
      </c>
      <c r="AN13" s="264">
        <f t="shared" ref="AN13" si="8">SUM(AK13:AM14)</f>
        <v>27</v>
      </c>
      <c r="AO13" s="266">
        <v>0</v>
      </c>
      <c r="AP13" s="264"/>
      <c r="AQ13" s="264"/>
      <c r="AR13" s="264"/>
      <c r="AS13" s="268"/>
      <c r="AT13" s="198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5" customFormat="1" ht="18" customHeight="1">
      <c r="A14" s="254"/>
      <c r="B14" s="254"/>
      <c r="C14" s="256"/>
      <c r="D14" s="258"/>
      <c r="E14" s="67" t="s">
        <v>31</v>
      </c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260"/>
      <c r="AL14" s="260"/>
      <c r="AM14" s="263"/>
      <c r="AN14" s="265"/>
      <c r="AO14" s="267"/>
      <c r="AP14" s="265"/>
      <c r="AQ14" s="265"/>
      <c r="AR14" s="265"/>
      <c r="AS14" s="269"/>
      <c r="AT14" s="198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78" customFormat="1" ht="21" customHeight="1">
      <c r="A15" s="176" t="s">
        <v>155</v>
      </c>
      <c r="B15" s="179" t="s">
        <v>158</v>
      </c>
      <c r="C15" s="180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0"/>
      <c r="U15" s="180"/>
      <c r="V15" s="180"/>
      <c r="W15" s="180"/>
      <c r="X15" s="180"/>
      <c r="Y15" s="180"/>
      <c r="Z15" s="180"/>
      <c r="AA15" s="180"/>
      <c r="AB15" s="180"/>
      <c r="AC15" s="180"/>
      <c r="AD15" s="180"/>
      <c r="AE15" s="180"/>
      <c r="AF15" s="180"/>
      <c r="AG15" s="180"/>
      <c r="AH15" s="180"/>
      <c r="AI15" s="180"/>
      <c r="AJ15" s="180"/>
      <c r="AK15" s="180"/>
      <c r="AL15" s="180"/>
      <c r="AM15" s="180"/>
      <c r="AN15" s="180"/>
      <c r="AO15" s="180"/>
      <c r="AP15" s="180"/>
      <c r="AQ15" s="180"/>
      <c r="AR15" s="180"/>
      <c r="AS15" s="181"/>
      <c r="AT15" s="177"/>
    </row>
    <row r="16" spans="1:91" s="65" customFormat="1" ht="18" customHeight="1">
      <c r="A16" s="253">
        <v>1</v>
      </c>
      <c r="B16" s="253" t="s">
        <v>161</v>
      </c>
      <c r="C16" s="255" t="str">
        <f>VLOOKUP(B16,DS,2,0)</f>
        <v>Nguyễn Trường Giang</v>
      </c>
      <c r="D16" s="257" t="str">
        <f>VLOOKUP(B16,DS,3,0)</f>
        <v>Thợ in</v>
      </c>
      <c r="E16" s="66" t="s">
        <v>32</v>
      </c>
      <c r="F16" s="141">
        <v>8</v>
      </c>
      <c r="G16" s="141">
        <v>8</v>
      </c>
      <c r="H16" s="141">
        <v>8</v>
      </c>
      <c r="I16" s="141">
        <v>8</v>
      </c>
      <c r="J16" s="141"/>
      <c r="K16" s="141">
        <v>8</v>
      </c>
      <c r="L16" s="141">
        <v>8</v>
      </c>
      <c r="M16" s="141">
        <v>8</v>
      </c>
      <c r="N16" s="141">
        <v>8</v>
      </c>
      <c r="O16" s="141">
        <v>8</v>
      </c>
      <c r="P16" s="141">
        <v>8</v>
      </c>
      <c r="Q16" s="141"/>
      <c r="R16" s="141">
        <v>8</v>
      </c>
      <c r="S16" s="141">
        <v>8</v>
      </c>
      <c r="T16" s="141">
        <v>8</v>
      </c>
      <c r="U16" s="141">
        <v>8</v>
      </c>
      <c r="V16" s="141">
        <v>8</v>
      </c>
      <c r="W16" s="141">
        <v>8</v>
      </c>
      <c r="X16" s="141"/>
      <c r="Y16" s="141">
        <v>8</v>
      </c>
      <c r="Z16" s="141">
        <v>8</v>
      </c>
      <c r="AA16" s="141">
        <v>8</v>
      </c>
      <c r="AB16" s="141">
        <v>8</v>
      </c>
      <c r="AC16" s="141">
        <v>8</v>
      </c>
      <c r="AD16" s="141">
        <v>8</v>
      </c>
      <c r="AE16" s="141"/>
      <c r="AF16" s="141">
        <v>8</v>
      </c>
      <c r="AG16" s="141">
        <v>8</v>
      </c>
      <c r="AH16" s="141">
        <v>8</v>
      </c>
      <c r="AI16" s="141">
        <v>8</v>
      </c>
      <c r="AJ16" s="141">
        <v>8</v>
      </c>
      <c r="AK16" s="259">
        <f t="shared" ref="AK16" si="9">((SUM(F16:AJ16))/8)-(SUMIF($F$6:$AJ$6,"C.Nhật",F16:AJ16)/8)</f>
        <v>27</v>
      </c>
      <c r="AL16" s="259">
        <f t="shared" ref="AL16" si="10">SUM(F17:AJ17)/8*1.5</f>
        <v>0</v>
      </c>
      <c r="AM16" s="262">
        <f>SUMIF($F$6:$AJ$6,"C.Nhật",$F16:$AJ17)/8*2</f>
        <v>0</v>
      </c>
      <c r="AN16" s="264">
        <f>SUM(AK16:AM17)</f>
        <v>27</v>
      </c>
      <c r="AO16" s="266">
        <v>0</v>
      </c>
      <c r="AP16" s="264"/>
      <c r="AQ16" s="264"/>
      <c r="AR16" s="264"/>
      <c r="AS16" s="268"/>
      <c r="AT16" s="21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5" customFormat="1" ht="18" customHeight="1">
      <c r="A17" s="254"/>
      <c r="B17" s="254"/>
      <c r="C17" s="256"/>
      <c r="D17" s="258"/>
      <c r="E17" s="67" t="s">
        <v>31</v>
      </c>
      <c r="F17" s="142"/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  <c r="AA17" s="142"/>
      <c r="AB17" s="142"/>
      <c r="AC17" s="142"/>
      <c r="AD17" s="142"/>
      <c r="AE17" s="142"/>
      <c r="AF17" s="142"/>
      <c r="AG17" s="142"/>
      <c r="AH17" s="142"/>
      <c r="AI17" s="142"/>
      <c r="AJ17" s="142"/>
      <c r="AK17" s="260"/>
      <c r="AL17" s="260"/>
      <c r="AM17" s="263"/>
      <c r="AN17" s="265"/>
      <c r="AO17" s="267"/>
      <c r="AP17" s="265"/>
      <c r="AQ17" s="265"/>
      <c r="AR17" s="265"/>
      <c r="AS17" s="269"/>
      <c r="AT17" s="21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5" customFormat="1" ht="18" customHeight="1">
      <c r="A18" s="253">
        <v>2</v>
      </c>
      <c r="B18" s="253" t="s">
        <v>162</v>
      </c>
      <c r="C18" s="255" t="str">
        <f>VLOOKUP(B18,DS,2,0)</f>
        <v>Võ Văn Kiệt</v>
      </c>
      <c r="D18" s="257" t="str">
        <f>VLOOKUP(B18,DS,3,0)</f>
        <v>Công Đoạn 1</v>
      </c>
      <c r="E18" s="66" t="s">
        <v>32</v>
      </c>
      <c r="F18" s="141">
        <v>8</v>
      </c>
      <c r="G18" s="141">
        <v>8</v>
      </c>
      <c r="H18" s="141">
        <v>8</v>
      </c>
      <c r="I18" s="141">
        <v>8</v>
      </c>
      <c r="J18" s="141"/>
      <c r="K18" s="141">
        <v>8</v>
      </c>
      <c r="L18" s="141">
        <v>8</v>
      </c>
      <c r="M18" s="141">
        <v>8</v>
      </c>
      <c r="N18" s="141">
        <v>8</v>
      </c>
      <c r="O18" s="141">
        <v>8</v>
      </c>
      <c r="P18" s="141">
        <v>8</v>
      </c>
      <c r="Q18" s="141"/>
      <c r="R18" s="141">
        <v>8</v>
      </c>
      <c r="S18" s="141">
        <v>8</v>
      </c>
      <c r="T18" s="141">
        <v>8</v>
      </c>
      <c r="U18" s="141">
        <v>8</v>
      </c>
      <c r="V18" s="141">
        <v>8</v>
      </c>
      <c r="W18" s="141">
        <v>8</v>
      </c>
      <c r="X18" s="141"/>
      <c r="Y18" s="141">
        <v>8</v>
      </c>
      <c r="Z18" s="141">
        <v>8</v>
      </c>
      <c r="AA18" s="141">
        <v>8</v>
      </c>
      <c r="AB18" s="141">
        <v>8</v>
      </c>
      <c r="AC18" s="141">
        <v>8</v>
      </c>
      <c r="AD18" s="141">
        <v>8</v>
      </c>
      <c r="AE18" s="141"/>
      <c r="AF18" s="141">
        <v>8</v>
      </c>
      <c r="AG18" s="141">
        <v>8</v>
      </c>
      <c r="AH18" s="141">
        <v>8</v>
      </c>
      <c r="AI18" s="141">
        <v>8</v>
      </c>
      <c r="AJ18" s="141">
        <v>8</v>
      </c>
      <c r="AK18" s="259">
        <f t="shared" ref="AK18" si="11">((SUM(F18:AJ18))/8)-(SUMIF($F$6:$AJ$6,"C.Nhật",F18:AJ18)/8)</f>
        <v>27</v>
      </c>
      <c r="AL18" s="259">
        <f t="shared" ref="AL18" si="12">SUM(F19:AJ19)/8*1.5</f>
        <v>0</v>
      </c>
      <c r="AM18" s="262">
        <f>SUMIF($F$6:$AJ$6,"C.Nhật",$F18:$AJ19)/8*2</f>
        <v>0</v>
      </c>
      <c r="AN18" s="264">
        <f t="shared" ref="AN18" si="13">SUM(AK18:AM19)</f>
        <v>27</v>
      </c>
      <c r="AO18" s="266">
        <v>0</v>
      </c>
      <c r="AP18" s="264"/>
      <c r="AQ18" s="264"/>
      <c r="AR18" s="264"/>
      <c r="AS18" s="268"/>
      <c r="AT18" s="22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5" customFormat="1" ht="18" customHeight="1">
      <c r="A19" s="254"/>
      <c r="B19" s="254"/>
      <c r="C19" s="256"/>
      <c r="D19" s="258"/>
      <c r="E19" s="67" t="s">
        <v>31</v>
      </c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  <c r="Y19" s="142"/>
      <c r="Z19" s="142"/>
      <c r="AA19" s="142"/>
      <c r="AB19" s="142"/>
      <c r="AC19" s="142"/>
      <c r="AD19" s="142"/>
      <c r="AE19" s="142"/>
      <c r="AF19" s="142"/>
      <c r="AG19" s="142"/>
      <c r="AH19" s="142"/>
      <c r="AI19" s="142"/>
      <c r="AJ19" s="142"/>
      <c r="AK19" s="260"/>
      <c r="AL19" s="260"/>
      <c r="AM19" s="263"/>
      <c r="AN19" s="265"/>
      <c r="AO19" s="267"/>
      <c r="AP19" s="265"/>
      <c r="AQ19" s="265"/>
      <c r="AR19" s="265"/>
      <c r="AS19" s="269"/>
      <c r="AT19" s="22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5" customFormat="1" ht="18" customHeight="1">
      <c r="A20" s="253">
        <v>3</v>
      </c>
      <c r="B20" s="253" t="s">
        <v>163</v>
      </c>
      <c r="C20" s="255" t="str">
        <f>VLOOKUP(B20,DS,2,0)</f>
        <v>Diệp Văn Lân</v>
      </c>
      <c r="D20" s="257" t="str">
        <f>VLOOKUP(B20,DS,3,0)</f>
        <v>Công Đoạn 1</v>
      </c>
      <c r="E20" s="66" t="s">
        <v>32</v>
      </c>
      <c r="F20" s="141">
        <v>8</v>
      </c>
      <c r="G20" s="141">
        <v>8</v>
      </c>
      <c r="H20" s="141">
        <v>8</v>
      </c>
      <c r="I20" s="141">
        <v>8</v>
      </c>
      <c r="J20" s="141"/>
      <c r="K20" s="141">
        <v>8</v>
      </c>
      <c r="L20" s="141">
        <v>8</v>
      </c>
      <c r="M20" s="141">
        <v>8</v>
      </c>
      <c r="N20" s="141">
        <v>8</v>
      </c>
      <c r="O20" s="141">
        <v>8</v>
      </c>
      <c r="P20" s="141">
        <v>8</v>
      </c>
      <c r="Q20" s="141"/>
      <c r="R20" s="141">
        <v>8</v>
      </c>
      <c r="S20" s="141">
        <v>8</v>
      </c>
      <c r="T20" s="141">
        <v>8</v>
      </c>
      <c r="U20" s="141">
        <v>8</v>
      </c>
      <c r="V20" s="141">
        <v>8</v>
      </c>
      <c r="W20" s="141">
        <v>8</v>
      </c>
      <c r="X20" s="141"/>
      <c r="Y20" s="141">
        <v>8</v>
      </c>
      <c r="Z20" s="141">
        <v>8</v>
      </c>
      <c r="AA20" s="141">
        <v>8</v>
      </c>
      <c r="AB20" s="141">
        <v>8</v>
      </c>
      <c r="AC20" s="141">
        <v>8</v>
      </c>
      <c r="AD20" s="141">
        <v>8</v>
      </c>
      <c r="AE20" s="141"/>
      <c r="AF20" s="141">
        <v>8</v>
      </c>
      <c r="AG20" s="141">
        <v>8</v>
      </c>
      <c r="AH20" s="141">
        <v>8</v>
      </c>
      <c r="AI20" s="141">
        <v>8</v>
      </c>
      <c r="AJ20" s="141">
        <v>8</v>
      </c>
      <c r="AK20" s="259">
        <f t="shared" ref="AK20" si="14">((SUM(F20:AJ20))/8)-(SUMIF($F$6:$AJ$6,"C.Nhật",F20:AJ20)/8)</f>
        <v>27</v>
      </c>
      <c r="AL20" s="259">
        <f t="shared" ref="AL20" si="15">SUM(F21:AJ21)/8*1.5</f>
        <v>0</v>
      </c>
      <c r="AM20" s="262">
        <f>SUMIF($F$6:$AJ$6,"C.Nhật",$F20:$AJ21)/8*2</f>
        <v>0</v>
      </c>
      <c r="AN20" s="264">
        <f t="shared" ref="AN20" si="16">SUM(AK20:AM21)</f>
        <v>27</v>
      </c>
      <c r="AO20" s="266">
        <v>0</v>
      </c>
      <c r="AP20" s="264"/>
      <c r="AQ20" s="264"/>
      <c r="AR20" s="264"/>
      <c r="AS20" s="268"/>
      <c r="AT20" s="22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5" customFormat="1" ht="18" customHeight="1">
      <c r="A21" s="254"/>
      <c r="B21" s="254"/>
      <c r="C21" s="256"/>
      <c r="D21" s="258"/>
      <c r="E21" s="67" t="s">
        <v>31</v>
      </c>
      <c r="F21" s="142"/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142"/>
      <c r="AA21" s="142"/>
      <c r="AB21" s="142"/>
      <c r="AC21" s="142"/>
      <c r="AD21" s="142"/>
      <c r="AE21" s="142"/>
      <c r="AF21" s="142"/>
      <c r="AG21" s="142"/>
      <c r="AH21" s="142"/>
      <c r="AI21" s="142"/>
      <c r="AJ21" s="142"/>
      <c r="AK21" s="260"/>
      <c r="AL21" s="260"/>
      <c r="AM21" s="263"/>
      <c r="AN21" s="265"/>
      <c r="AO21" s="267"/>
      <c r="AP21" s="265"/>
      <c r="AQ21" s="265"/>
      <c r="AR21" s="265"/>
      <c r="AS21" s="269"/>
      <c r="AT21" s="22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5" customFormat="1" ht="18" customHeight="1">
      <c r="A22" s="253">
        <v>4</v>
      </c>
      <c r="B22" s="253" t="s">
        <v>176</v>
      </c>
      <c r="C22" s="255" t="str">
        <f>VLOOKUP(B22,DS,2,0)</f>
        <v>Dương Thế Kiệt</v>
      </c>
      <c r="D22" s="257" t="str">
        <f>VLOOKUP(B22,DS,3,0)</f>
        <v>Công Đoạn 1</v>
      </c>
      <c r="E22" s="66" t="s">
        <v>32</v>
      </c>
      <c r="F22" s="141">
        <v>8</v>
      </c>
      <c r="G22" s="141">
        <v>8</v>
      </c>
      <c r="H22" s="141">
        <v>8</v>
      </c>
      <c r="I22" s="141">
        <v>8</v>
      </c>
      <c r="J22" s="141"/>
      <c r="K22" s="141">
        <v>8</v>
      </c>
      <c r="L22" s="141">
        <v>8</v>
      </c>
      <c r="M22" s="141">
        <v>8</v>
      </c>
      <c r="N22" s="141">
        <v>8</v>
      </c>
      <c r="O22" s="141">
        <v>8</v>
      </c>
      <c r="P22" s="141">
        <v>8</v>
      </c>
      <c r="Q22" s="141"/>
      <c r="R22" s="141">
        <v>8</v>
      </c>
      <c r="S22" s="141">
        <v>8</v>
      </c>
      <c r="T22" s="141">
        <v>8</v>
      </c>
      <c r="U22" s="141">
        <v>8</v>
      </c>
      <c r="V22" s="141">
        <v>8</v>
      </c>
      <c r="W22" s="141">
        <v>8</v>
      </c>
      <c r="X22" s="141"/>
      <c r="Y22" s="141">
        <v>8</v>
      </c>
      <c r="Z22" s="141">
        <v>8</v>
      </c>
      <c r="AA22" s="141">
        <v>8</v>
      </c>
      <c r="AB22" s="141">
        <v>8</v>
      </c>
      <c r="AC22" s="141">
        <v>8</v>
      </c>
      <c r="AD22" s="141">
        <v>8</v>
      </c>
      <c r="AE22" s="141"/>
      <c r="AF22" s="141">
        <v>8</v>
      </c>
      <c r="AG22" s="141">
        <v>8</v>
      </c>
      <c r="AH22" s="141">
        <v>8</v>
      </c>
      <c r="AI22" s="141">
        <v>8</v>
      </c>
      <c r="AJ22" s="141">
        <v>8</v>
      </c>
      <c r="AK22" s="259">
        <f t="shared" ref="AK22" si="17">((SUM(F22:AJ22))/8)-(SUMIF($F$6:$AJ$6,"C.Nhật",F22:AJ22)/8)</f>
        <v>27</v>
      </c>
      <c r="AL22" s="259">
        <f t="shared" ref="AL22" si="18">SUM(F23:AJ23)/8*1.5</f>
        <v>0</v>
      </c>
      <c r="AM22" s="262">
        <f>SUMIF($F$6:$AJ$6,"C.Nhật",$F22:$AJ23)/8*2</f>
        <v>0</v>
      </c>
      <c r="AN22" s="264">
        <f t="shared" ref="AN22" si="19">SUM(AK22:AM23)</f>
        <v>27</v>
      </c>
      <c r="AO22" s="266">
        <v>0</v>
      </c>
      <c r="AP22" s="264"/>
      <c r="AQ22" s="264"/>
      <c r="AR22" s="264"/>
      <c r="AS22" s="268"/>
      <c r="AT22" s="22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5" customFormat="1" ht="18" customHeight="1">
      <c r="A23" s="254"/>
      <c r="B23" s="254"/>
      <c r="C23" s="256"/>
      <c r="D23" s="258"/>
      <c r="E23" s="67" t="s">
        <v>31</v>
      </c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  <c r="AA23" s="142"/>
      <c r="AB23" s="142"/>
      <c r="AC23" s="142"/>
      <c r="AD23" s="142"/>
      <c r="AE23" s="142"/>
      <c r="AF23" s="142"/>
      <c r="AG23" s="142"/>
      <c r="AH23" s="142"/>
      <c r="AI23" s="142"/>
      <c r="AJ23" s="142"/>
      <c r="AK23" s="260"/>
      <c r="AL23" s="260"/>
      <c r="AM23" s="263"/>
      <c r="AN23" s="265"/>
      <c r="AO23" s="267"/>
      <c r="AP23" s="265"/>
      <c r="AQ23" s="265"/>
      <c r="AR23" s="265"/>
      <c r="AS23" s="269"/>
      <c r="AT23" s="22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5" customFormat="1" ht="18" customHeight="1">
      <c r="A24" s="253">
        <v>5</v>
      </c>
      <c r="B24" s="253" t="s">
        <v>177</v>
      </c>
      <c r="C24" s="255" t="str">
        <f>VLOOKUP(B24,DS,2,0)</f>
        <v>Lê Văn Hữu</v>
      </c>
      <c r="D24" s="257" t="str">
        <f>VLOOKUP(B24,DS,3,0)</f>
        <v>Công Đoạn 2</v>
      </c>
      <c r="E24" s="66" t="s">
        <v>32</v>
      </c>
      <c r="F24" s="141">
        <v>8</v>
      </c>
      <c r="G24" s="141">
        <v>8</v>
      </c>
      <c r="H24" s="141">
        <v>8</v>
      </c>
      <c r="I24" s="141">
        <v>8</v>
      </c>
      <c r="J24" s="141"/>
      <c r="K24" s="141">
        <v>8</v>
      </c>
      <c r="L24" s="141">
        <v>8</v>
      </c>
      <c r="M24" s="141">
        <v>8</v>
      </c>
      <c r="N24" s="141">
        <v>8</v>
      </c>
      <c r="O24" s="141">
        <v>8</v>
      </c>
      <c r="P24" s="141">
        <v>8</v>
      </c>
      <c r="Q24" s="141"/>
      <c r="R24" s="141">
        <v>8</v>
      </c>
      <c r="S24" s="141">
        <v>8</v>
      </c>
      <c r="T24" s="141">
        <v>8</v>
      </c>
      <c r="U24" s="141">
        <v>8</v>
      </c>
      <c r="V24" s="141">
        <v>8</v>
      </c>
      <c r="W24" s="141">
        <v>8</v>
      </c>
      <c r="X24" s="141"/>
      <c r="Y24" s="141">
        <v>8</v>
      </c>
      <c r="Z24" s="141">
        <v>8</v>
      </c>
      <c r="AA24" s="141">
        <v>8</v>
      </c>
      <c r="AB24" s="141">
        <v>8</v>
      </c>
      <c r="AC24" s="141">
        <v>8</v>
      </c>
      <c r="AD24" s="141">
        <v>8</v>
      </c>
      <c r="AE24" s="141"/>
      <c r="AF24" s="141">
        <v>8</v>
      </c>
      <c r="AG24" s="141">
        <v>8</v>
      </c>
      <c r="AH24" s="141">
        <v>8</v>
      </c>
      <c r="AI24" s="141">
        <v>8</v>
      </c>
      <c r="AJ24" s="141">
        <v>8</v>
      </c>
      <c r="AK24" s="259">
        <f t="shared" ref="AK24" si="20">((SUM(F24:AJ24))/8)-(SUMIF($F$6:$AJ$6,"C.Nhật",F24:AJ24)/8)</f>
        <v>27</v>
      </c>
      <c r="AL24" s="259">
        <f t="shared" ref="AL24" si="21">SUM(F25:AJ25)/8*1.5</f>
        <v>0</v>
      </c>
      <c r="AM24" s="262">
        <f>SUMIF($F$6:$AJ$6,"C.Nhật",$F24:$AJ25)/8*2</f>
        <v>0</v>
      </c>
      <c r="AN24" s="264">
        <f t="shared" ref="AN24" si="22">SUM(AK24:AM25)</f>
        <v>27</v>
      </c>
      <c r="AO24" s="266">
        <v>0</v>
      </c>
      <c r="AP24" s="264"/>
      <c r="AQ24" s="264"/>
      <c r="AR24" s="264"/>
      <c r="AS24" s="268"/>
      <c r="AT24" s="22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5" customFormat="1" ht="18" customHeight="1">
      <c r="A25" s="254"/>
      <c r="B25" s="254"/>
      <c r="C25" s="256"/>
      <c r="D25" s="258"/>
      <c r="E25" s="67" t="s">
        <v>31</v>
      </c>
      <c r="F25" s="142"/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  <c r="AA25" s="142"/>
      <c r="AB25" s="142"/>
      <c r="AC25" s="142"/>
      <c r="AD25" s="142"/>
      <c r="AE25" s="142"/>
      <c r="AF25" s="142"/>
      <c r="AG25" s="142"/>
      <c r="AH25" s="142"/>
      <c r="AI25" s="142"/>
      <c r="AJ25" s="142"/>
      <c r="AK25" s="260"/>
      <c r="AL25" s="260"/>
      <c r="AM25" s="263"/>
      <c r="AN25" s="265"/>
      <c r="AO25" s="267"/>
      <c r="AP25" s="265"/>
      <c r="AQ25" s="265"/>
      <c r="AR25" s="265"/>
      <c r="AS25" s="269"/>
      <c r="AT25" s="22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5" customFormat="1" ht="18" customHeight="1">
      <c r="A26" s="253">
        <v>6</v>
      </c>
      <c r="B26" s="253" t="s">
        <v>178</v>
      </c>
      <c r="C26" s="255" t="str">
        <f>VLOOKUP(B26,DS,2,0)</f>
        <v>Bùi Trường Giang</v>
      </c>
      <c r="D26" s="257" t="str">
        <f>VLOOKUP(B26,DS,3,0)</f>
        <v>Công Đoạn 2</v>
      </c>
      <c r="E26" s="66" t="s">
        <v>32</v>
      </c>
      <c r="F26" s="141">
        <v>8</v>
      </c>
      <c r="G26" s="141">
        <v>8</v>
      </c>
      <c r="H26" s="141">
        <v>8</v>
      </c>
      <c r="I26" s="141">
        <v>8</v>
      </c>
      <c r="J26" s="141"/>
      <c r="K26" s="141">
        <v>8</v>
      </c>
      <c r="L26" s="141">
        <v>8</v>
      </c>
      <c r="M26" s="141">
        <v>8</v>
      </c>
      <c r="N26" s="141">
        <v>8</v>
      </c>
      <c r="O26" s="141">
        <v>8</v>
      </c>
      <c r="P26" s="141">
        <v>8</v>
      </c>
      <c r="Q26" s="141"/>
      <c r="R26" s="141">
        <v>8</v>
      </c>
      <c r="S26" s="141">
        <v>8</v>
      </c>
      <c r="T26" s="141">
        <v>8</v>
      </c>
      <c r="U26" s="141">
        <v>8</v>
      </c>
      <c r="V26" s="141">
        <v>8</v>
      </c>
      <c r="W26" s="141">
        <v>8</v>
      </c>
      <c r="X26" s="141"/>
      <c r="Y26" s="141">
        <v>8</v>
      </c>
      <c r="Z26" s="141">
        <v>8</v>
      </c>
      <c r="AA26" s="141">
        <v>8</v>
      </c>
      <c r="AB26" s="141">
        <v>8</v>
      </c>
      <c r="AC26" s="141">
        <v>8</v>
      </c>
      <c r="AD26" s="141">
        <v>8</v>
      </c>
      <c r="AE26" s="141"/>
      <c r="AF26" s="141">
        <v>8</v>
      </c>
      <c r="AG26" s="141">
        <v>8</v>
      </c>
      <c r="AH26" s="141">
        <v>8</v>
      </c>
      <c r="AI26" s="141">
        <v>8</v>
      </c>
      <c r="AJ26" s="141">
        <v>8</v>
      </c>
      <c r="AK26" s="259">
        <f t="shared" ref="AK26" si="23">((SUM(F26:AJ26))/8)-(SUMIF($F$6:$AJ$6,"C.Nhật",F26:AJ26)/8)</f>
        <v>27</v>
      </c>
      <c r="AL26" s="259">
        <f t="shared" ref="AL26" si="24">SUM(F27:AJ27)/8*1.5</f>
        <v>0</v>
      </c>
      <c r="AM26" s="262">
        <f>SUMIF($F$6:$AJ$6,"C.Nhật",$F26:$AJ27)/8*2</f>
        <v>0</v>
      </c>
      <c r="AN26" s="264">
        <f t="shared" ref="AN26" si="25">SUM(AK26:AM27)</f>
        <v>27</v>
      </c>
      <c r="AO26" s="266">
        <v>0</v>
      </c>
      <c r="AP26" s="264"/>
      <c r="AQ26" s="264"/>
      <c r="AR26" s="264"/>
      <c r="AS26" s="268"/>
      <c r="AT26" s="219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5" customFormat="1" ht="18" customHeight="1">
      <c r="A27" s="254"/>
      <c r="B27" s="254"/>
      <c r="C27" s="256"/>
      <c r="D27" s="258"/>
      <c r="E27" s="67" t="s">
        <v>31</v>
      </c>
      <c r="F27" s="142"/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142"/>
      <c r="Z27" s="142"/>
      <c r="AA27" s="142"/>
      <c r="AB27" s="142"/>
      <c r="AC27" s="142"/>
      <c r="AD27" s="142"/>
      <c r="AE27" s="142"/>
      <c r="AF27" s="142"/>
      <c r="AG27" s="142"/>
      <c r="AH27" s="142"/>
      <c r="AI27" s="142"/>
      <c r="AJ27" s="142"/>
      <c r="AK27" s="260"/>
      <c r="AL27" s="260"/>
      <c r="AM27" s="263"/>
      <c r="AN27" s="265"/>
      <c r="AO27" s="267"/>
      <c r="AP27" s="265"/>
      <c r="AQ27" s="265"/>
      <c r="AR27" s="265"/>
      <c r="AS27" s="269"/>
      <c r="AT27" s="219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5" customFormat="1" ht="18" customHeight="1">
      <c r="A28" s="253">
        <v>7</v>
      </c>
      <c r="B28" s="253" t="s">
        <v>179</v>
      </c>
      <c r="C28" s="255" t="str">
        <f>VLOOKUP(B28,DS,2,0)</f>
        <v>Nguyễn T Bích Thủy</v>
      </c>
      <c r="D28" s="257" t="str">
        <f>VLOOKUP(B28,DS,3,0)</f>
        <v>Công Đoạn 2</v>
      </c>
      <c r="E28" s="66" t="s">
        <v>32</v>
      </c>
      <c r="F28" s="141">
        <v>8</v>
      </c>
      <c r="G28" s="141">
        <v>8</v>
      </c>
      <c r="H28" s="141">
        <v>8</v>
      </c>
      <c r="I28" s="141">
        <v>8</v>
      </c>
      <c r="J28" s="141"/>
      <c r="K28" s="141">
        <v>8</v>
      </c>
      <c r="L28" s="141">
        <v>8</v>
      </c>
      <c r="M28" s="141">
        <v>8</v>
      </c>
      <c r="N28" s="141">
        <v>8</v>
      </c>
      <c r="O28" s="141">
        <v>8</v>
      </c>
      <c r="P28" s="141">
        <v>8</v>
      </c>
      <c r="Q28" s="141"/>
      <c r="R28" s="141">
        <v>8</v>
      </c>
      <c r="S28" s="141">
        <v>8</v>
      </c>
      <c r="T28" s="141">
        <v>8</v>
      </c>
      <c r="U28" s="141">
        <v>8</v>
      </c>
      <c r="V28" s="141">
        <v>8</v>
      </c>
      <c r="W28" s="141">
        <v>8</v>
      </c>
      <c r="X28" s="141"/>
      <c r="Y28" s="141">
        <v>8</v>
      </c>
      <c r="Z28" s="141">
        <v>8</v>
      </c>
      <c r="AA28" s="141">
        <v>8</v>
      </c>
      <c r="AB28" s="141">
        <v>8</v>
      </c>
      <c r="AC28" s="141">
        <v>8</v>
      </c>
      <c r="AD28" s="141">
        <v>8</v>
      </c>
      <c r="AE28" s="141"/>
      <c r="AF28" s="141">
        <v>8</v>
      </c>
      <c r="AG28" s="141">
        <v>8</v>
      </c>
      <c r="AH28" s="141">
        <v>8</v>
      </c>
      <c r="AI28" s="141">
        <v>8</v>
      </c>
      <c r="AJ28" s="141">
        <v>8</v>
      </c>
      <c r="AK28" s="259">
        <f t="shared" ref="AK28" si="26">((SUM(F28:AJ28))/8)-(SUMIF($F$6:$AJ$6,"C.Nhật",F28:AJ28)/8)</f>
        <v>27</v>
      </c>
      <c r="AL28" s="259">
        <f t="shared" ref="AL28" si="27">SUM(F29:AJ29)/8*1.5</f>
        <v>0</v>
      </c>
      <c r="AM28" s="262">
        <f>SUMIF($F$6:$AJ$6,"C.Nhật",$F28:$AJ29)/8*2</f>
        <v>0</v>
      </c>
      <c r="AN28" s="264">
        <f t="shared" ref="AN28" si="28">SUM(AK28:AM29)</f>
        <v>27</v>
      </c>
      <c r="AO28" s="266">
        <v>0</v>
      </c>
      <c r="AP28" s="264"/>
      <c r="AQ28" s="264"/>
      <c r="AR28" s="264"/>
      <c r="AS28" s="268"/>
      <c r="AT28" s="219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5" customFormat="1" ht="18" customHeight="1">
      <c r="A29" s="254"/>
      <c r="B29" s="254"/>
      <c r="C29" s="256"/>
      <c r="D29" s="258"/>
      <c r="E29" s="67" t="s">
        <v>31</v>
      </c>
      <c r="F29" s="142"/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  <c r="Y29" s="142"/>
      <c r="Z29" s="142"/>
      <c r="AA29" s="142"/>
      <c r="AB29" s="142"/>
      <c r="AC29" s="142"/>
      <c r="AD29" s="142"/>
      <c r="AE29" s="142"/>
      <c r="AF29" s="142"/>
      <c r="AG29" s="142"/>
      <c r="AH29" s="142"/>
      <c r="AI29" s="142"/>
      <c r="AJ29" s="142"/>
      <c r="AK29" s="260"/>
      <c r="AL29" s="260"/>
      <c r="AM29" s="263"/>
      <c r="AN29" s="265"/>
      <c r="AO29" s="267"/>
      <c r="AP29" s="265"/>
      <c r="AQ29" s="265"/>
      <c r="AR29" s="265"/>
      <c r="AS29" s="269"/>
      <c r="AT29" s="219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8" customFormat="1" ht="12.75">
      <c r="A30" s="14"/>
      <c r="B30" s="69"/>
      <c r="C30" s="4"/>
      <c r="D30" s="111"/>
      <c r="E30" s="4"/>
      <c r="F30" s="73"/>
      <c r="G30" s="73"/>
      <c r="H30" s="70"/>
      <c r="I30" s="70"/>
      <c r="J30" s="118"/>
      <c r="K30" s="73"/>
      <c r="L30" s="70"/>
      <c r="M30" s="73"/>
      <c r="N30" s="73"/>
      <c r="O30" s="73"/>
      <c r="P30" s="73"/>
      <c r="Q30" s="70"/>
      <c r="R30" s="73"/>
      <c r="S30" s="73"/>
      <c r="T30" s="118"/>
      <c r="U30" s="73"/>
      <c r="V30" s="73"/>
      <c r="W30" s="73"/>
      <c r="X30" s="69"/>
      <c r="Y30" s="73"/>
      <c r="Z30" s="73"/>
      <c r="AA30" s="73"/>
      <c r="AB30" s="73"/>
      <c r="AC30" s="73"/>
      <c r="AD30" s="70"/>
      <c r="AE30" s="73"/>
      <c r="AF30" s="73"/>
      <c r="AG30" s="73"/>
      <c r="AH30" s="73"/>
      <c r="AI30" s="73"/>
      <c r="AJ30" s="73"/>
      <c r="AK30" s="4"/>
      <c r="AL30" s="4"/>
      <c r="AM30" s="96"/>
      <c r="AN30" s="72"/>
      <c r="AO30" s="72"/>
      <c r="AP30" s="72"/>
      <c r="AQ30" s="72"/>
      <c r="AR30" s="72"/>
      <c r="AS30" s="4"/>
      <c r="AT30" s="102"/>
    </row>
    <row r="31" spans="1:90" s="68" customFormat="1" ht="12.75">
      <c r="A31" s="14"/>
      <c r="B31" s="69"/>
      <c r="C31" s="14" t="s">
        <v>14</v>
      </c>
      <c r="D31" s="111"/>
      <c r="E31" s="4"/>
      <c r="F31" s="73"/>
      <c r="G31" s="73"/>
      <c r="H31" s="70"/>
      <c r="I31" s="70"/>
      <c r="J31" s="118"/>
      <c r="K31" s="73"/>
      <c r="L31" s="70"/>
      <c r="M31" s="73"/>
      <c r="N31" s="73"/>
      <c r="O31" s="73"/>
      <c r="P31" s="73"/>
      <c r="Q31" s="70"/>
      <c r="R31" s="73"/>
      <c r="S31" s="73"/>
      <c r="T31" s="118"/>
      <c r="U31" s="73"/>
      <c r="V31" s="73"/>
      <c r="W31" s="73"/>
      <c r="X31" s="69"/>
      <c r="Y31" s="73"/>
      <c r="Z31" s="73"/>
      <c r="AA31" s="73"/>
      <c r="AB31" s="73"/>
      <c r="AC31" s="73"/>
      <c r="AD31" s="70"/>
      <c r="AE31" s="73"/>
      <c r="AF31" s="73"/>
      <c r="AG31" s="73"/>
      <c r="AH31" s="73"/>
      <c r="AI31" s="73"/>
      <c r="AJ31" s="73"/>
      <c r="AK31" s="4"/>
      <c r="AL31" s="4"/>
      <c r="AM31" s="96"/>
      <c r="AN31" s="72"/>
      <c r="AO31" s="72"/>
      <c r="AP31" s="72"/>
      <c r="AQ31" s="72"/>
      <c r="AR31" s="72"/>
      <c r="AS31" s="4"/>
      <c r="AT31" s="102"/>
    </row>
    <row r="32" spans="1:90" s="68" customFormat="1" ht="12.75">
      <c r="A32" s="12"/>
      <c r="B32" s="12"/>
      <c r="C32" s="4"/>
      <c r="D32" s="111"/>
      <c r="E32" s="4"/>
      <c r="F32" s="73"/>
      <c r="G32" s="73"/>
      <c r="H32" s="119"/>
      <c r="I32" s="119"/>
      <c r="J32" s="119"/>
      <c r="K32" s="73"/>
      <c r="L32" s="119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119"/>
      <c r="AE32" s="73"/>
      <c r="AF32" s="73"/>
      <c r="AG32" s="73"/>
      <c r="AH32" s="73"/>
      <c r="AI32" s="73"/>
      <c r="AJ32" s="73"/>
      <c r="AK32" s="4"/>
      <c r="AL32" s="4"/>
      <c r="AM32" s="96"/>
      <c r="AN32" s="74"/>
      <c r="AO32" s="74"/>
      <c r="AP32" s="74"/>
      <c r="AQ32" s="74"/>
      <c r="AR32" s="74"/>
      <c r="AS32" s="4"/>
      <c r="AT32" s="102"/>
    </row>
    <row r="33" spans="1:46" s="71" customFormat="1" ht="15" customHeight="1">
      <c r="A33" s="12"/>
      <c r="B33" s="12"/>
      <c r="C33" s="4"/>
      <c r="D33" s="111"/>
      <c r="E33" s="4"/>
      <c r="F33" s="73"/>
      <c r="G33" s="73"/>
      <c r="H33" s="119"/>
      <c r="I33" s="119"/>
      <c r="J33" s="119"/>
      <c r="K33" s="73"/>
      <c r="L33" s="119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119"/>
      <c r="AE33" s="73"/>
      <c r="AF33" s="73"/>
      <c r="AG33" s="73"/>
      <c r="AH33" s="73"/>
      <c r="AI33" s="73"/>
      <c r="AJ33" s="73"/>
      <c r="AK33" s="4"/>
      <c r="AL33" s="4"/>
      <c r="AM33" s="96"/>
      <c r="AN33" s="74"/>
      <c r="AO33" s="74"/>
      <c r="AP33" s="74"/>
      <c r="AQ33" s="74"/>
      <c r="AR33" s="74"/>
      <c r="AS33" s="4"/>
      <c r="AT33" s="4"/>
    </row>
    <row r="34" spans="1:46" s="71" customFormat="1" ht="11.25">
      <c r="A34" s="12"/>
      <c r="B34" s="12"/>
      <c r="C34" s="4"/>
      <c r="D34" s="111"/>
      <c r="E34" s="4"/>
      <c r="F34" s="73"/>
      <c r="G34" s="73"/>
      <c r="H34" s="119"/>
      <c r="I34" s="119"/>
      <c r="J34" s="119"/>
      <c r="K34" s="73"/>
      <c r="L34" s="119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119"/>
      <c r="AE34" s="73"/>
      <c r="AF34" s="73"/>
      <c r="AG34" s="73"/>
      <c r="AH34" s="73"/>
      <c r="AI34" s="73"/>
      <c r="AJ34" s="73"/>
      <c r="AK34" s="4"/>
      <c r="AL34" s="4"/>
      <c r="AM34" s="96"/>
      <c r="AN34" s="74"/>
      <c r="AO34" s="74"/>
      <c r="AP34" s="74"/>
      <c r="AQ34" s="74"/>
      <c r="AR34" s="74"/>
      <c r="AS34" s="4"/>
      <c r="AT34" s="4"/>
    </row>
    <row r="35" spans="1:46" s="71" customFormat="1" ht="11.25">
      <c r="A35" s="12"/>
      <c r="B35" s="12"/>
      <c r="C35" s="4"/>
      <c r="D35" s="111"/>
      <c r="E35" s="4"/>
      <c r="F35" s="73"/>
      <c r="G35" s="73"/>
      <c r="H35" s="119"/>
      <c r="I35" s="119"/>
      <c r="J35" s="119"/>
      <c r="K35" s="73"/>
      <c r="L35" s="119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119"/>
      <c r="AE35" s="73"/>
      <c r="AF35" s="73"/>
      <c r="AG35" s="73"/>
      <c r="AH35" s="73"/>
      <c r="AI35" s="73"/>
      <c r="AJ35" s="73"/>
      <c r="AK35" s="4"/>
      <c r="AL35" s="4"/>
      <c r="AM35" s="96"/>
      <c r="AN35" s="74"/>
      <c r="AO35" s="74"/>
      <c r="AP35" s="74"/>
      <c r="AQ35" s="74"/>
      <c r="AR35" s="74"/>
      <c r="AS35" s="4"/>
      <c r="AT35" s="4"/>
    </row>
    <row r="36" spans="1:46" s="71" customFormat="1" ht="11.25">
      <c r="A36" s="10"/>
      <c r="B36" s="10"/>
      <c r="C36" s="14"/>
      <c r="D36" s="112"/>
      <c r="E36" s="75"/>
      <c r="F36" s="118"/>
      <c r="G36" s="120"/>
      <c r="H36" s="70"/>
      <c r="I36" s="70"/>
      <c r="J36" s="70"/>
      <c r="K36" s="120"/>
      <c r="L36" s="70"/>
      <c r="M36" s="120"/>
      <c r="N36" s="120"/>
      <c r="O36" s="120"/>
      <c r="P36" s="120"/>
      <c r="Q36" s="70"/>
      <c r="R36" s="118"/>
      <c r="S36" s="120"/>
      <c r="T36" s="120"/>
      <c r="U36" s="70"/>
      <c r="V36" s="120"/>
      <c r="W36" s="120"/>
      <c r="X36" s="70"/>
      <c r="Y36" s="120"/>
      <c r="Z36" s="120"/>
      <c r="AA36" s="120"/>
      <c r="AB36" s="120"/>
      <c r="AC36" s="120"/>
      <c r="AD36" s="70"/>
      <c r="AE36" s="120"/>
      <c r="AF36" s="120"/>
      <c r="AG36" s="120"/>
      <c r="AH36" s="120"/>
      <c r="AI36" s="120"/>
      <c r="AJ36" s="120"/>
      <c r="AK36" s="75"/>
      <c r="AM36" s="97"/>
      <c r="AN36" s="10"/>
      <c r="AO36" s="10"/>
      <c r="AP36" s="10"/>
      <c r="AQ36" s="10"/>
      <c r="AR36" s="10"/>
      <c r="AS36" s="14"/>
      <c r="AT36" s="4"/>
    </row>
    <row r="37" spans="1:46" s="71" customFormat="1" ht="12.75">
      <c r="A37" s="2"/>
      <c r="B37" s="2" t="s">
        <v>0</v>
      </c>
      <c r="C37" s="2"/>
      <c r="D37" s="196"/>
      <c r="E37" s="2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2"/>
      <c r="AI37" s="122"/>
      <c r="AJ37" s="122"/>
      <c r="AK37" s="2"/>
      <c r="AL37" s="2"/>
      <c r="AM37" s="98"/>
      <c r="AN37" s="2"/>
      <c r="AO37" s="2"/>
      <c r="AP37" s="2"/>
      <c r="AQ37" s="2"/>
      <c r="AR37" s="2"/>
      <c r="AS37" s="2"/>
      <c r="AT37" s="4"/>
    </row>
    <row r="38" spans="1:46" s="71" customFormat="1" ht="12.75">
      <c r="A38" s="2"/>
      <c r="B38" s="2"/>
      <c r="C38" s="2" t="s">
        <v>46</v>
      </c>
      <c r="D38" s="196"/>
      <c r="E38" s="2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1"/>
      <c r="AD38" s="121"/>
      <c r="AE38" s="121"/>
      <c r="AF38" s="121"/>
      <c r="AG38" s="121"/>
      <c r="AH38" s="122"/>
      <c r="AI38" s="122"/>
      <c r="AJ38" s="122"/>
      <c r="AK38" s="2"/>
      <c r="AL38" s="2"/>
      <c r="AM38" s="98"/>
      <c r="AN38" s="2"/>
      <c r="AO38" s="2"/>
      <c r="AP38" s="2"/>
      <c r="AQ38" s="2"/>
      <c r="AR38" s="2"/>
      <c r="AS38" s="2"/>
      <c r="AT38" s="14"/>
    </row>
    <row r="39" spans="1:46" ht="15" customHeight="1">
      <c r="C39" s="2" t="s">
        <v>47</v>
      </c>
    </row>
    <row r="40" spans="1:46" ht="15" customHeight="1">
      <c r="C40" s="2" t="s">
        <v>48</v>
      </c>
    </row>
    <row r="41" spans="1:46" ht="15" customHeight="1">
      <c r="C41" s="2" t="s">
        <v>49</v>
      </c>
    </row>
    <row r="42" spans="1:46" ht="15" customHeight="1">
      <c r="C42" s="2" t="s">
        <v>50</v>
      </c>
    </row>
    <row r="43" spans="1:46" ht="15" customHeight="1">
      <c r="C43" s="2" t="s">
        <v>51</v>
      </c>
    </row>
    <row r="44" spans="1:46" ht="15" customHeight="1">
      <c r="C44" s="2" t="s">
        <v>52</v>
      </c>
    </row>
    <row r="45" spans="1:46" ht="15" customHeight="1">
      <c r="C45" s="2" t="s">
        <v>53</v>
      </c>
    </row>
    <row r="46" spans="1:46" ht="15" customHeight="1">
      <c r="C46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2:J35 Q30:Q31" name="Range1_1_1_1"/>
    <protectedRange password="CC78" sqref="J36" name="Range1_3_1_1"/>
    <protectedRange password="CC78" sqref="A16:A29" name="Range1_1_2"/>
    <protectedRange password="CC78" sqref="C16:E29 A16:A29" name="Range1_6_2"/>
    <protectedRange password="CC78" sqref="B16:B29" name="Range1_4_2"/>
  </protectedRanges>
  <mergeCells count="144">
    <mergeCell ref="D20:D21"/>
    <mergeCell ref="AK20:AK21"/>
    <mergeCell ref="AS24:AS25"/>
    <mergeCell ref="A24:A25"/>
    <mergeCell ref="B24:B25"/>
    <mergeCell ref="C24:C25"/>
    <mergeCell ref="D24:D25"/>
    <mergeCell ref="AK24:AK25"/>
    <mergeCell ref="AO18:AO19"/>
    <mergeCell ref="AP18:AP19"/>
    <mergeCell ref="AQ18:AQ19"/>
    <mergeCell ref="AR18:AR19"/>
    <mergeCell ref="AS18:AS19"/>
    <mergeCell ref="A18:A19"/>
    <mergeCell ref="B18:B19"/>
    <mergeCell ref="C18:C19"/>
    <mergeCell ref="D18:D19"/>
    <mergeCell ref="AK18:AK19"/>
    <mergeCell ref="AS20:AS21"/>
    <mergeCell ref="AN20:AN21"/>
    <mergeCell ref="AO20:AO21"/>
    <mergeCell ref="AP20:AP21"/>
    <mergeCell ref="AQ20:AQ21"/>
    <mergeCell ref="AR20:AR21"/>
    <mergeCell ref="A20:A21"/>
    <mergeCell ref="B20:B21"/>
    <mergeCell ref="AR11:AR12"/>
    <mergeCell ref="AS11:AS12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P22:AP23"/>
    <mergeCell ref="AQ22:AQ23"/>
    <mergeCell ref="AR22:AR23"/>
    <mergeCell ref="AS22:AS23"/>
    <mergeCell ref="AL11:AL12"/>
    <mergeCell ref="AM11:AM12"/>
    <mergeCell ref="AN11:AN12"/>
    <mergeCell ref="AO11:AO12"/>
    <mergeCell ref="AP11:AP12"/>
    <mergeCell ref="A11:A12"/>
    <mergeCell ref="B11:B12"/>
    <mergeCell ref="C11:C12"/>
    <mergeCell ref="C20:C21"/>
    <mergeCell ref="AP28:AP29"/>
    <mergeCell ref="AQ28:AQ29"/>
    <mergeCell ref="AR28:AR29"/>
    <mergeCell ref="AS28:AS29"/>
    <mergeCell ref="D11:D12"/>
    <mergeCell ref="AK11:AK12"/>
    <mergeCell ref="AO26:AO27"/>
    <mergeCell ref="AP26:AP27"/>
    <mergeCell ref="A26:A27"/>
    <mergeCell ref="B26:B27"/>
    <mergeCell ref="C26:C27"/>
    <mergeCell ref="AQ26:AQ27"/>
    <mergeCell ref="AR26:AR27"/>
    <mergeCell ref="AO16:AO17"/>
    <mergeCell ref="AP16:AP17"/>
    <mergeCell ref="AQ16:AQ17"/>
    <mergeCell ref="AR16:AR17"/>
    <mergeCell ref="A16:A17"/>
    <mergeCell ref="B16:B17"/>
    <mergeCell ref="C16:C17"/>
    <mergeCell ref="AP13:AP14"/>
    <mergeCell ref="AQ13:AQ14"/>
    <mergeCell ref="AR13:AR14"/>
    <mergeCell ref="AQ11:AQ12"/>
    <mergeCell ref="A28:A29"/>
    <mergeCell ref="B28:B29"/>
    <mergeCell ref="C28:C29"/>
    <mergeCell ref="D28:D29"/>
    <mergeCell ref="AK28:AK29"/>
    <mergeCell ref="AL28:AL29"/>
    <mergeCell ref="AM28:AM29"/>
    <mergeCell ref="AN28:AN29"/>
    <mergeCell ref="AO28:AO29"/>
    <mergeCell ref="AS16:AS17"/>
    <mergeCell ref="AL16:AL17"/>
    <mergeCell ref="AM16:AM17"/>
    <mergeCell ref="AN16:AN17"/>
    <mergeCell ref="D26:D27"/>
    <mergeCell ref="AK26:AK27"/>
    <mergeCell ref="AL26:AL27"/>
    <mergeCell ref="AM26:AM27"/>
    <mergeCell ref="AN26:AN27"/>
    <mergeCell ref="AL24:AL25"/>
    <mergeCell ref="AM24:AM25"/>
    <mergeCell ref="AN24:AN25"/>
    <mergeCell ref="AL18:AL19"/>
    <mergeCell ref="AM18:AM19"/>
    <mergeCell ref="AN18:AN19"/>
    <mergeCell ref="AL20:AL21"/>
    <mergeCell ref="AM20:AM21"/>
    <mergeCell ref="D16:D17"/>
    <mergeCell ref="AK16:AK17"/>
    <mergeCell ref="AS26:AS27"/>
    <mergeCell ref="AO24:AO25"/>
    <mergeCell ref="AP24:AP25"/>
    <mergeCell ref="AQ24:AQ25"/>
    <mergeCell ref="AR24:AR25"/>
    <mergeCell ref="AS13:AS14"/>
    <mergeCell ref="AL13:AL14"/>
    <mergeCell ref="AM13:AM14"/>
    <mergeCell ref="AN13:AN14"/>
    <mergeCell ref="AO13:AO14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13:A14"/>
    <mergeCell ref="B13:B14"/>
    <mergeCell ref="C13:C14"/>
    <mergeCell ref="D13:D14"/>
    <mergeCell ref="AK13:AK14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0 F13:AJ14">
    <cfRule type="expression" dxfId="90" priority="38" stopIfTrue="1">
      <formula>IF(WEEKDAY(F$5)=1,TRUE,FALSE)</formula>
    </cfRule>
  </conditionalFormatting>
  <conditionalFormatting sqref="F9:AJ10 F13:AJ14">
    <cfRule type="expression" dxfId="89" priority="37" stopIfTrue="1">
      <formula>IF(WEEKDAY(F$5)=1,TRUE,FALSE)</formula>
    </cfRule>
  </conditionalFormatting>
  <conditionalFormatting sqref="F16:AJ17 F26:AJ29">
    <cfRule type="expression" dxfId="88" priority="8" stopIfTrue="1">
      <formula>IF(WEEKDAY(F$5)=1,TRUE,FALSE)</formula>
    </cfRule>
  </conditionalFormatting>
  <conditionalFormatting sqref="F16:AJ17 F26:AJ29">
    <cfRule type="expression" dxfId="87" priority="7" stopIfTrue="1">
      <formula>IF(WEEKDAY(F$5)=1,TRUE,FALSE)</formula>
    </cfRule>
  </conditionalFormatting>
  <conditionalFormatting sqref="F11:AJ12">
    <cfRule type="expression" dxfId="86" priority="6" stopIfTrue="1">
      <formula>IF(WEEKDAY(F$5)=1,TRUE,FALSE)</formula>
    </cfRule>
  </conditionalFormatting>
  <conditionalFormatting sqref="F11:AJ12">
    <cfRule type="expression" dxfId="85" priority="5" stopIfTrue="1">
      <formula>IF(WEEKDAY(F$5)=1,TRUE,FALSE)</formula>
    </cfRule>
  </conditionalFormatting>
  <conditionalFormatting sqref="F22:AJ25">
    <cfRule type="expression" dxfId="84" priority="4" stopIfTrue="1">
      <formula>IF(WEEKDAY(F$5)=1,TRUE,FALSE)</formula>
    </cfRule>
  </conditionalFormatting>
  <conditionalFormatting sqref="F22:AJ25">
    <cfRule type="expression" dxfId="83" priority="3" stopIfTrue="1">
      <formula>IF(WEEKDAY(F$5)=1,TRUE,FALSE)</formula>
    </cfRule>
  </conditionalFormatting>
  <conditionalFormatting sqref="F18:AJ21">
    <cfRule type="expression" dxfId="82" priority="2" stopIfTrue="1">
      <formula>IF(WEEKDAY(F$5)=1,TRUE,FALSE)</formula>
    </cfRule>
  </conditionalFormatting>
  <conditionalFormatting sqref="F18:AJ21">
    <cfRule type="expression" dxfId="81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5"/>
  <sheetViews>
    <sheetView zoomScaleNormal="70" workbookViewId="0">
      <pane xSplit="3" ySplit="8" topLeftCell="D21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S24" activeCellId="1" sqref="S14 S24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9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7"/>
      <c r="B1" s="200"/>
      <c r="C1" s="200"/>
      <c r="D1" s="270" t="str">
        <f>"BẢNG THANH TOÁN LƯƠNG THÁNG"&amp;" "&amp;TEXT($E$4,"mm")&amp;" / "&amp;TEXT($E$4,"yyyy")</f>
        <v>BẢNG THANH TOÁN LƯƠNG THÁNG 07 / 2015</v>
      </c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1"/>
      <c r="R1" s="272" t="s">
        <v>170</v>
      </c>
      <c r="S1" s="273"/>
      <c r="T1" s="274"/>
      <c r="U1" s="128" t="s">
        <v>58</v>
      </c>
      <c r="V1" s="108" t="s">
        <v>37</v>
      </c>
      <c r="W1" s="81"/>
      <c r="X1" s="81"/>
      <c r="Y1" s="5"/>
      <c r="Z1" s="5"/>
    </row>
    <row r="2" spans="1:31" s="4" customFormat="1" ht="15" customHeight="1">
      <c r="A2" s="137"/>
      <c r="B2" s="200"/>
      <c r="C2" s="200"/>
      <c r="D2" s="200"/>
      <c r="E2" s="79"/>
      <c r="F2" s="200"/>
      <c r="G2" s="200"/>
      <c r="H2" s="200"/>
      <c r="I2" s="200"/>
      <c r="J2" s="80"/>
      <c r="K2" s="200"/>
      <c r="L2" s="200"/>
      <c r="M2" s="200"/>
      <c r="N2" s="200"/>
      <c r="O2" s="200"/>
      <c r="P2" s="200"/>
      <c r="Q2" s="200"/>
      <c r="R2" s="200"/>
      <c r="S2" s="200"/>
      <c r="T2" s="57"/>
      <c r="U2" s="78">
        <f>MAX(F10:F24)</f>
        <v>27</v>
      </c>
      <c r="V2" s="109">
        <v>31</v>
      </c>
      <c r="W2" s="81"/>
      <c r="X2" s="81"/>
      <c r="Y2" s="5"/>
      <c r="Z2" s="5"/>
    </row>
    <row r="3" spans="1:31" s="4" customFormat="1" ht="15" customHeight="1">
      <c r="A3" s="137"/>
      <c r="B3" s="200"/>
      <c r="C3" s="200"/>
      <c r="D3" s="200"/>
      <c r="E3" s="79"/>
      <c r="F3" s="200"/>
      <c r="G3" s="200"/>
      <c r="H3" s="200"/>
      <c r="I3" s="200"/>
      <c r="J3" s="80"/>
      <c r="K3" s="200"/>
      <c r="L3" s="200"/>
      <c r="M3" s="200"/>
      <c r="N3" s="200"/>
      <c r="O3" s="200"/>
      <c r="P3" s="200"/>
      <c r="Q3" s="200"/>
      <c r="R3" s="200"/>
      <c r="S3" s="200"/>
      <c r="T3" s="57"/>
      <c r="U3" s="129"/>
      <c r="V3" s="130"/>
      <c r="W3" s="81"/>
      <c r="X3" s="81"/>
      <c r="Y3" s="5"/>
      <c r="Z3" s="5"/>
    </row>
    <row r="4" spans="1:31" s="103" customFormat="1" ht="14.25" customHeight="1">
      <c r="A4" s="101"/>
      <c r="B4" s="102"/>
      <c r="C4" s="102"/>
      <c r="D4" s="102"/>
      <c r="E4" s="187">
        <f>'CC -7'!$E$4</f>
        <v>42186</v>
      </c>
      <c r="F4" s="102"/>
      <c r="G4" s="102"/>
      <c r="H4" s="102"/>
      <c r="I4" s="102"/>
      <c r="J4" s="102"/>
      <c r="K4" s="102"/>
      <c r="L4" s="102"/>
      <c r="M4" s="102"/>
      <c r="N4" s="160">
        <v>0.08</v>
      </c>
      <c r="O4" s="160">
        <v>1.4999999999999999E-2</v>
      </c>
      <c r="P4" s="160">
        <v>0.01</v>
      </c>
      <c r="Q4" s="102"/>
      <c r="R4" s="102"/>
      <c r="S4" s="102"/>
      <c r="T4" s="102"/>
      <c r="U4" s="102"/>
      <c r="V4" s="104"/>
      <c r="W4" s="104"/>
      <c r="X4" s="104"/>
      <c r="Y4" s="104"/>
      <c r="Z4" s="104"/>
    </row>
    <row r="5" spans="1:31" s="26" customFormat="1" ht="24" customHeight="1">
      <c r="A5" s="275" t="s">
        <v>19</v>
      </c>
      <c r="B5" s="275" t="s">
        <v>20</v>
      </c>
      <c r="C5" s="238" t="s">
        <v>1</v>
      </c>
      <c r="D5" s="238" t="s">
        <v>2</v>
      </c>
      <c r="E5" s="241" t="s">
        <v>56</v>
      </c>
      <c r="F5" s="278" t="s">
        <v>26</v>
      </c>
      <c r="G5" s="279"/>
      <c r="H5" s="279"/>
      <c r="I5" s="279"/>
      <c r="J5" s="279"/>
      <c r="K5" s="280"/>
      <c r="L5" s="277" t="s">
        <v>57</v>
      </c>
      <c r="M5" s="277" t="s">
        <v>5</v>
      </c>
      <c r="N5" s="238" t="s">
        <v>6</v>
      </c>
      <c r="O5" s="238"/>
      <c r="P5" s="238"/>
      <c r="Q5" s="277" t="s">
        <v>7</v>
      </c>
      <c r="R5" s="277" t="s">
        <v>8</v>
      </c>
      <c r="S5" s="277" t="s">
        <v>9</v>
      </c>
      <c r="T5" s="239" t="s">
        <v>10</v>
      </c>
      <c r="U5" s="102"/>
      <c r="V5" s="27"/>
      <c r="W5" s="27"/>
      <c r="X5" s="5"/>
      <c r="Y5" s="5"/>
      <c r="Z5" s="5"/>
      <c r="AA5" s="4"/>
      <c r="AB5" s="4"/>
      <c r="AC5" s="4"/>
      <c r="AD5" s="4"/>
      <c r="AE5" s="4"/>
    </row>
    <row r="6" spans="1:31" s="26" customFormat="1" ht="33.75" customHeight="1">
      <c r="A6" s="276"/>
      <c r="B6" s="276"/>
      <c r="C6" s="238"/>
      <c r="D6" s="238"/>
      <c r="E6" s="241"/>
      <c r="F6" s="278" t="s">
        <v>59</v>
      </c>
      <c r="G6" s="280"/>
      <c r="H6" s="278" t="s">
        <v>157</v>
      </c>
      <c r="I6" s="279"/>
      <c r="J6" s="284" t="s">
        <v>27</v>
      </c>
      <c r="K6" s="277" t="s">
        <v>4</v>
      </c>
      <c r="L6" s="281"/>
      <c r="M6" s="281"/>
      <c r="N6" s="286" t="s">
        <v>12</v>
      </c>
      <c r="O6" s="277" t="s">
        <v>13</v>
      </c>
      <c r="P6" s="277" t="s">
        <v>34</v>
      </c>
      <c r="Q6" s="281"/>
      <c r="R6" s="281"/>
      <c r="S6" s="281"/>
      <c r="T6" s="240"/>
      <c r="U6" s="102"/>
      <c r="V6" s="27"/>
      <c r="W6" s="27"/>
      <c r="X6" s="5"/>
      <c r="Y6" s="5"/>
      <c r="Z6" s="5"/>
      <c r="AA6" s="4"/>
      <c r="AB6" s="4"/>
      <c r="AC6" s="4"/>
      <c r="AD6" s="4"/>
      <c r="AE6" s="4"/>
    </row>
    <row r="7" spans="1:31" s="26" customFormat="1" ht="35.25" customHeight="1">
      <c r="A7" s="276"/>
      <c r="B7" s="276"/>
      <c r="C7" s="277"/>
      <c r="D7" s="277"/>
      <c r="E7" s="241"/>
      <c r="F7" s="199" t="s">
        <v>40</v>
      </c>
      <c r="G7" s="197" t="s">
        <v>18</v>
      </c>
      <c r="H7" s="199" t="s">
        <v>40</v>
      </c>
      <c r="I7" s="126" t="s">
        <v>18</v>
      </c>
      <c r="J7" s="285"/>
      <c r="K7" s="281"/>
      <c r="L7" s="282"/>
      <c r="M7" s="282"/>
      <c r="N7" s="287"/>
      <c r="O7" s="281"/>
      <c r="P7" s="281"/>
      <c r="Q7" s="281"/>
      <c r="R7" s="281"/>
      <c r="S7" s="281"/>
      <c r="T7" s="240"/>
      <c r="U7" s="102"/>
      <c r="V7" s="27"/>
      <c r="W7" s="27"/>
      <c r="X7" s="5"/>
      <c r="Y7" s="5"/>
      <c r="Z7" s="5"/>
      <c r="AA7" s="4"/>
      <c r="AB7" s="4"/>
      <c r="AC7" s="4"/>
      <c r="AD7" s="4"/>
      <c r="AE7" s="4"/>
    </row>
    <row r="8" spans="1:31" s="83" customFormat="1" ht="12.75" customHeight="1">
      <c r="A8" s="82">
        <v>1</v>
      </c>
      <c r="B8" s="82">
        <v>2</v>
      </c>
      <c r="C8" s="82">
        <v>3</v>
      </c>
      <c r="D8" s="82">
        <v>4</v>
      </c>
      <c r="E8" s="82">
        <v>5</v>
      </c>
      <c r="F8" s="82">
        <v>7</v>
      </c>
      <c r="G8" s="82">
        <v>8</v>
      </c>
      <c r="H8" s="82">
        <v>9</v>
      </c>
      <c r="I8" s="82">
        <v>10</v>
      </c>
      <c r="J8" s="82">
        <v>13</v>
      </c>
      <c r="K8" s="82">
        <v>14</v>
      </c>
      <c r="L8" s="82">
        <v>16</v>
      </c>
      <c r="M8" s="82">
        <v>17</v>
      </c>
      <c r="N8" s="82">
        <v>18</v>
      </c>
      <c r="O8" s="82">
        <v>19</v>
      </c>
      <c r="P8" s="82">
        <v>20</v>
      </c>
      <c r="Q8" s="82">
        <v>21</v>
      </c>
      <c r="R8" s="82">
        <v>22</v>
      </c>
      <c r="S8" s="82">
        <v>23</v>
      </c>
      <c r="T8" s="82">
        <v>24</v>
      </c>
      <c r="U8" s="102"/>
      <c r="V8" s="84"/>
      <c r="W8" s="84"/>
      <c r="X8" s="85"/>
      <c r="Y8" s="85"/>
      <c r="Z8" s="85"/>
      <c r="AA8" s="86"/>
      <c r="AB8" s="86"/>
      <c r="AC8" s="86"/>
      <c r="AD8" s="86"/>
      <c r="AE8" s="86"/>
    </row>
    <row r="9" spans="1:31" s="83" customFormat="1" ht="24" customHeight="1">
      <c r="A9" s="186" t="s">
        <v>154</v>
      </c>
      <c r="B9" s="185" t="s">
        <v>171</v>
      </c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02"/>
      <c r="V9" s="84"/>
      <c r="W9" s="84"/>
      <c r="X9" s="85"/>
      <c r="Y9" s="85"/>
      <c r="Z9" s="85"/>
      <c r="AA9" s="86"/>
      <c r="AB9" s="86"/>
      <c r="AC9" s="86"/>
      <c r="AD9" s="86"/>
      <c r="AE9" s="86"/>
    </row>
    <row r="10" spans="1:31" s="35" customFormat="1" ht="24" customHeight="1">
      <c r="A10" s="37">
        <v>1</v>
      </c>
      <c r="B10" s="139" t="s">
        <v>159</v>
      </c>
      <c r="C10" s="87" t="str">
        <f t="shared" ref="C10:C12" si="0">VLOOKUP(B10,DS,2,0)</f>
        <v>Nguyễn Thị Thu Sương</v>
      </c>
      <c r="D10" s="114" t="str">
        <f t="shared" ref="D10:D12" si="1">VLOOKUP(B10,DS,3,0)</f>
        <v>Kinh Doanh</v>
      </c>
      <c r="E10" s="88">
        <f t="shared" ref="E10:E12" si="2">VLOOKUP(B10,DS,4,0)</f>
        <v>5000000</v>
      </c>
      <c r="F10" s="90">
        <f>VLOOKUP(B10,'CC -7'!$B$8:$AS$29,36,0)</f>
        <v>27</v>
      </c>
      <c r="G10" s="143">
        <f t="shared" ref="G10:G12" si="3">ROUND(E10/$U$2*F10,0)</f>
        <v>5000000</v>
      </c>
      <c r="H10" s="90">
        <f>(VLOOKUP(B10,'CC -7'!$B$8:$AS$29,37,0)+VLOOKUP(B10,'CC -7'!$B$8:$AS$29,38,0))</f>
        <v>0</v>
      </c>
      <c r="I10" s="143">
        <f t="shared" ref="I10:I12" si="4">ROUND(E10/$U$2*H10,0)</f>
        <v>0</v>
      </c>
      <c r="J10" s="91">
        <f t="shared" ref="J10:K12" si="5">F10+H10</f>
        <v>27</v>
      </c>
      <c r="K10" s="38">
        <f>G10+I10</f>
        <v>5000000</v>
      </c>
      <c r="L10" s="88">
        <f t="shared" ref="L10:L12" si="6">+F10*15000</f>
        <v>405000</v>
      </c>
      <c r="M10" s="39">
        <f t="shared" ref="M10:M12" si="7">K10+L10</f>
        <v>5405000</v>
      </c>
      <c r="N10" s="39">
        <f>IF(VLOOKUP(B10,DS,9,0)="x",E10*$N$4,0)</f>
        <v>0</v>
      </c>
      <c r="O10" s="39">
        <f>IF(VLOOKUP(B10,DS,9,0)="x",E10*$O$4,0)</f>
        <v>0</v>
      </c>
      <c r="P10" s="39">
        <f>IF(VLOOKUP(B10,DS,9,0)="x",E10*$P$4,0)</f>
        <v>0</v>
      </c>
      <c r="Q10" s="38">
        <f t="shared" ref="Q10:Q12" si="8">M10-SUM(N10:P10)</f>
        <v>5405000</v>
      </c>
      <c r="R10" s="38">
        <f>VLOOKUP(B10,DS,23,0)</f>
        <v>0</v>
      </c>
      <c r="S10" s="44">
        <f t="shared" ref="S10:S12" si="9">Q10-R10</f>
        <v>5405000</v>
      </c>
      <c r="T10" s="38"/>
      <c r="U10" s="102"/>
      <c r="V10" s="36"/>
      <c r="W10" s="27"/>
      <c r="X10" s="5"/>
      <c r="Y10" s="5"/>
      <c r="Z10" s="5"/>
      <c r="AA10" s="4"/>
      <c r="AB10" s="4"/>
      <c r="AC10" s="4"/>
      <c r="AD10" s="4"/>
      <c r="AE10" s="4"/>
    </row>
    <row r="11" spans="1:31" s="35" customFormat="1" ht="24" customHeight="1">
      <c r="A11" s="37">
        <v>2</v>
      </c>
      <c r="B11" s="139" t="s">
        <v>160</v>
      </c>
      <c r="C11" s="87" t="str">
        <f t="shared" ref="C11" si="10">VLOOKUP(B11,DS,2,0)</f>
        <v>Trần Anh Nhựt</v>
      </c>
      <c r="D11" s="114" t="str">
        <f t="shared" ref="D11" si="11">VLOOKUP(B11,DS,3,0)</f>
        <v>Thiết Kế</v>
      </c>
      <c r="E11" s="88">
        <f t="shared" ref="E11" si="12">VLOOKUP(B11,DS,4,0)</f>
        <v>5000000</v>
      </c>
      <c r="F11" s="90">
        <f>VLOOKUP(B11,'CC -7'!$B$8:$AS$29,36,0)</f>
        <v>27</v>
      </c>
      <c r="G11" s="143">
        <f t="shared" ref="G11" si="13">ROUND(E11/$U$2*F11,0)</f>
        <v>5000000</v>
      </c>
      <c r="H11" s="90">
        <f>(VLOOKUP(B11,'CC -7'!$B$8:$AS$29,37,0)+VLOOKUP(B11,'CC -7'!$B$8:$AS$29,38,0))</f>
        <v>0</v>
      </c>
      <c r="I11" s="143">
        <f t="shared" ref="I11" si="14">ROUND(E11/$U$2*H11,0)</f>
        <v>0</v>
      </c>
      <c r="J11" s="91">
        <f t="shared" ref="J11" si="15">F11+H11</f>
        <v>27</v>
      </c>
      <c r="K11" s="38">
        <f t="shared" ref="K11" si="16">G11+I11</f>
        <v>5000000</v>
      </c>
      <c r="L11" s="88">
        <f t="shared" ref="L11" si="17">+F11*15000</f>
        <v>405000</v>
      </c>
      <c r="M11" s="39">
        <f t="shared" ref="M11" si="18">K11+L11</f>
        <v>5405000</v>
      </c>
      <c r="N11" s="39">
        <f>IF(VLOOKUP(B11,DS,9,0)="x",E11*$N$4,0)</f>
        <v>0</v>
      </c>
      <c r="O11" s="39">
        <f>IF(VLOOKUP(B11,DS,9,0)="x",E11*$O$4,0)</f>
        <v>0</v>
      </c>
      <c r="P11" s="39">
        <f>IF(VLOOKUP(B11,DS,9,0)="x",E11*$P$4,0)</f>
        <v>0</v>
      </c>
      <c r="Q11" s="38">
        <f t="shared" ref="Q11" si="19">M11-SUM(N11:P11)</f>
        <v>5405000</v>
      </c>
      <c r="R11" s="38">
        <f>VLOOKUP(B11,DS,23,0)</f>
        <v>0</v>
      </c>
      <c r="S11" s="44">
        <f t="shared" ref="S11" si="20">Q11-R11</f>
        <v>5405000</v>
      </c>
      <c r="T11" s="38"/>
      <c r="U11" s="102"/>
      <c r="V11" s="36"/>
      <c r="W11" s="27"/>
      <c r="X11" s="5"/>
      <c r="Y11" s="5"/>
      <c r="Z11" s="5"/>
      <c r="AA11" s="4"/>
      <c r="AB11" s="4"/>
      <c r="AC11" s="4"/>
      <c r="AD11" s="4"/>
      <c r="AE11" s="4"/>
    </row>
    <row r="12" spans="1:31" s="35" customFormat="1" ht="24" customHeight="1">
      <c r="A12" s="37">
        <v>3</v>
      </c>
      <c r="B12" s="139" t="s">
        <v>168</v>
      </c>
      <c r="C12" s="87" t="str">
        <f t="shared" si="0"/>
        <v>Huỳnh Minh Toàn</v>
      </c>
      <c r="D12" s="114" t="str">
        <f t="shared" si="1"/>
        <v>Thủ Kho</v>
      </c>
      <c r="E12" s="88">
        <f t="shared" si="2"/>
        <v>5500000</v>
      </c>
      <c r="F12" s="90">
        <f>VLOOKUP(B12,'CC -7'!$B$8:$AS$29,36,0)</f>
        <v>27</v>
      </c>
      <c r="G12" s="143">
        <f t="shared" si="3"/>
        <v>5500000</v>
      </c>
      <c r="H12" s="90">
        <f>(VLOOKUP(B12,'CC -7'!$B$8:$AS$29,37,0)+VLOOKUP(B12,'CC -7'!$B$8:$AS$29,38,0))</f>
        <v>0</v>
      </c>
      <c r="I12" s="143">
        <f t="shared" si="4"/>
        <v>0</v>
      </c>
      <c r="J12" s="91">
        <f t="shared" si="5"/>
        <v>27</v>
      </c>
      <c r="K12" s="38">
        <f t="shared" si="5"/>
        <v>5500000</v>
      </c>
      <c r="L12" s="88">
        <f t="shared" si="6"/>
        <v>405000</v>
      </c>
      <c r="M12" s="39">
        <f t="shared" si="7"/>
        <v>5905000</v>
      </c>
      <c r="N12" s="39">
        <f>IF(VLOOKUP(B12,DS,9,0)="x",E12*$N$4,0)</f>
        <v>0</v>
      </c>
      <c r="O12" s="39">
        <f>IF(VLOOKUP(B12,DS,9,0)="x",E12*$O$4,0)</f>
        <v>0</v>
      </c>
      <c r="P12" s="39">
        <f>IF(VLOOKUP(B12,DS,9,0)="x",E12*$P$4,0)</f>
        <v>0</v>
      </c>
      <c r="Q12" s="38">
        <f t="shared" si="8"/>
        <v>5905000</v>
      </c>
      <c r="R12" s="38">
        <f>VLOOKUP(B12,DS,23,0)</f>
        <v>0</v>
      </c>
      <c r="S12" s="44">
        <f t="shared" si="9"/>
        <v>5905000</v>
      </c>
      <c r="T12" s="38"/>
      <c r="U12" s="102"/>
      <c r="V12" s="36"/>
      <c r="W12" s="27"/>
      <c r="X12" s="5"/>
      <c r="Y12" s="5"/>
      <c r="Z12" s="5"/>
      <c r="AA12" s="4"/>
      <c r="AB12" s="4"/>
      <c r="AC12" s="4"/>
      <c r="AD12" s="4"/>
      <c r="AE12" s="4"/>
    </row>
    <row r="13" spans="1:31" s="35" customFormat="1" ht="24" customHeight="1">
      <c r="A13" s="201"/>
      <c r="B13" s="202"/>
      <c r="C13" s="203"/>
      <c r="D13" s="204"/>
      <c r="E13" s="205"/>
      <c r="F13" s="206"/>
      <c r="G13" s="207"/>
      <c r="H13" s="206"/>
      <c r="I13" s="207"/>
      <c r="J13" s="208"/>
      <c r="K13" s="209"/>
      <c r="L13" s="205"/>
      <c r="M13" s="210"/>
      <c r="N13" s="210"/>
      <c r="O13" s="210"/>
      <c r="P13" s="210"/>
      <c r="Q13" s="209"/>
      <c r="R13" s="209"/>
      <c r="S13" s="211"/>
      <c r="T13" s="209"/>
      <c r="U13" s="102"/>
      <c r="V13" s="36"/>
      <c r="W13" s="27"/>
      <c r="X13" s="5"/>
      <c r="Y13" s="5"/>
      <c r="Z13" s="5"/>
      <c r="AA13" s="4"/>
      <c r="AB13" s="4"/>
      <c r="AC13" s="4"/>
      <c r="AD13" s="4"/>
      <c r="AE13" s="4"/>
    </row>
    <row r="14" spans="1:31" s="31" customFormat="1" ht="21" customHeight="1">
      <c r="A14" s="283" t="s">
        <v>25</v>
      </c>
      <c r="B14" s="283"/>
      <c r="C14" s="283"/>
      <c r="D14" s="283"/>
      <c r="E14" s="138">
        <f>SUM(E9:E12)</f>
        <v>15500000</v>
      </c>
      <c r="F14" s="138"/>
      <c r="G14" s="138">
        <f>SUM(G9:G12)</f>
        <v>15500000</v>
      </c>
      <c r="H14" s="138"/>
      <c r="I14" s="138">
        <f>SUM(I9:I12)</f>
        <v>0</v>
      </c>
      <c r="J14" s="138"/>
      <c r="K14" s="138">
        <f t="shared" ref="K14:S14" si="21">SUM(K9:K12)</f>
        <v>15500000</v>
      </c>
      <c r="L14" s="138">
        <f t="shared" si="21"/>
        <v>1215000</v>
      </c>
      <c r="M14" s="138">
        <f t="shared" si="21"/>
        <v>16715000</v>
      </c>
      <c r="N14" s="138">
        <f t="shared" si="21"/>
        <v>0</v>
      </c>
      <c r="O14" s="138">
        <f t="shared" si="21"/>
        <v>0</v>
      </c>
      <c r="P14" s="138">
        <f t="shared" si="21"/>
        <v>0</v>
      </c>
      <c r="Q14" s="138">
        <f t="shared" si="21"/>
        <v>16715000</v>
      </c>
      <c r="R14" s="138">
        <f t="shared" si="21"/>
        <v>0</v>
      </c>
      <c r="S14" s="138">
        <f t="shared" si="21"/>
        <v>16715000</v>
      </c>
      <c r="T14" s="25"/>
      <c r="U14" s="102"/>
      <c r="V14" s="32"/>
      <c r="W14" s="32"/>
      <c r="X14" s="32"/>
      <c r="Y14" s="32"/>
      <c r="Z14" s="32"/>
    </row>
    <row r="15" spans="1:31" s="83" customFormat="1" ht="24" customHeight="1">
      <c r="A15" s="186" t="s">
        <v>155</v>
      </c>
      <c r="B15" s="185" t="s">
        <v>156</v>
      </c>
      <c r="C15" s="184"/>
      <c r="D15" s="184"/>
      <c r="E15" s="184"/>
      <c r="F15" s="184"/>
      <c r="G15" s="184"/>
      <c r="H15" s="184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02"/>
      <c r="V15" s="84"/>
      <c r="W15" s="84"/>
      <c r="X15" s="85"/>
      <c r="Y15" s="85"/>
      <c r="Z15" s="85"/>
      <c r="AA15" s="86"/>
      <c r="AB15" s="86"/>
      <c r="AC15" s="86"/>
      <c r="AD15" s="86"/>
      <c r="AE15" s="86"/>
    </row>
    <row r="16" spans="1:31" s="35" customFormat="1" ht="24" customHeight="1">
      <c r="A16" s="37">
        <v>1</v>
      </c>
      <c r="B16" s="139" t="s">
        <v>161</v>
      </c>
      <c r="C16" s="87" t="str">
        <f t="shared" ref="C16:C20" si="22">VLOOKUP(B16,DS,2,0)</f>
        <v>Nguyễn Trường Giang</v>
      </c>
      <c r="D16" s="114" t="str">
        <f t="shared" ref="D16:D20" si="23">VLOOKUP(B16,DS,3,0)</f>
        <v>Thợ in</v>
      </c>
      <c r="E16" s="88">
        <f t="shared" ref="E16:E20" si="24">VLOOKUP(B16,DS,4,0)</f>
        <v>5000000</v>
      </c>
      <c r="F16" s="90">
        <f>VLOOKUP(B16,'CC -7'!$B$8:$AS$29,36,0)</f>
        <v>27</v>
      </c>
      <c r="G16" s="143">
        <f t="shared" ref="G16:G20" si="25">ROUND(E16/$U$2*F16,0)</f>
        <v>5000000</v>
      </c>
      <c r="H16" s="90">
        <f>(VLOOKUP(B16,'CC -7'!$B$8:$AS$29,37,0)+VLOOKUP(B16,'CC -7'!$B$8:$AS$29,38,0))</f>
        <v>0</v>
      </c>
      <c r="I16" s="143">
        <f t="shared" ref="I16:I20" si="26">ROUND(E16/$U$2*H16,0)</f>
        <v>0</v>
      </c>
      <c r="J16" s="144">
        <f t="shared" ref="J16:K20" si="27">F16+H16</f>
        <v>27</v>
      </c>
      <c r="K16" s="38">
        <f t="shared" si="27"/>
        <v>5000000</v>
      </c>
      <c r="L16" s="88">
        <f t="shared" ref="L16:L20" si="28">+F16*15000</f>
        <v>405000</v>
      </c>
      <c r="M16" s="39">
        <f t="shared" ref="M16:M20" si="29">K16+L16</f>
        <v>5405000</v>
      </c>
      <c r="N16" s="39">
        <f>IF(VLOOKUP(B16,DS,9,0)="x",'L - 7'!E16*$N$4,0)</f>
        <v>0</v>
      </c>
      <c r="O16" s="39">
        <f t="shared" ref="O16:O20" si="30">IF(VLOOKUP(B16,DS,9,0)="x",E16*0.015,0)</f>
        <v>0</v>
      </c>
      <c r="P16" s="39">
        <f t="shared" ref="P16:P20" si="31">IF(VLOOKUP(B16,DS,9,0)="x",E16*0.01,0)</f>
        <v>0</v>
      </c>
      <c r="Q16" s="38">
        <f>M16-SUM(N16:P16)</f>
        <v>5405000</v>
      </c>
      <c r="R16" s="38">
        <f t="shared" ref="R16:R20" si="32">VLOOKUP(B16,DS,23,0)</f>
        <v>0</v>
      </c>
      <c r="S16" s="44">
        <f>Q16-R16</f>
        <v>5405000</v>
      </c>
      <c r="T16" s="38"/>
      <c r="U16" s="102"/>
      <c r="V16" s="36"/>
      <c r="W16" s="27"/>
      <c r="X16" s="5"/>
      <c r="Y16" s="5"/>
      <c r="Z16" s="5"/>
      <c r="AA16" s="4"/>
      <c r="AB16" s="4"/>
      <c r="AC16" s="4"/>
      <c r="AD16" s="4"/>
      <c r="AE16" s="4"/>
    </row>
    <row r="17" spans="1:31" s="35" customFormat="1" ht="24" customHeight="1">
      <c r="A17" s="37">
        <v>2</v>
      </c>
      <c r="B17" s="139" t="s">
        <v>162</v>
      </c>
      <c r="C17" s="87" t="str">
        <f t="shared" ref="C17:C18" si="33">VLOOKUP(B17,DS,2,0)</f>
        <v>Võ Văn Kiệt</v>
      </c>
      <c r="D17" s="114" t="str">
        <f t="shared" ref="D17:D18" si="34">VLOOKUP(B17,DS,3,0)</f>
        <v>Công Đoạn 1</v>
      </c>
      <c r="E17" s="88">
        <f t="shared" ref="E17:E18" si="35">VLOOKUP(B17,DS,4,0)</f>
        <v>5000000</v>
      </c>
      <c r="F17" s="90">
        <f>VLOOKUP(B17,'CC -7'!$B$8:$AS$29,36,0)</f>
        <v>27</v>
      </c>
      <c r="G17" s="143">
        <f t="shared" ref="G17:G18" si="36">ROUND(E17/$U$2*F17,0)</f>
        <v>5000000</v>
      </c>
      <c r="H17" s="90">
        <f>(VLOOKUP(B17,'CC -7'!$B$8:$AS$29,37,0)+VLOOKUP(B17,'CC -7'!$B$8:$AS$29,38,0))</f>
        <v>0</v>
      </c>
      <c r="I17" s="143">
        <f t="shared" ref="I17:I18" si="37">ROUND(E17/$U$2*H17,0)</f>
        <v>0</v>
      </c>
      <c r="J17" s="144">
        <f t="shared" ref="J17:J18" si="38">F17+H17</f>
        <v>27</v>
      </c>
      <c r="K17" s="38">
        <f t="shared" ref="K17:K18" si="39">G17+I17</f>
        <v>5000000</v>
      </c>
      <c r="L17" s="88">
        <f t="shared" ref="L17:L18" si="40">+F17*15000</f>
        <v>405000</v>
      </c>
      <c r="M17" s="39">
        <f t="shared" ref="M17:M18" si="41">K17+L17</f>
        <v>5405000</v>
      </c>
      <c r="N17" s="39">
        <f>IF(VLOOKUP(B17,DS,9,0)="x",'L - 7'!E17*$N$4,0)</f>
        <v>0</v>
      </c>
      <c r="O17" s="39">
        <f t="shared" ref="O17:O18" si="42">IF(VLOOKUP(B17,DS,9,0)="x",E17*0.015,0)</f>
        <v>0</v>
      </c>
      <c r="P17" s="39">
        <f t="shared" ref="P17:P18" si="43">IF(VLOOKUP(B17,DS,9,0)="x",E17*0.01,0)</f>
        <v>0</v>
      </c>
      <c r="Q17" s="38">
        <f t="shared" ref="Q17:Q18" si="44">M17-SUM(N17:P17)</f>
        <v>5405000</v>
      </c>
      <c r="R17" s="38">
        <f t="shared" ref="R17:R18" si="45">VLOOKUP(B17,DS,23,0)</f>
        <v>0</v>
      </c>
      <c r="S17" s="44">
        <f t="shared" ref="S17:S18" si="46">Q17-R17</f>
        <v>5405000</v>
      </c>
      <c r="T17" s="38"/>
      <c r="U17" s="102"/>
      <c r="V17" s="36"/>
      <c r="W17" s="27"/>
      <c r="X17" s="5"/>
      <c r="Y17" s="5"/>
      <c r="Z17" s="5"/>
      <c r="AA17" s="4"/>
      <c r="AB17" s="4"/>
      <c r="AC17" s="4"/>
      <c r="AD17" s="4"/>
      <c r="AE17" s="4"/>
    </row>
    <row r="18" spans="1:31" s="35" customFormat="1" ht="24" customHeight="1">
      <c r="A18" s="37">
        <v>3</v>
      </c>
      <c r="B18" s="139" t="s">
        <v>163</v>
      </c>
      <c r="C18" s="87" t="str">
        <f t="shared" si="33"/>
        <v>Diệp Văn Lân</v>
      </c>
      <c r="D18" s="114" t="str">
        <f t="shared" si="34"/>
        <v>Công Đoạn 1</v>
      </c>
      <c r="E18" s="88">
        <f t="shared" si="35"/>
        <v>4200000</v>
      </c>
      <c r="F18" s="90">
        <f>VLOOKUP(B18,'CC -7'!$B$8:$AS$29,36,0)</f>
        <v>27</v>
      </c>
      <c r="G18" s="143">
        <f t="shared" si="36"/>
        <v>4200000</v>
      </c>
      <c r="H18" s="90">
        <f>(VLOOKUP(B18,'CC -7'!$B$8:$AS$29,37,0)+VLOOKUP(B18,'CC -7'!$B$8:$AS$29,38,0))</f>
        <v>0</v>
      </c>
      <c r="I18" s="143">
        <f t="shared" si="37"/>
        <v>0</v>
      </c>
      <c r="J18" s="144">
        <f t="shared" si="38"/>
        <v>27</v>
      </c>
      <c r="K18" s="38">
        <f t="shared" si="39"/>
        <v>4200000</v>
      </c>
      <c r="L18" s="88">
        <f t="shared" si="40"/>
        <v>405000</v>
      </c>
      <c r="M18" s="39">
        <f t="shared" si="41"/>
        <v>4605000</v>
      </c>
      <c r="N18" s="39">
        <f>IF(VLOOKUP(B18,DS,9,0)="x",'L - 7'!E18*$N$4,0)</f>
        <v>0</v>
      </c>
      <c r="O18" s="39">
        <f t="shared" si="42"/>
        <v>0</v>
      </c>
      <c r="P18" s="39">
        <f t="shared" si="43"/>
        <v>0</v>
      </c>
      <c r="Q18" s="38">
        <f t="shared" si="44"/>
        <v>4605000</v>
      </c>
      <c r="R18" s="38">
        <f t="shared" si="45"/>
        <v>0</v>
      </c>
      <c r="S18" s="44">
        <f t="shared" si="46"/>
        <v>4605000</v>
      </c>
      <c r="T18" s="38"/>
      <c r="U18" s="102"/>
      <c r="V18" s="36"/>
      <c r="W18" s="27"/>
      <c r="X18" s="5"/>
      <c r="Y18" s="5"/>
      <c r="Z18" s="5"/>
      <c r="AA18" s="4"/>
      <c r="AB18" s="4"/>
      <c r="AC18" s="4"/>
      <c r="AD18" s="4"/>
      <c r="AE18" s="4"/>
    </row>
    <row r="19" spans="1:31" s="35" customFormat="1" ht="24" customHeight="1">
      <c r="A19" s="37">
        <v>4</v>
      </c>
      <c r="B19" s="139" t="s">
        <v>176</v>
      </c>
      <c r="C19" s="87" t="str">
        <f t="shared" si="22"/>
        <v>Dương Thế Kiệt</v>
      </c>
      <c r="D19" s="114" t="str">
        <f t="shared" si="23"/>
        <v>Công Đoạn 1</v>
      </c>
      <c r="E19" s="88">
        <f t="shared" si="24"/>
        <v>4200000</v>
      </c>
      <c r="F19" s="90">
        <f>VLOOKUP(B19,'CC -7'!$B$8:$AS$29,36,0)</f>
        <v>27</v>
      </c>
      <c r="G19" s="143">
        <f t="shared" si="25"/>
        <v>4200000</v>
      </c>
      <c r="H19" s="90">
        <f>(VLOOKUP(B19,'CC -7'!$B$8:$AS$29,37,0)+VLOOKUP(B19,'CC -7'!$B$8:$AS$29,38,0))</f>
        <v>0</v>
      </c>
      <c r="I19" s="143">
        <f t="shared" si="26"/>
        <v>0</v>
      </c>
      <c r="J19" s="144">
        <f t="shared" si="27"/>
        <v>27</v>
      </c>
      <c r="K19" s="38">
        <f t="shared" si="27"/>
        <v>4200000</v>
      </c>
      <c r="L19" s="88">
        <f t="shared" si="28"/>
        <v>405000</v>
      </c>
      <c r="M19" s="39">
        <f t="shared" si="29"/>
        <v>4605000</v>
      </c>
      <c r="N19" s="39">
        <f>IF(VLOOKUP(B19,DS,9,0)="x",'L - 7'!E19*$N$4,0)</f>
        <v>0</v>
      </c>
      <c r="O19" s="39">
        <f t="shared" si="30"/>
        <v>0</v>
      </c>
      <c r="P19" s="39">
        <f t="shared" si="31"/>
        <v>0</v>
      </c>
      <c r="Q19" s="38">
        <f t="shared" ref="Q19:Q20" si="47">M19-SUM(N19:P19)</f>
        <v>4605000</v>
      </c>
      <c r="R19" s="38">
        <f t="shared" si="32"/>
        <v>0</v>
      </c>
      <c r="S19" s="44">
        <f t="shared" ref="S19:S20" si="48">Q19-R19</f>
        <v>4605000</v>
      </c>
      <c r="T19" s="38"/>
      <c r="U19" s="102"/>
      <c r="V19" s="36"/>
      <c r="W19" s="27"/>
      <c r="X19" s="5"/>
      <c r="Y19" s="5"/>
      <c r="Z19" s="5"/>
      <c r="AA19" s="4"/>
      <c r="AB19" s="4"/>
      <c r="AC19" s="4"/>
      <c r="AD19" s="4"/>
      <c r="AE19" s="4"/>
    </row>
    <row r="20" spans="1:31" s="35" customFormat="1" ht="24" customHeight="1">
      <c r="A20" s="37">
        <v>5</v>
      </c>
      <c r="B20" s="139" t="s">
        <v>177</v>
      </c>
      <c r="C20" s="87" t="str">
        <f t="shared" si="22"/>
        <v>Lê Văn Hữu</v>
      </c>
      <c r="D20" s="114" t="str">
        <f t="shared" si="23"/>
        <v>Công Đoạn 2</v>
      </c>
      <c r="E20" s="88">
        <f t="shared" si="24"/>
        <v>5000000</v>
      </c>
      <c r="F20" s="90">
        <f>VLOOKUP(B20,'CC -7'!$B$8:$AS$29,36,0)</f>
        <v>27</v>
      </c>
      <c r="G20" s="143">
        <f t="shared" si="25"/>
        <v>5000000</v>
      </c>
      <c r="H20" s="90">
        <f>(VLOOKUP(B20,'CC -7'!$B$8:$AS$29,37,0)+VLOOKUP(B20,'CC -7'!$B$8:$AS$29,38,0))</f>
        <v>0</v>
      </c>
      <c r="I20" s="143">
        <f t="shared" si="26"/>
        <v>0</v>
      </c>
      <c r="J20" s="144">
        <f t="shared" si="27"/>
        <v>27</v>
      </c>
      <c r="K20" s="38">
        <f t="shared" si="27"/>
        <v>5000000</v>
      </c>
      <c r="L20" s="88">
        <f t="shared" si="28"/>
        <v>405000</v>
      </c>
      <c r="M20" s="39">
        <f t="shared" si="29"/>
        <v>5405000</v>
      </c>
      <c r="N20" s="39">
        <f>IF(VLOOKUP(B20,DS,9,0)="x",'L - 7'!E20*$N$4,0)</f>
        <v>0</v>
      </c>
      <c r="O20" s="39">
        <f t="shared" si="30"/>
        <v>0</v>
      </c>
      <c r="P20" s="39">
        <f t="shared" si="31"/>
        <v>0</v>
      </c>
      <c r="Q20" s="38">
        <f t="shared" si="47"/>
        <v>5405000</v>
      </c>
      <c r="R20" s="38">
        <f t="shared" si="32"/>
        <v>0</v>
      </c>
      <c r="S20" s="44">
        <f t="shared" si="48"/>
        <v>5405000</v>
      </c>
      <c r="T20" s="38"/>
      <c r="U20" s="102"/>
      <c r="V20" s="36"/>
      <c r="W20" s="27"/>
      <c r="X20" s="5"/>
      <c r="Y20" s="5"/>
      <c r="Z20" s="5"/>
      <c r="AA20" s="4"/>
      <c r="AB20" s="4"/>
      <c r="AC20" s="4"/>
      <c r="AD20" s="4"/>
      <c r="AE20" s="4"/>
    </row>
    <row r="21" spans="1:31" s="35" customFormat="1" ht="24" customHeight="1">
      <c r="A21" s="37">
        <v>6</v>
      </c>
      <c r="B21" s="139" t="s">
        <v>178</v>
      </c>
      <c r="C21" s="87" t="str">
        <f t="shared" ref="C21:C22" si="49">VLOOKUP(B21,DS,2,0)</f>
        <v>Bùi Trường Giang</v>
      </c>
      <c r="D21" s="114" t="str">
        <f t="shared" ref="D21:D22" si="50">VLOOKUP(B21,DS,3,0)</f>
        <v>Công Đoạn 2</v>
      </c>
      <c r="E21" s="88">
        <f t="shared" ref="E21:E22" si="51">VLOOKUP(B21,DS,4,0)</f>
        <v>4200000</v>
      </c>
      <c r="F21" s="90">
        <f>VLOOKUP(B21,'CC -7'!$B$8:$AS$29,36,0)</f>
        <v>27</v>
      </c>
      <c r="G21" s="143">
        <f t="shared" ref="G21:G22" si="52">ROUND(E21/$U$2*F21,0)</f>
        <v>4200000</v>
      </c>
      <c r="H21" s="90">
        <f>(VLOOKUP(B21,'CC -7'!$B$8:$AS$29,37,0)+VLOOKUP(B21,'CC -7'!$B$8:$AS$29,38,0))</f>
        <v>0</v>
      </c>
      <c r="I21" s="143">
        <f t="shared" ref="I21:I22" si="53">ROUND(E21/$U$2*H21,0)</f>
        <v>0</v>
      </c>
      <c r="J21" s="144">
        <f t="shared" ref="J21:J22" si="54">F21+H21</f>
        <v>27</v>
      </c>
      <c r="K21" s="38">
        <f t="shared" ref="K21:K22" si="55">G21+I21</f>
        <v>4200000</v>
      </c>
      <c r="L21" s="88">
        <f t="shared" ref="L21:L22" si="56">+F21*15000</f>
        <v>405000</v>
      </c>
      <c r="M21" s="39">
        <f t="shared" ref="M21:M22" si="57">K21+L21</f>
        <v>4605000</v>
      </c>
      <c r="N21" s="39">
        <f>IF(VLOOKUP(B21,DS,9,0)="x",'L - 7'!E21*$N$4,0)</f>
        <v>0</v>
      </c>
      <c r="O21" s="39">
        <f t="shared" ref="O21:O22" si="58">IF(VLOOKUP(B21,DS,9,0)="x",E21*0.015,0)</f>
        <v>0</v>
      </c>
      <c r="P21" s="39">
        <f t="shared" ref="P21:P22" si="59">IF(VLOOKUP(B21,DS,9,0)="x",E21*0.01,0)</f>
        <v>0</v>
      </c>
      <c r="Q21" s="38">
        <f t="shared" ref="Q21:Q22" si="60">M21-SUM(N21:P21)</f>
        <v>4605000</v>
      </c>
      <c r="R21" s="38">
        <f t="shared" ref="R21:R22" si="61">VLOOKUP(B21,DS,23,0)</f>
        <v>0</v>
      </c>
      <c r="S21" s="44">
        <f t="shared" ref="S21:S22" si="62">Q21-R21</f>
        <v>4605000</v>
      </c>
      <c r="T21" s="38"/>
      <c r="U21" s="102"/>
      <c r="V21" s="36"/>
      <c r="W21" s="27"/>
      <c r="X21" s="5"/>
      <c r="Y21" s="5"/>
      <c r="Z21" s="5"/>
      <c r="AA21" s="4"/>
      <c r="AB21" s="4"/>
      <c r="AC21" s="4"/>
      <c r="AD21" s="4"/>
      <c r="AE21" s="4"/>
    </row>
    <row r="22" spans="1:31" s="35" customFormat="1" ht="24" customHeight="1">
      <c r="A22" s="37">
        <v>7</v>
      </c>
      <c r="B22" s="139" t="s">
        <v>179</v>
      </c>
      <c r="C22" s="87" t="str">
        <f t="shared" si="49"/>
        <v>Nguyễn T Bích Thủy</v>
      </c>
      <c r="D22" s="114" t="str">
        <f t="shared" si="50"/>
        <v>Công Đoạn 2</v>
      </c>
      <c r="E22" s="88">
        <f t="shared" si="51"/>
        <v>4200000</v>
      </c>
      <c r="F22" s="90">
        <f>VLOOKUP(B22,'CC -7'!$B$8:$AS$29,36,0)</f>
        <v>27</v>
      </c>
      <c r="G22" s="143">
        <f t="shared" si="52"/>
        <v>4200000</v>
      </c>
      <c r="H22" s="90">
        <f>(VLOOKUP(B22,'CC -7'!$B$8:$AS$29,37,0)+VLOOKUP(B22,'CC -7'!$B$8:$AS$29,38,0))</f>
        <v>0</v>
      </c>
      <c r="I22" s="143">
        <f t="shared" si="53"/>
        <v>0</v>
      </c>
      <c r="J22" s="144">
        <f t="shared" si="54"/>
        <v>27</v>
      </c>
      <c r="K22" s="38">
        <f t="shared" si="55"/>
        <v>4200000</v>
      </c>
      <c r="L22" s="88">
        <f t="shared" si="56"/>
        <v>405000</v>
      </c>
      <c r="M22" s="39">
        <f t="shared" si="57"/>
        <v>4605000</v>
      </c>
      <c r="N22" s="39">
        <f>IF(VLOOKUP(B22,DS,9,0)="x",'L - 7'!E22*$N$4,0)</f>
        <v>0</v>
      </c>
      <c r="O22" s="39">
        <f t="shared" si="58"/>
        <v>0</v>
      </c>
      <c r="P22" s="39">
        <f t="shared" si="59"/>
        <v>0</v>
      </c>
      <c r="Q22" s="38">
        <f t="shared" si="60"/>
        <v>4605000</v>
      </c>
      <c r="R22" s="38">
        <f t="shared" si="61"/>
        <v>0</v>
      </c>
      <c r="S22" s="44">
        <f t="shared" si="62"/>
        <v>4605000</v>
      </c>
      <c r="T22" s="38"/>
      <c r="U22" s="102"/>
      <c r="V22" s="36"/>
      <c r="W22" s="27"/>
      <c r="X22" s="5"/>
      <c r="Y22" s="5"/>
      <c r="Z22" s="5"/>
      <c r="AA22" s="4"/>
      <c r="AB22" s="4"/>
      <c r="AC22" s="4"/>
      <c r="AD22" s="4"/>
      <c r="AE22" s="4"/>
    </row>
    <row r="23" spans="1:31" s="35" customFormat="1" ht="22.5" customHeight="1">
      <c r="A23" s="40"/>
      <c r="B23" s="183"/>
      <c r="C23" s="41"/>
      <c r="D23" s="3"/>
      <c r="E23" s="42"/>
      <c r="F23" s="42"/>
      <c r="G23" s="42"/>
      <c r="H23" s="42"/>
      <c r="I23" s="42"/>
      <c r="J23" s="43"/>
      <c r="K23" s="42"/>
      <c r="L23" s="42"/>
      <c r="M23" s="182"/>
      <c r="N23" s="42"/>
      <c r="O23" s="42"/>
      <c r="P23" s="42"/>
      <c r="Q23" s="42"/>
      <c r="R23" s="42"/>
      <c r="S23" s="42"/>
      <c r="T23" s="38"/>
      <c r="U23" s="102"/>
      <c r="V23" s="36"/>
      <c r="W23" s="36"/>
      <c r="X23" s="36"/>
      <c r="Y23" s="36"/>
      <c r="Z23" s="36"/>
    </row>
    <row r="24" spans="1:31" s="31" customFormat="1" ht="21" customHeight="1">
      <c r="A24" s="283" t="s">
        <v>25</v>
      </c>
      <c r="B24" s="283"/>
      <c r="C24" s="283"/>
      <c r="D24" s="283"/>
      <c r="E24" s="138">
        <f>SUM(E15:E23)</f>
        <v>31800000</v>
      </c>
      <c r="F24" s="138"/>
      <c r="G24" s="138">
        <f>SUM(G15:G23)</f>
        <v>31800000</v>
      </c>
      <c r="H24" s="138"/>
      <c r="I24" s="138">
        <f>SUM(I15:I23)</f>
        <v>0</v>
      </c>
      <c r="J24" s="138"/>
      <c r="K24" s="138">
        <f t="shared" ref="K24:S24" si="63">SUM(K15:K23)</f>
        <v>31800000</v>
      </c>
      <c r="L24" s="138">
        <f t="shared" si="63"/>
        <v>2835000</v>
      </c>
      <c r="M24" s="138">
        <f t="shared" si="63"/>
        <v>34635000</v>
      </c>
      <c r="N24" s="138">
        <f t="shared" si="63"/>
        <v>0</v>
      </c>
      <c r="O24" s="138">
        <f t="shared" si="63"/>
        <v>0</v>
      </c>
      <c r="P24" s="138">
        <f t="shared" si="63"/>
        <v>0</v>
      </c>
      <c r="Q24" s="138">
        <f t="shared" si="63"/>
        <v>34635000</v>
      </c>
      <c r="R24" s="138">
        <f t="shared" si="63"/>
        <v>0</v>
      </c>
      <c r="S24" s="138">
        <f t="shared" si="63"/>
        <v>34635000</v>
      </c>
      <c r="T24" s="25"/>
      <c r="U24" s="102"/>
      <c r="V24" s="32"/>
      <c r="W24" s="32"/>
      <c r="X24" s="32"/>
      <c r="Y24" s="32"/>
      <c r="Z24" s="32"/>
    </row>
    <row r="25" spans="1:31" ht="11.25" customHeight="1">
      <c r="A25" s="8"/>
      <c r="B25" s="8"/>
      <c r="C25" s="9"/>
      <c r="D25" s="115"/>
      <c r="E25" s="92"/>
      <c r="F25" s="9"/>
      <c r="G25" s="9"/>
      <c r="H25" s="9"/>
      <c r="I25" s="9"/>
      <c r="K25" s="9"/>
      <c r="L25" s="9"/>
      <c r="M25" s="100"/>
      <c r="N25" s="9"/>
      <c r="O25" s="9"/>
      <c r="P25" s="9"/>
      <c r="Q25" s="9"/>
      <c r="R25" s="9"/>
      <c r="S25" s="9"/>
      <c r="T25" s="9"/>
      <c r="U25" s="102"/>
    </row>
    <row r="26" spans="1:31" s="35" customFormat="1" ht="11.25" customHeight="1">
      <c r="A26" s="76"/>
      <c r="B26" s="76"/>
      <c r="C26" s="76"/>
      <c r="D26" s="131"/>
      <c r="E26" s="132"/>
      <c r="F26" s="76"/>
      <c r="G26" s="76"/>
      <c r="H26" s="76"/>
      <c r="I26" s="76"/>
      <c r="J26" s="133"/>
      <c r="K26" s="132"/>
      <c r="L26" s="76"/>
      <c r="M26" s="76"/>
      <c r="N26" s="76"/>
      <c r="O26" s="76"/>
      <c r="P26" s="76"/>
      <c r="Q26" s="76"/>
      <c r="R26" s="76"/>
      <c r="S26" s="106" t="str">
        <f>"Long An, ngày  "&amp;$V$2&amp;"   tháng   "&amp;TEXT(E4,"mm")&amp;"   năm "&amp;TEXT(E4,"yyyy")</f>
        <v>Long An, ngày  31   tháng   07   năm 2015</v>
      </c>
      <c r="T26" s="76"/>
      <c r="U26" s="134"/>
      <c r="V26" s="36"/>
      <c r="W26" s="36"/>
      <c r="X26" s="36"/>
      <c r="Y26" s="36"/>
      <c r="Z26" s="36"/>
    </row>
    <row r="27" spans="1:31" s="35" customFormat="1" ht="12.75">
      <c r="A27" s="28"/>
      <c r="B27" s="28"/>
      <c r="C27" s="28" t="s">
        <v>60</v>
      </c>
      <c r="D27" s="135"/>
      <c r="E27" s="77"/>
      <c r="F27" s="134"/>
      <c r="G27" s="77"/>
      <c r="H27" s="77"/>
      <c r="I27" s="77"/>
      <c r="J27" s="136"/>
      <c r="K27" s="36"/>
      <c r="L27" s="28"/>
      <c r="M27" s="145"/>
      <c r="N27" s="19"/>
      <c r="O27" s="19"/>
      <c r="P27" s="19"/>
      <c r="Q27" s="19"/>
      <c r="S27" s="134" t="s">
        <v>22</v>
      </c>
      <c r="T27" s="134"/>
      <c r="U27" s="134"/>
      <c r="V27" s="36"/>
      <c r="W27" s="36"/>
      <c r="X27" s="36"/>
      <c r="Y27" s="36"/>
      <c r="Z27" s="36"/>
    </row>
    <row r="28" spans="1:31" ht="12">
      <c r="A28" s="8"/>
      <c r="B28" s="8"/>
      <c r="C28" s="15"/>
      <c r="E28" s="13"/>
      <c r="F28" s="12"/>
      <c r="G28" s="13"/>
      <c r="H28" s="13"/>
      <c r="I28" s="13"/>
      <c r="K28" s="7"/>
      <c r="L28" s="15"/>
      <c r="N28" s="11"/>
      <c r="O28" s="11"/>
      <c r="P28" s="11"/>
      <c r="Q28" s="11"/>
      <c r="S28" s="11"/>
      <c r="T28" s="12"/>
      <c r="U28" s="102"/>
    </row>
    <row r="29" spans="1:31" ht="12">
      <c r="C29" s="15"/>
      <c r="L29" s="15"/>
      <c r="T29" s="15"/>
      <c r="U29" s="102"/>
    </row>
    <row r="30" spans="1:31" ht="12">
      <c r="U30" s="102"/>
    </row>
    <row r="31" spans="1:31" ht="12">
      <c r="U31" s="102"/>
    </row>
    <row r="32" spans="1:31" ht="12">
      <c r="U32" s="102"/>
    </row>
    <row r="33" spans="21:21" ht="12">
      <c r="U33" s="102"/>
    </row>
    <row r="34" spans="21:21" ht="12">
      <c r="U34" s="102"/>
    </row>
    <row r="35" spans="21:21" ht="12">
      <c r="U35" s="102"/>
    </row>
  </sheetData>
  <protectedRanges>
    <protectedRange password="CC78" sqref="V23:IK24 C5:D7 B27:C27 V5:W9 A23:A28 B23:B26 B28 V15:W15 Q5:T7 E5:I6 D24 N5:P6 L5 L27 J6:K7 L7 A30:T63 U36:U63 N23:S23 V30:IK63 J23:L23 A64:IK65331 AF15:IK15 V14:IK14 D14 Q10:S13 W10:W13 AF5:IK13 A10:B14" name="Range1"/>
    <protectedRange password="CC78" sqref="F7:H7" name="Range1_4"/>
    <protectedRange password="CC78" sqref="V27:IK28 S27:T28 N27:Q28 E27:I28" name="Range1_1_1"/>
    <protectedRange password="CC78" sqref="U1 W1:IK3 V4:IK4 B4:T4 R2:S3 B1:Q3 U23:U35 X15:AE15 U4:U15 X5:AE13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6:W22 Q16:S22 AF16:IK22 A16:B22" name="Range1_5"/>
    <protectedRange password="CC78" sqref="U16:U22 X16:AE22" name="Range1_2_3"/>
    <protectedRange password="CC78" sqref="V16:V22" name="Range1_1_3"/>
    <protectedRange password="CC78" sqref="K10:K13 K16:K22" name="Range1_6"/>
    <protectedRange password="CC78" sqref="A2:A3" name="Range1_2_1_3"/>
    <protectedRange password="CC78" sqref="E14:T14" name="Range1_3"/>
    <protectedRange password="CC78" sqref="E24:T24" name="Range1_7"/>
    <protectedRange password="CC78" sqref="U2" name="Range1_2_2_1_1"/>
  </protectedRanges>
  <autoFilter ref="A7:AE10"/>
  <mergeCells count="24">
    <mergeCell ref="A14:D14"/>
    <mergeCell ref="A24:D24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6"/>
  <sheetViews>
    <sheetView zoomScaleNormal="115" workbookViewId="0">
      <pane xSplit="3" ySplit="6" topLeftCell="D13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A16" sqref="A16:B2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6" customWidth="1"/>
    <col min="5" max="5" width="7.140625" style="2" customWidth="1"/>
    <col min="6" max="33" width="3.42578125" style="121" customWidth="1"/>
    <col min="34" max="36" width="3.42578125" style="122" customWidth="1"/>
    <col min="37" max="38" width="4.42578125" style="2" customWidth="1"/>
    <col min="39" max="39" width="5.5703125" style="98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7"/>
      <c r="B1" s="52"/>
      <c r="C1" s="52"/>
      <c r="D1" s="56"/>
      <c r="E1" s="52"/>
      <c r="F1" s="56"/>
      <c r="G1" s="56"/>
      <c r="H1" s="56"/>
      <c r="I1" s="56"/>
      <c r="J1" s="56"/>
      <c r="K1" s="117"/>
      <c r="L1" s="117"/>
      <c r="M1" s="117"/>
      <c r="N1" s="117"/>
      <c r="O1" s="117"/>
      <c r="P1" s="117"/>
      <c r="Q1" s="117"/>
      <c r="R1" s="117"/>
      <c r="S1" s="54" t="str">
        <f>CONCATENATE("BẢNG CHẤM CÔNG THÁNG ",TEXT($E$4,"mm")," NĂM ",TEXT($E$4,"yyyy"))</f>
        <v>BẢNG CHẤM CÔNG THÁNG 08 NĂM 2015</v>
      </c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K1" s="53"/>
      <c r="AL1" s="53"/>
      <c r="AM1" s="242" t="s">
        <v>170</v>
      </c>
      <c r="AN1" s="243"/>
      <c r="AO1" s="243"/>
      <c r="AP1" s="243"/>
      <c r="AQ1" s="243"/>
      <c r="AR1" s="243"/>
      <c r="AS1" s="244"/>
      <c r="AT1" s="55"/>
    </row>
    <row r="2" spans="1:91" ht="20.25">
      <c r="A2" s="137"/>
      <c r="B2" s="56"/>
      <c r="C2" s="56"/>
      <c r="D2" s="56"/>
      <c r="E2" s="56"/>
      <c r="F2" s="56"/>
      <c r="G2" s="56"/>
      <c r="H2" s="56"/>
      <c r="I2" s="56"/>
      <c r="J2" s="56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53"/>
      <c r="AL2" s="53"/>
      <c r="AM2" s="94"/>
      <c r="AN2" s="57"/>
      <c r="AO2" s="57"/>
      <c r="AP2" s="57"/>
      <c r="AQ2" s="57"/>
      <c r="AR2" s="57"/>
      <c r="AS2" s="93"/>
      <c r="AT2" s="93"/>
    </row>
    <row r="3" spans="1:91" ht="21" customHeight="1">
      <c r="A3" s="137"/>
      <c r="B3" s="58"/>
      <c r="C3" s="58"/>
      <c r="D3" s="59"/>
      <c r="E3" s="59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53"/>
      <c r="AL3" s="53"/>
      <c r="AM3" s="94"/>
      <c r="AN3" s="55"/>
      <c r="AO3" s="55"/>
      <c r="AP3" s="55"/>
      <c r="AQ3" s="55"/>
      <c r="AR3" s="55"/>
      <c r="AS3" s="60"/>
      <c r="AT3" s="60"/>
    </row>
    <row r="4" spans="1:91" ht="14.25" customHeight="1">
      <c r="A4" s="61"/>
      <c r="B4" s="61"/>
      <c r="C4" s="154"/>
      <c r="D4" s="153"/>
      <c r="E4" s="62">
        <v>42217</v>
      </c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4"/>
      <c r="AI4" s="64"/>
      <c r="AJ4" s="64"/>
      <c r="AK4" s="61"/>
      <c r="AL4" s="61"/>
      <c r="AM4" s="95"/>
      <c r="AN4" s="61"/>
      <c r="AO4" s="61"/>
      <c r="AP4" s="61"/>
      <c r="AQ4" s="61"/>
      <c r="AR4" s="61"/>
      <c r="AS4" s="61"/>
      <c r="AT4" s="99"/>
    </row>
    <row r="5" spans="1:91" s="65" customFormat="1" ht="18.75" customHeight="1">
      <c r="A5" s="245" t="s">
        <v>28</v>
      </c>
      <c r="B5" s="245" t="s">
        <v>3</v>
      </c>
      <c r="C5" s="245" t="s">
        <v>1</v>
      </c>
      <c r="D5" s="247" t="s">
        <v>29</v>
      </c>
      <c r="E5" s="245" t="s">
        <v>30</v>
      </c>
      <c r="F5" s="116">
        <f>+E4</f>
        <v>42217</v>
      </c>
      <c r="G5" s="116">
        <f t="shared" ref="G5:AJ5" si="0">F5+1</f>
        <v>42218</v>
      </c>
      <c r="H5" s="116">
        <f t="shared" si="0"/>
        <v>42219</v>
      </c>
      <c r="I5" s="116">
        <f t="shared" si="0"/>
        <v>42220</v>
      </c>
      <c r="J5" s="116">
        <f t="shared" si="0"/>
        <v>42221</v>
      </c>
      <c r="K5" s="116">
        <f t="shared" si="0"/>
        <v>42222</v>
      </c>
      <c r="L5" s="116">
        <f t="shared" si="0"/>
        <v>42223</v>
      </c>
      <c r="M5" s="116">
        <f t="shared" si="0"/>
        <v>42224</v>
      </c>
      <c r="N5" s="116">
        <f t="shared" si="0"/>
        <v>42225</v>
      </c>
      <c r="O5" s="116">
        <f t="shared" si="0"/>
        <v>42226</v>
      </c>
      <c r="P5" s="116">
        <f t="shared" si="0"/>
        <v>42227</v>
      </c>
      <c r="Q5" s="116">
        <f t="shared" si="0"/>
        <v>42228</v>
      </c>
      <c r="R5" s="116">
        <f t="shared" si="0"/>
        <v>42229</v>
      </c>
      <c r="S5" s="116">
        <f t="shared" si="0"/>
        <v>42230</v>
      </c>
      <c r="T5" s="116">
        <f t="shared" si="0"/>
        <v>42231</v>
      </c>
      <c r="U5" s="116">
        <f t="shared" si="0"/>
        <v>42232</v>
      </c>
      <c r="V5" s="116">
        <f t="shared" si="0"/>
        <v>42233</v>
      </c>
      <c r="W5" s="116">
        <f t="shared" si="0"/>
        <v>42234</v>
      </c>
      <c r="X5" s="116">
        <f t="shared" si="0"/>
        <v>42235</v>
      </c>
      <c r="Y5" s="116">
        <f t="shared" si="0"/>
        <v>42236</v>
      </c>
      <c r="Z5" s="116">
        <f t="shared" si="0"/>
        <v>42237</v>
      </c>
      <c r="AA5" s="116">
        <f t="shared" si="0"/>
        <v>42238</v>
      </c>
      <c r="AB5" s="116">
        <f t="shared" si="0"/>
        <v>42239</v>
      </c>
      <c r="AC5" s="116">
        <f t="shared" si="0"/>
        <v>42240</v>
      </c>
      <c r="AD5" s="116">
        <f t="shared" si="0"/>
        <v>42241</v>
      </c>
      <c r="AE5" s="116">
        <f t="shared" si="0"/>
        <v>42242</v>
      </c>
      <c r="AF5" s="116">
        <f t="shared" si="0"/>
        <v>42243</v>
      </c>
      <c r="AG5" s="116">
        <f t="shared" si="0"/>
        <v>42244</v>
      </c>
      <c r="AH5" s="116">
        <f>AG5+1</f>
        <v>42245</v>
      </c>
      <c r="AI5" s="116">
        <f t="shared" si="0"/>
        <v>42246</v>
      </c>
      <c r="AJ5" s="116">
        <f t="shared" si="0"/>
        <v>42247</v>
      </c>
      <c r="AK5" s="248" t="s">
        <v>15</v>
      </c>
      <c r="AL5" s="249"/>
      <c r="AM5" s="250"/>
      <c r="AN5" s="251" t="s">
        <v>45</v>
      </c>
      <c r="AO5" s="251" t="s">
        <v>41</v>
      </c>
      <c r="AP5" s="251" t="s">
        <v>42</v>
      </c>
      <c r="AQ5" s="251" t="s">
        <v>43</v>
      </c>
      <c r="AR5" s="251" t="s">
        <v>44</v>
      </c>
      <c r="AS5" s="247" t="s">
        <v>0</v>
      </c>
      <c r="AT5" s="26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5" customFormat="1" ht="39.75" customHeight="1">
      <c r="A6" s="246"/>
      <c r="B6" s="246"/>
      <c r="C6" s="246"/>
      <c r="D6" s="246"/>
      <c r="E6" s="246"/>
      <c r="F6" s="172" t="str">
        <f>CHOOSE(WEEKDAY(F5),"C.Nhật","T.Hai","T.Ba","T.Tư","T.Năm","T.Sáu","T.Bảy")</f>
        <v>T.Bảy</v>
      </c>
      <c r="G6" s="172" t="str">
        <f t="shared" ref="G6:AJ6" si="1">CHOOSE(WEEKDAY(G5),"C.Nhật","T.Hai","T.Ba","T.Tư","T.Năm","T.Sáu","T.Bảy")</f>
        <v>C.Nhật</v>
      </c>
      <c r="H6" s="172" t="str">
        <f t="shared" si="1"/>
        <v>T.Hai</v>
      </c>
      <c r="I6" s="172" t="str">
        <f t="shared" si="1"/>
        <v>T.Ba</v>
      </c>
      <c r="J6" s="172" t="str">
        <f t="shared" si="1"/>
        <v>T.Tư</v>
      </c>
      <c r="K6" s="172" t="str">
        <f t="shared" si="1"/>
        <v>T.Năm</v>
      </c>
      <c r="L6" s="172" t="str">
        <f t="shared" si="1"/>
        <v>T.Sáu</v>
      </c>
      <c r="M6" s="172" t="str">
        <f t="shared" si="1"/>
        <v>T.Bảy</v>
      </c>
      <c r="N6" s="172" t="str">
        <f t="shared" si="1"/>
        <v>C.Nhật</v>
      </c>
      <c r="O6" s="172" t="str">
        <f t="shared" si="1"/>
        <v>T.Hai</v>
      </c>
      <c r="P6" s="172" t="str">
        <f t="shared" si="1"/>
        <v>T.Ba</v>
      </c>
      <c r="Q6" s="172" t="str">
        <f t="shared" si="1"/>
        <v>T.Tư</v>
      </c>
      <c r="R6" s="172" t="str">
        <f t="shared" si="1"/>
        <v>T.Năm</v>
      </c>
      <c r="S6" s="172" t="str">
        <f t="shared" si="1"/>
        <v>T.Sáu</v>
      </c>
      <c r="T6" s="172" t="str">
        <f t="shared" si="1"/>
        <v>T.Bảy</v>
      </c>
      <c r="U6" s="172" t="str">
        <f t="shared" si="1"/>
        <v>C.Nhật</v>
      </c>
      <c r="V6" s="172" t="str">
        <f t="shared" si="1"/>
        <v>T.Hai</v>
      </c>
      <c r="W6" s="172" t="str">
        <f t="shared" si="1"/>
        <v>T.Ba</v>
      </c>
      <c r="X6" s="172" t="str">
        <f t="shared" si="1"/>
        <v>T.Tư</v>
      </c>
      <c r="Y6" s="172" t="str">
        <f t="shared" si="1"/>
        <v>T.Năm</v>
      </c>
      <c r="Z6" s="172" t="str">
        <f t="shared" si="1"/>
        <v>T.Sáu</v>
      </c>
      <c r="AA6" s="172" t="str">
        <f t="shared" si="1"/>
        <v>T.Bảy</v>
      </c>
      <c r="AB6" s="172" t="str">
        <f t="shared" si="1"/>
        <v>C.Nhật</v>
      </c>
      <c r="AC6" s="172" t="str">
        <f t="shared" si="1"/>
        <v>T.Hai</v>
      </c>
      <c r="AD6" s="172" t="str">
        <f t="shared" si="1"/>
        <v>T.Ba</v>
      </c>
      <c r="AE6" s="172" t="str">
        <f t="shared" si="1"/>
        <v>T.Tư</v>
      </c>
      <c r="AF6" s="172" t="str">
        <f t="shared" si="1"/>
        <v>T.Năm</v>
      </c>
      <c r="AG6" s="172" t="str">
        <f t="shared" si="1"/>
        <v>T.Sáu</v>
      </c>
      <c r="AH6" s="172" t="str">
        <f t="shared" si="1"/>
        <v>T.Bảy</v>
      </c>
      <c r="AI6" s="172" t="str">
        <f t="shared" si="1"/>
        <v>C.Nhật</v>
      </c>
      <c r="AJ6" s="172" t="str">
        <f t="shared" si="1"/>
        <v>T.Hai</v>
      </c>
      <c r="AK6" s="173" t="s">
        <v>16</v>
      </c>
      <c r="AL6" s="173" t="s">
        <v>31</v>
      </c>
      <c r="AM6" s="174" t="s">
        <v>17</v>
      </c>
      <c r="AN6" s="252"/>
      <c r="AO6" s="252"/>
      <c r="AP6" s="252"/>
      <c r="AQ6" s="252"/>
      <c r="AR6" s="252"/>
      <c r="AS6" s="246"/>
      <c r="AT6" s="26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5" customFormat="1" ht="12.75" customHeight="1">
      <c r="A7" s="175">
        <v>1</v>
      </c>
      <c r="B7" s="175">
        <v>1</v>
      </c>
      <c r="C7" s="175">
        <v>2</v>
      </c>
      <c r="D7" s="175">
        <v>3</v>
      </c>
      <c r="E7" s="175">
        <v>4</v>
      </c>
      <c r="F7" s="175">
        <v>5</v>
      </c>
      <c r="G7" s="175">
        <v>6</v>
      </c>
      <c r="H7" s="175">
        <v>7</v>
      </c>
      <c r="I7" s="175">
        <v>8</v>
      </c>
      <c r="J7" s="175">
        <v>9</v>
      </c>
      <c r="K7" s="175">
        <v>10</v>
      </c>
      <c r="L7" s="175">
        <v>11</v>
      </c>
      <c r="M7" s="175">
        <v>12</v>
      </c>
      <c r="N7" s="175">
        <v>13</v>
      </c>
      <c r="O7" s="175">
        <v>14</v>
      </c>
      <c r="P7" s="175">
        <v>15</v>
      </c>
      <c r="Q7" s="175">
        <v>16</v>
      </c>
      <c r="R7" s="175">
        <v>17</v>
      </c>
      <c r="S7" s="175">
        <v>18</v>
      </c>
      <c r="T7" s="175">
        <v>19</v>
      </c>
      <c r="U7" s="175">
        <v>20</v>
      </c>
      <c r="V7" s="175">
        <v>21</v>
      </c>
      <c r="W7" s="175">
        <v>22</v>
      </c>
      <c r="X7" s="175">
        <v>23</v>
      </c>
      <c r="Y7" s="175">
        <v>24</v>
      </c>
      <c r="Z7" s="175">
        <v>25</v>
      </c>
      <c r="AA7" s="175">
        <v>26</v>
      </c>
      <c r="AB7" s="175">
        <v>27</v>
      </c>
      <c r="AC7" s="175">
        <v>28</v>
      </c>
      <c r="AD7" s="175">
        <v>29</v>
      </c>
      <c r="AE7" s="175">
        <v>30</v>
      </c>
      <c r="AF7" s="175">
        <v>31</v>
      </c>
      <c r="AG7" s="175">
        <v>32</v>
      </c>
      <c r="AH7" s="175">
        <v>33</v>
      </c>
      <c r="AI7" s="175">
        <v>34</v>
      </c>
      <c r="AJ7" s="175">
        <v>35</v>
      </c>
      <c r="AK7" s="175">
        <v>36</v>
      </c>
      <c r="AL7" s="175">
        <v>37</v>
      </c>
      <c r="AM7" s="175">
        <v>38</v>
      </c>
      <c r="AN7" s="175">
        <v>39</v>
      </c>
      <c r="AO7" s="175">
        <v>40</v>
      </c>
      <c r="AP7" s="175">
        <v>41</v>
      </c>
      <c r="AQ7" s="175">
        <v>42</v>
      </c>
      <c r="AR7" s="175">
        <v>43</v>
      </c>
      <c r="AS7" s="175">
        <v>44</v>
      </c>
      <c r="AT7" s="198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8" customFormat="1" ht="21" customHeight="1">
      <c r="A8" s="176" t="s">
        <v>154</v>
      </c>
      <c r="B8" s="179" t="s">
        <v>171</v>
      </c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0"/>
      <c r="W8" s="180"/>
      <c r="X8" s="180"/>
      <c r="Y8" s="180"/>
      <c r="Z8" s="180"/>
      <c r="AA8" s="180"/>
      <c r="AB8" s="180"/>
      <c r="AC8" s="180"/>
      <c r="AD8" s="180"/>
      <c r="AE8" s="180"/>
      <c r="AF8" s="180"/>
      <c r="AG8" s="180"/>
      <c r="AH8" s="180"/>
      <c r="AI8" s="180"/>
      <c r="AJ8" s="180"/>
      <c r="AK8" s="180"/>
      <c r="AL8" s="180"/>
      <c r="AM8" s="180"/>
      <c r="AN8" s="180"/>
      <c r="AO8" s="180"/>
      <c r="AP8" s="180"/>
      <c r="AQ8" s="180"/>
      <c r="AR8" s="180"/>
      <c r="AS8" s="181"/>
      <c r="AT8" s="177"/>
    </row>
    <row r="9" spans="1:91" s="65" customFormat="1" ht="18" customHeight="1">
      <c r="A9" s="253">
        <v>1</v>
      </c>
      <c r="B9" s="253" t="s">
        <v>159</v>
      </c>
      <c r="C9" s="255" t="str">
        <f>VLOOKUP(B9,DS,2,0)</f>
        <v>Nguyễn Thị Thu Sương</v>
      </c>
      <c r="D9" s="257" t="str">
        <f>VLOOKUP(B9,DS,3,0)</f>
        <v>Kinh Doanh</v>
      </c>
      <c r="E9" s="66" t="s">
        <v>32</v>
      </c>
      <c r="F9" s="141">
        <v>8</v>
      </c>
      <c r="G9" s="141"/>
      <c r="H9" s="141">
        <v>8</v>
      </c>
      <c r="I9" s="141">
        <v>8</v>
      </c>
      <c r="J9" s="141">
        <v>8</v>
      </c>
      <c r="K9" s="141">
        <v>8</v>
      </c>
      <c r="L9" s="141">
        <v>8</v>
      </c>
      <c r="M9" s="141">
        <v>8</v>
      </c>
      <c r="N9" s="141"/>
      <c r="O9" s="141">
        <v>8</v>
      </c>
      <c r="P9" s="141">
        <v>8</v>
      </c>
      <c r="Q9" s="141">
        <v>8</v>
      </c>
      <c r="R9" s="141">
        <v>8</v>
      </c>
      <c r="S9" s="141">
        <v>8</v>
      </c>
      <c r="T9" s="141">
        <v>8</v>
      </c>
      <c r="U9" s="141"/>
      <c r="V9" s="141">
        <v>8</v>
      </c>
      <c r="W9" s="141">
        <v>8</v>
      </c>
      <c r="X9" s="141">
        <v>8</v>
      </c>
      <c r="Y9" s="141">
        <v>8</v>
      </c>
      <c r="Z9" s="141">
        <v>8</v>
      </c>
      <c r="AA9" s="141">
        <v>8</v>
      </c>
      <c r="AB9" s="141"/>
      <c r="AC9" s="141">
        <v>8</v>
      </c>
      <c r="AD9" s="141">
        <v>8</v>
      </c>
      <c r="AE9" s="141">
        <v>8</v>
      </c>
      <c r="AF9" s="141">
        <v>8</v>
      </c>
      <c r="AG9" s="141">
        <v>8</v>
      </c>
      <c r="AH9" s="141">
        <v>8</v>
      </c>
      <c r="AI9" s="141"/>
      <c r="AJ9" s="141">
        <v>8</v>
      </c>
      <c r="AK9" s="259">
        <f>((SUM(F9:AJ9))/8)-(SUMIF($F$6:$AJ$6,"C.Nhật",F9:AJ9)/8)</f>
        <v>26</v>
      </c>
      <c r="AL9" s="259">
        <f>SUM(F10:AJ10)/8*1.5</f>
        <v>0</v>
      </c>
      <c r="AM9" s="262">
        <f>SUMIF($F$6:$AJ$6,"C.Nhật",$F9:$AJ10)/8*2</f>
        <v>0</v>
      </c>
      <c r="AN9" s="264">
        <f>SUM(AK9:AM10)</f>
        <v>26</v>
      </c>
      <c r="AO9" s="266">
        <v>0</v>
      </c>
      <c r="AP9" s="264"/>
      <c r="AQ9" s="264"/>
      <c r="AR9" s="264"/>
      <c r="AS9" s="268"/>
      <c r="AT9" s="198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5" customFormat="1" ht="18" customHeight="1">
      <c r="A10" s="254"/>
      <c r="B10" s="254"/>
      <c r="C10" s="256"/>
      <c r="D10" s="258"/>
      <c r="E10" s="67" t="s">
        <v>31</v>
      </c>
      <c r="F10" s="142"/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260"/>
      <c r="AL10" s="260"/>
      <c r="AM10" s="263"/>
      <c r="AN10" s="265"/>
      <c r="AO10" s="267"/>
      <c r="AP10" s="265"/>
      <c r="AQ10" s="265"/>
      <c r="AR10" s="265"/>
      <c r="AS10" s="269"/>
      <c r="AT10" s="198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5" customFormat="1" ht="18" customHeight="1">
      <c r="A11" s="253">
        <v>2</v>
      </c>
      <c r="B11" s="253" t="s">
        <v>160</v>
      </c>
      <c r="C11" s="255" t="str">
        <f>VLOOKUP(B11,DS,2,0)</f>
        <v>Trần Anh Nhựt</v>
      </c>
      <c r="D11" s="257" t="str">
        <f>VLOOKUP(B11,DS,3,0)</f>
        <v>Thiết Kế</v>
      </c>
      <c r="E11" s="66" t="s">
        <v>32</v>
      </c>
      <c r="F11" s="141">
        <v>8</v>
      </c>
      <c r="G11" s="141"/>
      <c r="H11" s="141">
        <v>8</v>
      </c>
      <c r="I11" s="141">
        <v>8</v>
      </c>
      <c r="J11" s="141">
        <v>8</v>
      </c>
      <c r="K11" s="141">
        <v>8</v>
      </c>
      <c r="L11" s="141">
        <v>8</v>
      </c>
      <c r="M11" s="141">
        <v>8</v>
      </c>
      <c r="N11" s="141"/>
      <c r="O11" s="141">
        <v>8</v>
      </c>
      <c r="P11" s="141">
        <v>8</v>
      </c>
      <c r="Q11" s="141">
        <v>8</v>
      </c>
      <c r="R11" s="141">
        <v>8</v>
      </c>
      <c r="S11" s="141">
        <v>8</v>
      </c>
      <c r="T11" s="141">
        <v>8</v>
      </c>
      <c r="U11" s="141"/>
      <c r="V11" s="141">
        <v>8</v>
      </c>
      <c r="W11" s="141">
        <v>8</v>
      </c>
      <c r="X11" s="141">
        <v>8</v>
      </c>
      <c r="Y11" s="141">
        <v>8</v>
      </c>
      <c r="Z11" s="141">
        <v>8</v>
      </c>
      <c r="AA11" s="141">
        <v>8</v>
      </c>
      <c r="AB11" s="141"/>
      <c r="AC11" s="141">
        <v>8</v>
      </c>
      <c r="AD11" s="141">
        <v>8</v>
      </c>
      <c r="AE11" s="141">
        <v>8</v>
      </c>
      <c r="AF11" s="141">
        <v>8</v>
      </c>
      <c r="AG11" s="141">
        <v>8</v>
      </c>
      <c r="AH11" s="141">
        <v>8</v>
      </c>
      <c r="AI11" s="141"/>
      <c r="AJ11" s="141">
        <v>8</v>
      </c>
      <c r="AK11" s="259">
        <f t="shared" ref="AK11" si="2">((SUM(F11:AJ11))/8)-(SUMIF($F$6:$AJ$6,"C.Nhật",F11:AJ11)/8)</f>
        <v>26</v>
      </c>
      <c r="AL11" s="259">
        <f t="shared" ref="AL11" si="3">SUM(F12:AJ12)/8*1.5</f>
        <v>0</v>
      </c>
      <c r="AM11" s="262">
        <f t="shared" ref="AM11:AM13" si="4">SUMIF($F$6:$AJ$6,"C.Nhật",$F11:$AJ12)/8*2</f>
        <v>0</v>
      </c>
      <c r="AN11" s="264">
        <f t="shared" ref="AN11" si="5">SUM(AK11:AM12)</f>
        <v>26</v>
      </c>
      <c r="AO11" s="266">
        <v>0</v>
      </c>
      <c r="AP11" s="264"/>
      <c r="AQ11" s="264"/>
      <c r="AR11" s="264"/>
      <c r="AS11" s="268"/>
      <c r="AT11" s="22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5" customFormat="1" ht="18" customHeight="1">
      <c r="A12" s="254"/>
      <c r="B12" s="254"/>
      <c r="C12" s="256"/>
      <c r="D12" s="258"/>
      <c r="E12" s="67" t="s">
        <v>31</v>
      </c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260"/>
      <c r="AL12" s="260"/>
      <c r="AM12" s="263"/>
      <c r="AN12" s="265"/>
      <c r="AO12" s="267"/>
      <c r="AP12" s="265"/>
      <c r="AQ12" s="265"/>
      <c r="AR12" s="265"/>
      <c r="AS12" s="269"/>
      <c r="AT12" s="22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5" customFormat="1" ht="18" customHeight="1">
      <c r="A13" s="253">
        <v>3</v>
      </c>
      <c r="B13" s="253" t="s">
        <v>168</v>
      </c>
      <c r="C13" s="255" t="str">
        <f>VLOOKUP(B13,DS,2,0)</f>
        <v>Huỳnh Minh Toàn</v>
      </c>
      <c r="D13" s="257" t="str">
        <f>VLOOKUP(B13,DS,3,0)</f>
        <v>Thủ Kho</v>
      </c>
      <c r="E13" s="66" t="s">
        <v>32</v>
      </c>
      <c r="F13" s="141">
        <v>8</v>
      </c>
      <c r="G13" s="141"/>
      <c r="H13" s="141">
        <v>8</v>
      </c>
      <c r="I13" s="141">
        <v>8</v>
      </c>
      <c r="J13" s="141">
        <v>8</v>
      </c>
      <c r="K13" s="141">
        <v>8</v>
      </c>
      <c r="L13" s="141">
        <v>8</v>
      </c>
      <c r="M13" s="141">
        <v>8</v>
      </c>
      <c r="N13" s="141"/>
      <c r="O13" s="141">
        <v>8</v>
      </c>
      <c r="P13" s="141">
        <v>8</v>
      </c>
      <c r="Q13" s="141">
        <v>8</v>
      </c>
      <c r="R13" s="141">
        <v>8</v>
      </c>
      <c r="S13" s="141">
        <v>8</v>
      </c>
      <c r="T13" s="141">
        <v>8</v>
      </c>
      <c r="U13" s="141"/>
      <c r="V13" s="141">
        <v>8</v>
      </c>
      <c r="W13" s="141">
        <v>8</v>
      </c>
      <c r="X13" s="141">
        <v>8</v>
      </c>
      <c r="Y13" s="141">
        <v>8</v>
      </c>
      <c r="Z13" s="141">
        <v>8</v>
      </c>
      <c r="AA13" s="141">
        <v>8</v>
      </c>
      <c r="AB13" s="141"/>
      <c r="AC13" s="141">
        <v>8</v>
      </c>
      <c r="AD13" s="141">
        <v>8</v>
      </c>
      <c r="AE13" s="141">
        <v>8</v>
      </c>
      <c r="AF13" s="141">
        <v>8</v>
      </c>
      <c r="AG13" s="141">
        <v>8</v>
      </c>
      <c r="AH13" s="141">
        <v>8</v>
      </c>
      <c r="AI13" s="141"/>
      <c r="AJ13" s="141">
        <v>8</v>
      </c>
      <c r="AK13" s="259">
        <f t="shared" ref="AK13" si="6">((SUM(F13:AJ13))/8)-(SUMIF($F$6:$AJ$6,"C.Nhật",F13:AJ13)/8)</f>
        <v>26</v>
      </c>
      <c r="AL13" s="259">
        <f t="shared" ref="AL13" si="7">SUM(F14:AJ14)/8*1.5</f>
        <v>0</v>
      </c>
      <c r="AM13" s="262">
        <f t="shared" si="4"/>
        <v>0</v>
      </c>
      <c r="AN13" s="264">
        <f t="shared" ref="AN13" si="8">SUM(AK13:AM14)</f>
        <v>26</v>
      </c>
      <c r="AO13" s="266">
        <v>0</v>
      </c>
      <c r="AP13" s="264"/>
      <c r="AQ13" s="264"/>
      <c r="AR13" s="264"/>
      <c r="AS13" s="268"/>
      <c r="AT13" s="198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5" customFormat="1" ht="18" customHeight="1">
      <c r="A14" s="254"/>
      <c r="B14" s="254"/>
      <c r="C14" s="256"/>
      <c r="D14" s="258"/>
      <c r="E14" s="67" t="s">
        <v>31</v>
      </c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260"/>
      <c r="AL14" s="260"/>
      <c r="AM14" s="263"/>
      <c r="AN14" s="265"/>
      <c r="AO14" s="267"/>
      <c r="AP14" s="265"/>
      <c r="AQ14" s="265"/>
      <c r="AR14" s="265"/>
      <c r="AS14" s="269"/>
      <c r="AT14" s="198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78" customFormat="1" ht="21" customHeight="1">
      <c r="A15" s="176" t="s">
        <v>155</v>
      </c>
      <c r="B15" s="179" t="s">
        <v>158</v>
      </c>
      <c r="C15" s="180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0"/>
      <c r="U15" s="180"/>
      <c r="V15" s="180"/>
      <c r="W15" s="180"/>
      <c r="X15" s="180"/>
      <c r="Y15" s="180"/>
      <c r="Z15" s="180"/>
      <c r="AA15" s="180"/>
      <c r="AB15" s="180"/>
      <c r="AC15" s="180"/>
      <c r="AD15" s="180"/>
      <c r="AE15" s="180"/>
      <c r="AF15" s="180"/>
      <c r="AG15" s="180"/>
      <c r="AH15" s="180"/>
      <c r="AI15" s="180"/>
      <c r="AJ15" s="180"/>
      <c r="AK15" s="180"/>
      <c r="AL15" s="180"/>
      <c r="AM15" s="180"/>
      <c r="AN15" s="180"/>
      <c r="AO15" s="180"/>
      <c r="AP15" s="180"/>
      <c r="AQ15" s="180"/>
      <c r="AR15" s="180"/>
      <c r="AS15" s="181"/>
      <c r="AT15" s="177"/>
    </row>
    <row r="16" spans="1:91" s="65" customFormat="1" ht="18" customHeight="1">
      <c r="A16" s="253">
        <v>1</v>
      </c>
      <c r="B16" s="253" t="s">
        <v>161</v>
      </c>
      <c r="C16" s="255" t="str">
        <f>VLOOKUP(B16,DS,2,0)</f>
        <v>Nguyễn Trường Giang</v>
      </c>
      <c r="D16" s="257" t="str">
        <f>VLOOKUP(B16,DS,3,0)</f>
        <v>Thợ in</v>
      </c>
      <c r="E16" s="66" t="s">
        <v>32</v>
      </c>
      <c r="F16" s="141">
        <v>8</v>
      </c>
      <c r="G16" s="141"/>
      <c r="H16" s="141">
        <v>8</v>
      </c>
      <c r="I16" s="141">
        <v>8</v>
      </c>
      <c r="J16" s="141">
        <v>8</v>
      </c>
      <c r="K16" s="141">
        <v>8</v>
      </c>
      <c r="L16" s="141">
        <v>8</v>
      </c>
      <c r="M16" s="141">
        <v>8</v>
      </c>
      <c r="N16" s="141"/>
      <c r="O16" s="141">
        <v>8</v>
      </c>
      <c r="P16" s="141">
        <v>8</v>
      </c>
      <c r="Q16" s="141">
        <v>8</v>
      </c>
      <c r="R16" s="141">
        <v>8</v>
      </c>
      <c r="S16" s="141">
        <v>8</v>
      </c>
      <c r="T16" s="141">
        <v>8</v>
      </c>
      <c r="U16" s="141"/>
      <c r="V16" s="141">
        <v>8</v>
      </c>
      <c r="W16" s="141">
        <v>8</v>
      </c>
      <c r="X16" s="141">
        <v>8</v>
      </c>
      <c r="Y16" s="141">
        <v>8</v>
      </c>
      <c r="Z16" s="141">
        <v>8</v>
      </c>
      <c r="AA16" s="141">
        <v>8</v>
      </c>
      <c r="AB16" s="141"/>
      <c r="AC16" s="141">
        <v>8</v>
      </c>
      <c r="AD16" s="141">
        <v>8</v>
      </c>
      <c r="AE16" s="141">
        <v>8</v>
      </c>
      <c r="AF16" s="141">
        <v>8</v>
      </c>
      <c r="AG16" s="141">
        <v>8</v>
      </c>
      <c r="AH16" s="141">
        <v>8</v>
      </c>
      <c r="AI16" s="141"/>
      <c r="AJ16" s="141">
        <v>8</v>
      </c>
      <c r="AK16" s="259">
        <f t="shared" ref="AK16" si="9">((SUM(F16:AJ16))/8)-(SUMIF($F$6:$AJ$6,"C.Nhật",F16:AJ16)/8)</f>
        <v>26</v>
      </c>
      <c r="AL16" s="259">
        <f t="shared" ref="AL16" si="10">SUM(F17:AJ17)/8*1.5</f>
        <v>0</v>
      </c>
      <c r="AM16" s="262">
        <f>SUMIF($F$6:$AJ$6,"C.Nhật",$F16:$AJ17)/8*2</f>
        <v>0</v>
      </c>
      <c r="AN16" s="264">
        <f>SUM(AK16:AM17)</f>
        <v>26</v>
      </c>
      <c r="AO16" s="266">
        <v>0</v>
      </c>
      <c r="AP16" s="264"/>
      <c r="AQ16" s="264"/>
      <c r="AR16" s="264"/>
      <c r="AS16" s="268"/>
      <c r="AT16" s="21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5" customFormat="1" ht="18" customHeight="1">
      <c r="A17" s="254"/>
      <c r="B17" s="254"/>
      <c r="C17" s="256"/>
      <c r="D17" s="258"/>
      <c r="E17" s="67" t="s">
        <v>31</v>
      </c>
      <c r="F17" s="142"/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  <c r="AA17" s="142"/>
      <c r="AB17" s="142"/>
      <c r="AC17" s="142"/>
      <c r="AD17" s="142"/>
      <c r="AE17" s="142"/>
      <c r="AF17" s="142"/>
      <c r="AG17" s="142"/>
      <c r="AH17" s="142"/>
      <c r="AI17" s="142"/>
      <c r="AJ17" s="142"/>
      <c r="AK17" s="260"/>
      <c r="AL17" s="260"/>
      <c r="AM17" s="263"/>
      <c r="AN17" s="265"/>
      <c r="AO17" s="267"/>
      <c r="AP17" s="265"/>
      <c r="AQ17" s="265"/>
      <c r="AR17" s="265"/>
      <c r="AS17" s="269"/>
      <c r="AT17" s="21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5" customFormat="1" ht="18" customHeight="1">
      <c r="A18" s="253">
        <v>2</v>
      </c>
      <c r="B18" s="253" t="s">
        <v>162</v>
      </c>
      <c r="C18" s="255" t="str">
        <f>VLOOKUP(B18,DS,2,0)</f>
        <v>Võ Văn Kiệt</v>
      </c>
      <c r="D18" s="257" t="str">
        <f>VLOOKUP(B18,DS,3,0)</f>
        <v>Công Đoạn 1</v>
      </c>
      <c r="E18" s="66" t="s">
        <v>32</v>
      </c>
      <c r="F18" s="141">
        <v>8</v>
      </c>
      <c r="G18" s="141"/>
      <c r="H18" s="141">
        <v>8</v>
      </c>
      <c r="I18" s="141">
        <v>8</v>
      </c>
      <c r="J18" s="141">
        <v>8</v>
      </c>
      <c r="K18" s="141">
        <v>8</v>
      </c>
      <c r="L18" s="141">
        <v>8</v>
      </c>
      <c r="M18" s="141">
        <v>8</v>
      </c>
      <c r="N18" s="141"/>
      <c r="O18" s="141">
        <v>8</v>
      </c>
      <c r="P18" s="141">
        <v>8</v>
      </c>
      <c r="Q18" s="141">
        <v>8</v>
      </c>
      <c r="R18" s="141">
        <v>8</v>
      </c>
      <c r="S18" s="141">
        <v>8</v>
      </c>
      <c r="T18" s="141">
        <v>8</v>
      </c>
      <c r="U18" s="141"/>
      <c r="V18" s="141">
        <v>8</v>
      </c>
      <c r="W18" s="141">
        <v>8</v>
      </c>
      <c r="X18" s="141">
        <v>8</v>
      </c>
      <c r="Y18" s="141">
        <v>8</v>
      </c>
      <c r="Z18" s="141">
        <v>8</v>
      </c>
      <c r="AA18" s="141">
        <v>8</v>
      </c>
      <c r="AB18" s="141"/>
      <c r="AC18" s="141">
        <v>8</v>
      </c>
      <c r="AD18" s="141">
        <v>8</v>
      </c>
      <c r="AE18" s="141">
        <v>8</v>
      </c>
      <c r="AF18" s="141">
        <v>8</v>
      </c>
      <c r="AG18" s="141">
        <v>8</v>
      </c>
      <c r="AH18" s="141">
        <v>8</v>
      </c>
      <c r="AI18" s="141"/>
      <c r="AJ18" s="141">
        <v>8</v>
      </c>
      <c r="AK18" s="259">
        <f t="shared" ref="AK18" si="11">((SUM(F18:AJ18))/8)-(SUMIF($F$6:$AJ$6,"C.Nhật",F18:AJ18)/8)</f>
        <v>26</v>
      </c>
      <c r="AL18" s="259">
        <f t="shared" ref="AL18" si="12">SUM(F19:AJ19)/8*1.5</f>
        <v>0</v>
      </c>
      <c r="AM18" s="262">
        <f>SUMIF($F$6:$AJ$6,"C.Nhật",$F18:$AJ19)/8*2</f>
        <v>0</v>
      </c>
      <c r="AN18" s="264">
        <f t="shared" ref="AN18" si="13">SUM(AK18:AM19)</f>
        <v>26</v>
      </c>
      <c r="AO18" s="266">
        <v>0</v>
      </c>
      <c r="AP18" s="264"/>
      <c r="AQ18" s="264"/>
      <c r="AR18" s="264"/>
      <c r="AS18" s="268"/>
      <c r="AT18" s="22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5" customFormat="1" ht="18" customHeight="1">
      <c r="A19" s="254"/>
      <c r="B19" s="254"/>
      <c r="C19" s="256"/>
      <c r="D19" s="258"/>
      <c r="E19" s="67" t="s">
        <v>31</v>
      </c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  <c r="Y19" s="142"/>
      <c r="Z19" s="142"/>
      <c r="AA19" s="142"/>
      <c r="AB19" s="142"/>
      <c r="AC19" s="142"/>
      <c r="AD19" s="142"/>
      <c r="AE19" s="142"/>
      <c r="AF19" s="142"/>
      <c r="AG19" s="142"/>
      <c r="AH19" s="142"/>
      <c r="AI19" s="142"/>
      <c r="AJ19" s="142"/>
      <c r="AK19" s="260"/>
      <c r="AL19" s="260"/>
      <c r="AM19" s="263"/>
      <c r="AN19" s="265"/>
      <c r="AO19" s="267"/>
      <c r="AP19" s="265"/>
      <c r="AQ19" s="265"/>
      <c r="AR19" s="265"/>
      <c r="AS19" s="269"/>
      <c r="AT19" s="22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5" customFormat="1" ht="18" customHeight="1">
      <c r="A20" s="253">
        <v>3</v>
      </c>
      <c r="B20" s="253" t="s">
        <v>163</v>
      </c>
      <c r="C20" s="255" t="str">
        <f>VLOOKUP(B20,DS,2,0)</f>
        <v>Diệp Văn Lân</v>
      </c>
      <c r="D20" s="257" t="str">
        <f>VLOOKUP(B20,DS,3,0)</f>
        <v>Công Đoạn 1</v>
      </c>
      <c r="E20" s="66" t="s">
        <v>32</v>
      </c>
      <c r="F20" s="141">
        <v>8</v>
      </c>
      <c r="G20" s="141"/>
      <c r="H20" s="141">
        <v>8</v>
      </c>
      <c r="I20" s="141">
        <v>8</v>
      </c>
      <c r="J20" s="141">
        <v>8</v>
      </c>
      <c r="K20" s="141">
        <v>8</v>
      </c>
      <c r="L20" s="141">
        <v>8</v>
      </c>
      <c r="M20" s="141">
        <v>8</v>
      </c>
      <c r="N20" s="141"/>
      <c r="O20" s="141">
        <v>8</v>
      </c>
      <c r="P20" s="141">
        <v>8</v>
      </c>
      <c r="Q20" s="141">
        <v>8</v>
      </c>
      <c r="R20" s="141">
        <v>8</v>
      </c>
      <c r="S20" s="141">
        <v>8</v>
      </c>
      <c r="T20" s="141">
        <v>8</v>
      </c>
      <c r="U20" s="141"/>
      <c r="V20" s="141">
        <v>8</v>
      </c>
      <c r="W20" s="141">
        <v>8</v>
      </c>
      <c r="X20" s="141">
        <v>8</v>
      </c>
      <c r="Y20" s="141">
        <v>8</v>
      </c>
      <c r="Z20" s="141">
        <v>8</v>
      </c>
      <c r="AA20" s="141">
        <v>8</v>
      </c>
      <c r="AB20" s="141"/>
      <c r="AC20" s="141">
        <v>8</v>
      </c>
      <c r="AD20" s="141">
        <v>8</v>
      </c>
      <c r="AE20" s="141">
        <v>8</v>
      </c>
      <c r="AF20" s="141">
        <v>8</v>
      </c>
      <c r="AG20" s="141">
        <v>8</v>
      </c>
      <c r="AH20" s="141">
        <v>8</v>
      </c>
      <c r="AI20" s="141"/>
      <c r="AJ20" s="141">
        <v>8</v>
      </c>
      <c r="AK20" s="259">
        <f t="shared" ref="AK20" si="14">((SUM(F20:AJ20))/8)-(SUMIF($F$6:$AJ$6,"C.Nhật",F20:AJ20)/8)</f>
        <v>26</v>
      </c>
      <c r="AL20" s="259">
        <f t="shared" ref="AL20" si="15">SUM(F21:AJ21)/8*1.5</f>
        <v>0</v>
      </c>
      <c r="AM20" s="262">
        <f>SUMIF($F$6:$AJ$6,"C.Nhật",$F20:$AJ21)/8*2</f>
        <v>0</v>
      </c>
      <c r="AN20" s="264">
        <f t="shared" ref="AN20" si="16">SUM(AK20:AM21)</f>
        <v>26</v>
      </c>
      <c r="AO20" s="266">
        <v>0</v>
      </c>
      <c r="AP20" s="264"/>
      <c r="AQ20" s="264"/>
      <c r="AR20" s="264"/>
      <c r="AS20" s="268"/>
      <c r="AT20" s="22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5" customFormat="1" ht="18" customHeight="1">
      <c r="A21" s="254"/>
      <c r="B21" s="254"/>
      <c r="C21" s="256"/>
      <c r="D21" s="258"/>
      <c r="E21" s="67" t="s">
        <v>31</v>
      </c>
      <c r="F21" s="142"/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142"/>
      <c r="AA21" s="142"/>
      <c r="AB21" s="142"/>
      <c r="AC21" s="142"/>
      <c r="AD21" s="142"/>
      <c r="AE21" s="142"/>
      <c r="AF21" s="142"/>
      <c r="AG21" s="142"/>
      <c r="AH21" s="142"/>
      <c r="AI21" s="142"/>
      <c r="AJ21" s="142"/>
      <c r="AK21" s="260"/>
      <c r="AL21" s="260"/>
      <c r="AM21" s="263"/>
      <c r="AN21" s="265"/>
      <c r="AO21" s="267"/>
      <c r="AP21" s="265"/>
      <c r="AQ21" s="265"/>
      <c r="AR21" s="265"/>
      <c r="AS21" s="269"/>
      <c r="AT21" s="22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5" customFormat="1" ht="18" customHeight="1">
      <c r="A22" s="253">
        <v>4</v>
      </c>
      <c r="B22" s="253" t="s">
        <v>176</v>
      </c>
      <c r="C22" s="255" t="str">
        <f>VLOOKUP(B22,DS,2,0)</f>
        <v>Dương Thế Kiệt</v>
      </c>
      <c r="D22" s="257" t="str">
        <f>VLOOKUP(B22,DS,3,0)</f>
        <v>Công Đoạn 1</v>
      </c>
      <c r="E22" s="66" t="s">
        <v>32</v>
      </c>
      <c r="F22" s="141">
        <v>8</v>
      </c>
      <c r="G22" s="141"/>
      <c r="H22" s="141">
        <v>8</v>
      </c>
      <c r="I22" s="141">
        <v>8</v>
      </c>
      <c r="J22" s="141">
        <v>8</v>
      </c>
      <c r="K22" s="141">
        <v>8</v>
      </c>
      <c r="L22" s="141">
        <v>8</v>
      </c>
      <c r="M22" s="141">
        <v>8</v>
      </c>
      <c r="N22" s="141"/>
      <c r="O22" s="141">
        <v>8</v>
      </c>
      <c r="P22" s="141">
        <v>8</v>
      </c>
      <c r="Q22" s="141">
        <v>8</v>
      </c>
      <c r="R22" s="141">
        <v>8</v>
      </c>
      <c r="S22" s="141">
        <v>8</v>
      </c>
      <c r="T22" s="141">
        <v>8</v>
      </c>
      <c r="U22" s="141"/>
      <c r="V22" s="141">
        <v>8</v>
      </c>
      <c r="W22" s="141">
        <v>8</v>
      </c>
      <c r="X22" s="141">
        <v>8</v>
      </c>
      <c r="Y22" s="141">
        <v>8</v>
      </c>
      <c r="Z22" s="141">
        <v>8</v>
      </c>
      <c r="AA22" s="141">
        <v>8</v>
      </c>
      <c r="AB22" s="141"/>
      <c r="AC22" s="141">
        <v>8</v>
      </c>
      <c r="AD22" s="141">
        <v>8</v>
      </c>
      <c r="AE22" s="141">
        <v>8</v>
      </c>
      <c r="AF22" s="141">
        <v>8</v>
      </c>
      <c r="AG22" s="141">
        <v>8</v>
      </c>
      <c r="AH22" s="141">
        <v>8</v>
      </c>
      <c r="AI22" s="141"/>
      <c r="AJ22" s="141">
        <v>8</v>
      </c>
      <c r="AK22" s="259">
        <f t="shared" ref="AK22" si="17">((SUM(F22:AJ22))/8)-(SUMIF($F$6:$AJ$6,"C.Nhật",F22:AJ22)/8)</f>
        <v>26</v>
      </c>
      <c r="AL22" s="259">
        <f t="shared" ref="AL22" si="18">SUM(F23:AJ23)/8*1.5</f>
        <v>0</v>
      </c>
      <c r="AM22" s="262">
        <f>SUMIF($F$6:$AJ$6,"C.Nhật",$F22:$AJ23)/8*2</f>
        <v>0</v>
      </c>
      <c r="AN22" s="264">
        <f t="shared" ref="AN22" si="19">SUM(AK22:AM23)</f>
        <v>26</v>
      </c>
      <c r="AO22" s="266">
        <v>0</v>
      </c>
      <c r="AP22" s="264"/>
      <c r="AQ22" s="264"/>
      <c r="AR22" s="264"/>
      <c r="AS22" s="268"/>
      <c r="AT22" s="22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5" customFormat="1" ht="18" customHeight="1">
      <c r="A23" s="254"/>
      <c r="B23" s="254"/>
      <c r="C23" s="256"/>
      <c r="D23" s="258"/>
      <c r="E23" s="67" t="s">
        <v>31</v>
      </c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  <c r="AA23" s="142"/>
      <c r="AB23" s="142"/>
      <c r="AC23" s="142"/>
      <c r="AD23" s="142"/>
      <c r="AE23" s="142"/>
      <c r="AF23" s="142"/>
      <c r="AG23" s="142"/>
      <c r="AH23" s="142"/>
      <c r="AI23" s="142"/>
      <c r="AJ23" s="142"/>
      <c r="AK23" s="260"/>
      <c r="AL23" s="260"/>
      <c r="AM23" s="263"/>
      <c r="AN23" s="265"/>
      <c r="AO23" s="267"/>
      <c r="AP23" s="265"/>
      <c r="AQ23" s="265"/>
      <c r="AR23" s="265"/>
      <c r="AS23" s="269"/>
      <c r="AT23" s="22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5" customFormat="1" ht="18" customHeight="1">
      <c r="A24" s="253">
        <v>5</v>
      </c>
      <c r="B24" s="253" t="s">
        <v>177</v>
      </c>
      <c r="C24" s="255" t="str">
        <f>VLOOKUP(B24,DS,2,0)</f>
        <v>Lê Văn Hữu</v>
      </c>
      <c r="D24" s="257" t="str">
        <f>VLOOKUP(B24,DS,3,0)</f>
        <v>Công Đoạn 2</v>
      </c>
      <c r="E24" s="66" t="s">
        <v>32</v>
      </c>
      <c r="F24" s="141">
        <v>8</v>
      </c>
      <c r="G24" s="141"/>
      <c r="H24" s="141">
        <v>8</v>
      </c>
      <c r="I24" s="141">
        <v>8</v>
      </c>
      <c r="J24" s="141">
        <v>8</v>
      </c>
      <c r="K24" s="141">
        <v>8</v>
      </c>
      <c r="L24" s="141">
        <v>8</v>
      </c>
      <c r="M24" s="141">
        <v>8</v>
      </c>
      <c r="N24" s="141"/>
      <c r="O24" s="141">
        <v>8</v>
      </c>
      <c r="P24" s="141">
        <v>8</v>
      </c>
      <c r="Q24" s="141">
        <v>8</v>
      </c>
      <c r="R24" s="141">
        <v>8</v>
      </c>
      <c r="S24" s="141">
        <v>8</v>
      </c>
      <c r="T24" s="141">
        <v>8</v>
      </c>
      <c r="U24" s="141"/>
      <c r="V24" s="141">
        <v>8</v>
      </c>
      <c r="W24" s="141">
        <v>8</v>
      </c>
      <c r="X24" s="141">
        <v>8</v>
      </c>
      <c r="Y24" s="141">
        <v>8</v>
      </c>
      <c r="Z24" s="141">
        <v>8</v>
      </c>
      <c r="AA24" s="141">
        <v>8</v>
      </c>
      <c r="AB24" s="141"/>
      <c r="AC24" s="141">
        <v>8</v>
      </c>
      <c r="AD24" s="141">
        <v>8</v>
      </c>
      <c r="AE24" s="141">
        <v>8</v>
      </c>
      <c r="AF24" s="141">
        <v>8</v>
      </c>
      <c r="AG24" s="141">
        <v>8</v>
      </c>
      <c r="AH24" s="141">
        <v>8</v>
      </c>
      <c r="AI24" s="141"/>
      <c r="AJ24" s="141">
        <v>8</v>
      </c>
      <c r="AK24" s="259">
        <f t="shared" ref="AK24" si="20">((SUM(F24:AJ24))/8)-(SUMIF($F$6:$AJ$6,"C.Nhật",F24:AJ24)/8)</f>
        <v>26</v>
      </c>
      <c r="AL24" s="259">
        <f t="shared" ref="AL24" si="21">SUM(F25:AJ25)/8*1.5</f>
        <v>0</v>
      </c>
      <c r="AM24" s="262">
        <f>SUMIF($F$6:$AJ$6,"C.Nhật",$F24:$AJ25)/8*2</f>
        <v>0</v>
      </c>
      <c r="AN24" s="264">
        <f t="shared" ref="AN24" si="22">SUM(AK24:AM25)</f>
        <v>26</v>
      </c>
      <c r="AO24" s="266">
        <v>0</v>
      </c>
      <c r="AP24" s="264"/>
      <c r="AQ24" s="264"/>
      <c r="AR24" s="264"/>
      <c r="AS24" s="268"/>
      <c r="AT24" s="22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5" customFormat="1" ht="18" customHeight="1">
      <c r="A25" s="254"/>
      <c r="B25" s="254"/>
      <c r="C25" s="256"/>
      <c r="D25" s="258"/>
      <c r="E25" s="67" t="s">
        <v>31</v>
      </c>
      <c r="F25" s="142"/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  <c r="AA25" s="142"/>
      <c r="AB25" s="142"/>
      <c r="AC25" s="142"/>
      <c r="AD25" s="142"/>
      <c r="AE25" s="142"/>
      <c r="AF25" s="142"/>
      <c r="AG25" s="142"/>
      <c r="AH25" s="142"/>
      <c r="AI25" s="142"/>
      <c r="AJ25" s="142"/>
      <c r="AK25" s="260"/>
      <c r="AL25" s="260"/>
      <c r="AM25" s="263"/>
      <c r="AN25" s="265"/>
      <c r="AO25" s="267"/>
      <c r="AP25" s="265"/>
      <c r="AQ25" s="265"/>
      <c r="AR25" s="265"/>
      <c r="AS25" s="269"/>
      <c r="AT25" s="22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5" customFormat="1" ht="18" customHeight="1">
      <c r="A26" s="253">
        <v>6</v>
      </c>
      <c r="B26" s="253" t="s">
        <v>178</v>
      </c>
      <c r="C26" s="255" t="str">
        <f>VLOOKUP(B26,DS,2,0)</f>
        <v>Bùi Trường Giang</v>
      </c>
      <c r="D26" s="257" t="str">
        <f>VLOOKUP(B26,DS,3,0)</f>
        <v>Công Đoạn 2</v>
      </c>
      <c r="E26" s="66" t="s">
        <v>32</v>
      </c>
      <c r="F26" s="141">
        <v>8</v>
      </c>
      <c r="G26" s="141"/>
      <c r="H26" s="141">
        <v>8</v>
      </c>
      <c r="I26" s="141">
        <v>8</v>
      </c>
      <c r="J26" s="141">
        <v>8</v>
      </c>
      <c r="K26" s="141">
        <v>8</v>
      </c>
      <c r="L26" s="141">
        <v>8</v>
      </c>
      <c r="M26" s="141">
        <v>8</v>
      </c>
      <c r="N26" s="141"/>
      <c r="O26" s="141">
        <v>8</v>
      </c>
      <c r="P26" s="141">
        <v>8</v>
      </c>
      <c r="Q26" s="141">
        <v>8</v>
      </c>
      <c r="R26" s="141">
        <v>8</v>
      </c>
      <c r="S26" s="141">
        <v>8</v>
      </c>
      <c r="T26" s="141">
        <v>8</v>
      </c>
      <c r="U26" s="141"/>
      <c r="V26" s="141">
        <v>8</v>
      </c>
      <c r="W26" s="141">
        <v>8</v>
      </c>
      <c r="X26" s="141">
        <v>8</v>
      </c>
      <c r="Y26" s="141">
        <v>8</v>
      </c>
      <c r="Z26" s="141">
        <v>8</v>
      </c>
      <c r="AA26" s="141">
        <v>8</v>
      </c>
      <c r="AB26" s="141"/>
      <c r="AC26" s="141">
        <v>8</v>
      </c>
      <c r="AD26" s="141">
        <v>8</v>
      </c>
      <c r="AE26" s="141">
        <v>8</v>
      </c>
      <c r="AF26" s="141">
        <v>8</v>
      </c>
      <c r="AG26" s="141">
        <v>8</v>
      </c>
      <c r="AH26" s="141">
        <v>8</v>
      </c>
      <c r="AI26" s="141"/>
      <c r="AJ26" s="141">
        <v>8</v>
      </c>
      <c r="AK26" s="259">
        <f t="shared" ref="AK26" si="23">((SUM(F26:AJ26))/8)-(SUMIF($F$6:$AJ$6,"C.Nhật",F26:AJ26)/8)</f>
        <v>26</v>
      </c>
      <c r="AL26" s="259">
        <f t="shared" ref="AL26" si="24">SUM(F27:AJ27)/8*1.5</f>
        <v>0</v>
      </c>
      <c r="AM26" s="262">
        <f>SUMIF($F$6:$AJ$6,"C.Nhật",$F26:$AJ27)/8*2</f>
        <v>0</v>
      </c>
      <c r="AN26" s="264">
        <f t="shared" ref="AN26" si="25">SUM(AK26:AM27)</f>
        <v>26</v>
      </c>
      <c r="AO26" s="266">
        <v>0</v>
      </c>
      <c r="AP26" s="264"/>
      <c r="AQ26" s="264"/>
      <c r="AR26" s="264"/>
      <c r="AS26" s="268"/>
      <c r="AT26" s="219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5" customFormat="1" ht="18" customHeight="1">
      <c r="A27" s="254"/>
      <c r="B27" s="254"/>
      <c r="C27" s="256"/>
      <c r="D27" s="258"/>
      <c r="E27" s="67" t="s">
        <v>31</v>
      </c>
      <c r="F27" s="142"/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142"/>
      <c r="Z27" s="142"/>
      <c r="AA27" s="142"/>
      <c r="AB27" s="142"/>
      <c r="AC27" s="142"/>
      <c r="AD27" s="142"/>
      <c r="AE27" s="142"/>
      <c r="AF27" s="142"/>
      <c r="AG27" s="142"/>
      <c r="AH27" s="142"/>
      <c r="AI27" s="142"/>
      <c r="AJ27" s="142"/>
      <c r="AK27" s="260"/>
      <c r="AL27" s="260"/>
      <c r="AM27" s="263"/>
      <c r="AN27" s="265"/>
      <c r="AO27" s="267"/>
      <c r="AP27" s="265"/>
      <c r="AQ27" s="265"/>
      <c r="AR27" s="265"/>
      <c r="AS27" s="269"/>
      <c r="AT27" s="219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5" customFormat="1" ht="18" customHeight="1">
      <c r="A28" s="253">
        <v>7</v>
      </c>
      <c r="B28" s="253" t="s">
        <v>179</v>
      </c>
      <c r="C28" s="255" t="str">
        <f>VLOOKUP(B28,DS,2,0)</f>
        <v>Nguyễn T Bích Thủy</v>
      </c>
      <c r="D28" s="257" t="str">
        <f>VLOOKUP(B28,DS,3,0)</f>
        <v>Công Đoạn 2</v>
      </c>
      <c r="E28" s="66" t="s">
        <v>32</v>
      </c>
      <c r="F28" s="141">
        <v>8</v>
      </c>
      <c r="G28" s="141"/>
      <c r="H28" s="141">
        <v>8</v>
      </c>
      <c r="I28" s="141">
        <v>8</v>
      </c>
      <c r="J28" s="141">
        <v>8</v>
      </c>
      <c r="K28" s="141">
        <v>8</v>
      </c>
      <c r="L28" s="141">
        <v>8</v>
      </c>
      <c r="M28" s="141">
        <v>8</v>
      </c>
      <c r="N28" s="141"/>
      <c r="O28" s="141">
        <v>8</v>
      </c>
      <c r="P28" s="141">
        <v>8</v>
      </c>
      <c r="Q28" s="141">
        <v>8</v>
      </c>
      <c r="R28" s="141">
        <v>8</v>
      </c>
      <c r="S28" s="141">
        <v>8</v>
      </c>
      <c r="T28" s="141">
        <v>8</v>
      </c>
      <c r="U28" s="141"/>
      <c r="V28" s="141">
        <v>8</v>
      </c>
      <c r="W28" s="141">
        <v>8</v>
      </c>
      <c r="X28" s="141">
        <v>8</v>
      </c>
      <c r="Y28" s="141">
        <v>8</v>
      </c>
      <c r="Z28" s="141">
        <v>8</v>
      </c>
      <c r="AA28" s="141">
        <v>8</v>
      </c>
      <c r="AB28" s="141"/>
      <c r="AC28" s="141">
        <v>8</v>
      </c>
      <c r="AD28" s="141">
        <v>8</v>
      </c>
      <c r="AE28" s="141">
        <v>8</v>
      </c>
      <c r="AF28" s="141">
        <v>8</v>
      </c>
      <c r="AG28" s="141">
        <v>8</v>
      </c>
      <c r="AH28" s="141">
        <v>8</v>
      </c>
      <c r="AI28" s="141"/>
      <c r="AJ28" s="141">
        <v>8</v>
      </c>
      <c r="AK28" s="259">
        <f t="shared" ref="AK28" si="26">((SUM(F28:AJ28))/8)-(SUMIF($F$6:$AJ$6,"C.Nhật",F28:AJ28)/8)</f>
        <v>26</v>
      </c>
      <c r="AL28" s="259">
        <f t="shared" ref="AL28" si="27">SUM(F29:AJ29)/8*1.5</f>
        <v>0</v>
      </c>
      <c r="AM28" s="262">
        <f>SUMIF($F$6:$AJ$6,"C.Nhật",$F28:$AJ29)/8*2</f>
        <v>0</v>
      </c>
      <c r="AN28" s="264">
        <f t="shared" ref="AN28" si="28">SUM(AK28:AM29)</f>
        <v>26</v>
      </c>
      <c r="AO28" s="266">
        <v>0</v>
      </c>
      <c r="AP28" s="264"/>
      <c r="AQ28" s="264"/>
      <c r="AR28" s="264"/>
      <c r="AS28" s="268"/>
      <c r="AT28" s="219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5" customFormat="1" ht="18" customHeight="1">
      <c r="A29" s="254"/>
      <c r="B29" s="254"/>
      <c r="C29" s="256"/>
      <c r="D29" s="258"/>
      <c r="E29" s="67" t="s">
        <v>31</v>
      </c>
      <c r="F29" s="142"/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  <c r="Y29" s="142"/>
      <c r="Z29" s="142"/>
      <c r="AA29" s="142"/>
      <c r="AB29" s="142"/>
      <c r="AC29" s="142"/>
      <c r="AD29" s="142"/>
      <c r="AE29" s="142"/>
      <c r="AF29" s="142"/>
      <c r="AG29" s="142"/>
      <c r="AH29" s="142"/>
      <c r="AI29" s="142"/>
      <c r="AJ29" s="142"/>
      <c r="AK29" s="260"/>
      <c r="AL29" s="260"/>
      <c r="AM29" s="263"/>
      <c r="AN29" s="265"/>
      <c r="AO29" s="267"/>
      <c r="AP29" s="265"/>
      <c r="AQ29" s="265"/>
      <c r="AR29" s="265"/>
      <c r="AS29" s="269"/>
      <c r="AT29" s="219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8" customFormat="1" ht="12.75">
      <c r="A30" s="14"/>
      <c r="B30" s="69"/>
      <c r="C30" s="4"/>
      <c r="D30" s="111"/>
      <c r="E30" s="4"/>
      <c r="F30" s="73"/>
      <c r="G30" s="73"/>
      <c r="H30" s="70"/>
      <c r="I30" s="70"/>
      <c r="J30" s="118"/>
      <c r="K30" s="73"/>
      <c r="L30" s="70"/>
      <c r="M30" s="73"/>
      <c r="N30" s="73"/>
      <c r="O30" s="73"/>
      <c r="P30" s="73"/>
      <c r="Q30" s="70"/>
      <c r="R30" s="73"/>
      <c r="S30" s="73"/>
      <c r="T30" s="118"/>
      <c r="U30" s="73"/>
      <c r="V30" s="73"/>
      <c r="W30" s="73"/>
      <c r="X30" s="69"/>
      <c r="Y30" s="73"/>
      <c r="Z30" s="73"/>
      <c r="AA30" s="73"/>
      <c r="AB30" s="73"/>
      <c r="AC30" s="73"/>
      <c r="AD30" s="70"/>
      <c r="AE30" s="73"/>
      <c r="AF30" s="73"/>
      <c r="AG30" s="73"/>
      <c r="AH30" s="73"/>
      <c r="AI30" s="73"/>
      <c r="AJ30" s="73"/>
      <c r="AK30" s="4"/>
      <c r="AL30" s="4"/>
      <c r="AM30" s="96"/>
      <c r="AN30" s="72"/>
      <c r="AO30" s="72"/>
      <c r="AP30" s="72"/>
      <c r="AQ30" s="72"/>
      <c r="AR30" s="72"/>
      <c r="AS30" s="4"/>
      <c r="AT30" s="102"/>
    </row>
    <row r="31" spans="1:90" s="68" customFormat="1" ht="12.75">
      <c r="A31" s="14"/>
      <c r="B31" s="69"/>
      <c r="C31" s="14" t="s">
        <v>14</v>
      </c>
      <c r="D31" s="111"/>
      <c r="E31" s="4"/>
      <c r="F31" s="73"/>
      <c r="G31" s="73"/>
      <c r="H31" s="70"/>
      <c r="I31" s="70"/>
      <c r="J31" s="118"/>
      <c r="K31" s="73"/>
      <c r="L31" s="70"/>
      <c r="M31" s="73"/>
      <c r="N31" s="73"/>
      <c r="O31" s="73"/>
      <c r="P31" s="73"/>
      <c r="Q31" s="70"/>
      <c r="R31" s="73"/>
      <c r="S31" s="73"/>
      <c r="T31" s="118"/>
      <c r="U31" s="73"/>
      <c r="V31" s="73"/>
      <c r="W31" s="73"/>
      <c r="X31" s="69"/>
      <c r="Y31" s="73"/>
      <c r="Z31" s="73"/>
      <c r="AA31" s="73"/>
      <c r="AB31" s="73"/>
      <c r="AC31" s="73"/>
      <c r="AD31" s="70"/>
      <c r="AE31" s="73"/>
      <c r="AF31" s="73"/>
      <c r="AG31" s="73"/>
      <c r="AH31" s="73"/>
      <c r="AI31" s="73"/>
      <c r="AJ31" s="73"/>
      <c r="AK31" s="4"/>
      <c r="AL31" s="4"/>
      <c r="AM31" s="96"/>
      <c r="AN31" s="72"/>
      <c r="AO31" s="72"/>
      <c r="AP31" s="72"/>
      <c r="AQ31" s="72"/>
      <c r="AR31" s="72"/>
      <c r="AS31" s="4"/>
      <c r="AT31" s="102"/>
    </row>
    <row r="32" spans="1:90" s="68" customFormat="1" ht="12.75">
      <c r="A32" s="12"/>
      <c r="B32" s="12"/>
      <c r="C32" s="4"/>
      <c r="D32" s="111"/>
      <c r="E32" s="4"/>
      <c r="F32" s="73"/>
      <c r="G32" s="73"/>
      <c r="H32" s="119"/>
      <c r="I32" s="119"/>
      <c r="J32" s="119"/>
      <c r="K32" s="73"/>
      <c r="L32" s="119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119"/>
      <c r="AE32" s="73"/>
      <c r="AF32" s="73"/>
      <c r="AG32" s="73"/>
      <c r="AH32" s="73"/>
      <c r="AI32" s="73"/>
      <c r="AJ32" s="73"/>
      <c r="AK32" s="4"/>
      <c r="AL32" s="4"/>
      <c r="AM32" s="96"/>
      <c r="AN32" s="74"/>
      <c r="AO32" s="74"/>
      <c r="AP32" s="74"/>
      <c r="AQ32" s="74"/>
      <c r="AR32" s="74"/>
      <c r="AS32" s="4"/>
      <c r="AT32" s="102"/>
    </row>
    <row r="33" spans="1:46" s="71" customFormat="1" ht="15" customHeight="1">
      <c r="A33" s="12"/>
      <c r="B33" s="12"/>
      <c r="C33" s="4"/>
      <c r="D33" s="111"/>
      <c r="E33" s="4"/>
      <c r="F33" s="73"/>
      <c r="G33" s="73"/>
      <c r="H33" s="119"/>
      <c r="I33" s="119"/>
      <c r="J33" s="119"/>
      <c r="K33" s="73"/>
      <c r="L33" s="119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119"/>
      <c r="AE33" s="73"/>
      <c r="AF33" s="73"/>
      <c r="AG33" s="73"/>
      <c r="AH33" s="73"/>
      <c r="AI33" s="73"/>
      <c r="AJ33" s="73"/>
      <c r="AK33" s="4"/>
      <c r="AL33" s="4"/>
      <c r="AM33" s="96"/>
      <c r="AN33" s="74"/>
      <c r="AO33" s="74"/>
      <c r="AP33" s="74"/>
      <c r="AQ33" s="74"/>
      <c r="AR33" s="74"/>
      <c r="AS33" s="4"/>
      <c r="AT33" s="4"/>
    </row>
    <row r="34" spans="1:46" s="71" customFormat="1" ht="11.25">
      <c r="A34" s="12"/>
      <c r="B34" s="12"/>
      <c r="C34" s="4"/>
      <c r="D34" s="111"/>
      <c r="E34" s="4"/>
      <c r="F34" s="73"/>
      <c r="G34" s="73"/>
      <c r="H34" s="119"/>
      <c r="I34" s="119"/>
      <c r="J34" s="119"/>
      <c r="K34" s="73"/>
      <c r="L34" s="119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119"/>
      <c r="AE34" s="73"/>
      <c r="AF34" s="73"/>
      <c r="AG34" s="73"/>
      <c r="AH34" s="73"/>
      <c r="AI34" s="73"/>
      <c r="AJ34" s="73"/>
      <c r="AK34" s="4"/>
      <c r="AL34" s="4"/>
      <c r="AM34" s="96"/>
      <c r="AN34" s="74"/>
      <c r="AO34" s="74"/>
      <c r="AP34" s="74"/>
      <c r="AQ34" s="74"/>
      <c r="AR34" s="74"/>
      <c r="AS34" s="4"/>
      <c r="AT34" s="4"/>
    </row>
    <row r="35" spans="1:46" s="71" customFormat="1" ht="11.25">
      <c r="A35" s="12"/>
      <c r="B35" s="12"/>
      <c r="C35" s="4"/>
      <c r="D35" s="111"/>
      <c r="E35" s="4"/>
      <c r="F35" s="73"/>
      <c r="G35" s="73"/>
      <c r="H35" s="119"/>
      <c r="I35" s="119"/>
      <c r="J35" s="119"/>
      <c r="K35" s="73"/>
      <c r="L35" s="119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119"/>
      <c r="AE35" s="73"/>
      <c r="AF35" s="73"/>
      <c r="AG35" s="73"/>
      <c r="AH35" s="73"/>
      <c r="AI35" s="73"/>
      <c r="AJ35" s="73"/>
      <c r="AK35" s="4"/>
      <c r="AL35" s="4"/>
      <c r="AM35" s="96"/>
      <c r="AN35" s="74"/>
      <c r="AO35" s="74"/>
      <c r="AP35" s="74"/>
      <c r="AQ35" s="74"/>
      <c r="AR35" s="74"/>
      <c r="AS35" s="4"/>
      <c r="AT35" s="4"/>
    </row>
    <row r="36" spans="1:46" s="71" customFormat="1" ht="11.25">
      <c r="A36" s="10"/>
      <c r="B36" s="10"/>
      <c r="C36" s="14"/>
      <c r="D36" s="112"/>
      <c r="E36" s="75"/>
      <c r="F36" s="118"/>
      <c r="G36" s="120"/>
      <c r="H36" s="70"/>
      <c r="I36" s="70"/>
      <c r="J36" s="70"/>
      <c r="K36" s="120"/>
      <c r="L36" s="70"/>
      <c r="M36" s="120"/>
      <c r="N36" s="120"/>
      <c r="O36" s="120"/>
      <c r="P36" s="120"/>
      <c r="Q36" s="70"/>
      <c r="R36" s="118"/>
      <c r="S36" s="120"/>
      <c r="T36" s="120"/>
      <c r="U36" s="70"/>
      <c r="V36" s="120"/>
      <c r="W36" s="120"/>
      <c r="X36" s="70"/>
      <c r="Y36" s="120"/>
      <c r="Z36" s="120"/>
      <c r="AA36" s="120"/>
      <c r="AB36" s="120"/>
      <c r="AC36" s="120"/>
      <c r="AD36" s="70"/>
      <c r="AE36" s="120"/>
      <c r="AF36" s="120"/>
      <c r="AG36" s="120"/>
      <c r="AH36" s="120"/>
      <c r="AI36" s="120"/>
      <c r="AJ36" s="120"/>
      <c r="AK36" s="75"/>
      <c r="AM36" s="97"/>
      <c r="AN36" s="10"/>
      <c r="AO36" s="10"/>
      <c r="AP36" s="10"/>
      <c r="AQ36" s="10"/>
      <c r="AR36" s="10"/>
      <c r="AS36" s="14"/>
      <c r="AT36" s="4"/>
    </row>
    <row r="37" spans="1:46" s="71" customFormat="1" ht="12.75">
      <c r="A37" s="2"/>
      <c r="B37" s="2" t="s">
        <v>0</v>
      </c>
      <c r="C37" s="2"/>
      <c r="D37" s="196"/>
      <c r="E37" s="2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2"/>
      <c r="AI37" s="122"/>
      <c r="AJ37" s="122"/>
      <c r="AK37" s="2"/>
      <c r="AL37" s="2"/>
      <c r="AM37" s="98"/>
      <c r="AN37" s="2"/>
      <c r="AO37" s="2"/>
      <c r="AP37" s="2"/>
      <c r="AQ37" s="2"/>
      <c r="AR37" s="2"/>
      <c r="AS37" s="2"/>
      <c r="AT37" s="4"/>
    </row>
    <row r="38" spans="1:46" s="71" customFormat="1" ht="12.75">
      <c r="A38" s="2"/>
      <c r="B38" s="2"/>
      <c r="C38" s="2" t="s">
        <v>46</v>
      </c>
      <c r="D38" s="196"/>
      <c r="E38" s="2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1"/>
      <c r="AD38" s="121"/>
      <c r="AE38" s="121"/>
      <c r="AF38" s="121"/>
      <c r="AG38" s="121"/>
      <c r="AH38" s="122"/>
      <c r="AI38" s="122"/>
      <c r="AJ38" s="122"/>
      <c r="AK38" s="2"/>
      <c r="AL38" s="2"/>
      <c r="AM38" s="98"/>
      <c r="AN38" s="2"/>
      <c r="AO38" s="2"/>
      <c r="AP38" s="2"/>
      <c r="AQ38" s="2"/>
      <c r="AR38" s="2"/>
      <c r="AS38" s="2"/>
      <c r="AT38" s="14"/>
    </row>
    <row r="39" spans="1:46" ht="15" customHeight="1">
      <c r="C39" s="2" t="s">
        <v>47</v>
      </c>
    </row>
    <row r="40" spans="1:46" ht="15" customHeight="1">
      <c r="C40" s="2" t="s">
        <v>48</v>
      </c>
    </row>
    <row r="41" spans="1:46" ht="15" customHeight="1">
      <c r="C41" s="2" t="s">
        <v>49</v>
      </c>
    </row>
    <row r="42" spans="1:46" ht="15" customHeight="1">
      <c r="C42" s="2" t="s">
        <v>50</v>
      </c>
    </row>
    <row r="43" spans="1:46" ht="15" customHeight="1">
      <c r="C43" s="2" t="s">
        <v>51</v>
      </c>
    </row>
    <row r="44" spans="1:46" ht="15" customHeight="1">
      <c r="C44" s="2" t="s">
        <v>52</v>
      </c>
    </row>
    <row r="45" spans="1:46" ht="15" customHeight="1">
      <c r="C45" s="2" t="s">
        <v>53</v>
      </c>
    </row>
    <row r="46" spans="1:46" ht="15" customHeight="1">
      <c r="C46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2:J35 Q30:Q31" name="Range1_1_1_1"/>
    <protectedRange password="CC78" sqref="J36" name="Range1_3_1_1"/>
    <protectedRange password="CC78" sqref="A16:A29" name="Range1_1_2"/>
    <protectedRange password="CC78" sqref="C16:E29 A16:A29" name="Range1_6_2"/>
    <protectedRange password="CC78" sqref="B16:B29" name="Range1_4_2"/>
  </protectedRanges>
  <mergeCells count="144">
    <mergeCell ref="A20:A21"/>
    <mergeCell ref="B20:B21"/>
    <mergeCell ref="C20:C21"/>
    <mergeCell ref="D20:D21"/>
    <mergeCell ref="AK20:AK21"/>
    <mergeCell ref="A11:A12"/>
    <mergeCell ref="B11:B12"/>
    <mergeCell ref="C11:C12"/>
    <mergeCell ref="AO24:AO25"/>
    <mergeCell ref="AP24:AP25"/>
    <mergeCell ref="AQ24:AQ25"/>
    <mergeCell ref="AR24:AR25"/>
    <mergeCell ref="AS24:AS25"/>
    <mergeCell ref="A24:A25"/>
    <mergeCell ref="B24:B25"/>
    <mergeCell ref="C24:C25"/>
    <mergeCell ref="D24:D25"/>
    <mergeCell ref="AK24:AK25"/>
    <mergeCell ref="AO18:AO19"/>
    <mergeCell ref="AP18:AP19"/>
    <mergeCell ref="AQ18:AQ19"/>
    <mergeCell ref="AR18:AR19"/>
    <mergeCell ref="AS18:AS19"/>
    <mergeCell ref="A18:A19"/>
    <mergeCell ref="B18:B19"/>
    <mergeCell ref="C18:C19"/>
    <mergeCell ref="D18:D19"/>
    <mergeCell ref="AK18:AK19"/>
    <mergeCell ref="AO20:AO21"/>
    <mergeCell ref="AP22:AP23"/>
    <mergeCell ref="AQ22:AQ23"/>
    <mergeCell ref="AR22:AR23"/>
    <mergeCell ref="AS22:AS23"/>
    <mergeCell ref="AL11:AL12"/>
    <mergeCell ref="AM11:AM12"/>
    <mergeCell ref="AN11:AN12"/>
    <mergeCell ref="AO11:AO12"/>
    <mergeCell ref="AP11:AP12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D11:D12"/>
    <mergeCell ref="AK11:AK12"/>
    <mergeCell ref="AL28:AL29"/>
    <mergeCell ref="AM28:AM29"/>
    <mergeCell ref="AN28:AN29"/>
    <mergeCell ref="AO28:AO29"/>
    <mergeCell ref="AP28:AP29"/>
    <mergeCell ref="AR16:AR17"/>
    <mergeCell ref="AS16:AS17"/>
    <mergeCell ref="AQ28:AQ29"/>
    <mergeCell ref="AQ26:AQ27"/>
    <mergeCell ref="AR26:AR27"/>
    <mergeCell ref="AS26:AS27"/>
    <mergeCell ref="AR28:AR29"/>
    <mergeCell ref="AS28:AS29"/>
    <mergeCell ref="AO16:AO17"/>
    <mergeCell ref="AM18:AM19"/>
    <mergeCell ref="AN18:AN19"/>
    <mergeCell ref="AL20:AL21"/>
    <mergeCell ref="AM20:AM21"/>
    <mergeCell ref="AN20:AN21"/>
    <mergeCell ref="AQ11:AQ12"/>
    <mergeCell ref="AR11:AR12"/>
    <mergeCell ref="AS11:AS12"/>
    <mergeCell ref="A28:A29"/>
    <mergeCell ref="B28:B29"/>
    <mergeCell ref="AP16:AP17"/>
    <mergeCell ref="AQ16:AQ17"/>
    <mergeCell ref="AL26:AL27"/>
    <mergeCell ref="AM26:AM27"/>
    <mergeCell ref="AN26:AN27"/>
    <mergeCell ref="AO26:AO27"/>
    <mergeCell ref="AP26:AP27"/>
    <mergeCell ref="A26:A27"/>
    <mergeCell ref="B26:B27"/>
    <mergeCell ref="C26:C27"/>
    <mergeCell ref="C28:C29"/>
    <mergeCell ref="D28:D29"/>
    <mergeCell ref="AK28:AK29"/>
    <mergeCell ref="AL16:AL17"/>
    <mergeCell ref="AM16:AM17"/>
    <mergeCell ref="AN16:AN17"/>
    <mergeCell ref="D26:D27"/>
    <mergeCell ref="AK26:AK27"/>
    <mergeCell ref="AL24:AL25"/>
    <mergeCell ref="AM24:AM25"/>
    <mergeCell ref="AN24:AN25"/>
    <mergeCell ref="AL18:AL19"/>
    <mergeCell ref="A16:A17"/>
    <mergeCell ref="B16:B17"/>
    <mergeCell ref="C16:C17"/>
    <mergeCell ref="D16:D17"/>
    <mergeCell ref="AK16:AK17"/>
    <mergeCell ref="AP13:AP14"/>
    <mergeCell ref="AQ13:AQ14"/>
    <mergeCell ref="AR13:AR14"/>
    <mergeCell ref="AS13:AS14"/>
    <mergeCell ref="AL13:AL14"/>
    <mergeCell ref="AM13:AM14"/>
    <mergeCell ref="AN13:AN14"/>
    <mergeCell ref="AO13:AO14"/>
    <mergeCell ref="A13:A14"/>
    <mergeCell ref="B13:B14"/>
    <mergeCell ref="C13:C14"/>
    <mergeCell ref="D13:D14"/>
    <mergeCell ref="AK13:AK14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0 F13:AJ14">
    <cfRule type="expression" dxfId="80" priority="38" stopIfTrue="1">
      <formula>IF(WEEKDAY(F$5)=1,TRUE,FALSE)</formula>
    </cfRule>
  </conditionalFormatting>
  <conditionalFormatting sqref="F9:AJ10 F13:AJ14">
    <cfRule type="expression" dxfId="79" priority="37" stopIfTrue="1">
      <formula>IF(WEEKDAY(F$5)=1,TRUE,FALSE)</formula>
    </cfRule>
  </conditionalFormatting>
  <conditionalFormatting sqref="F16:AJ17 F26:AJ29">
    <cfRule type="expression" dxfId="78" priority="8" stopIfTrue="1">
      <formula>IF(WEEKDAY(F$5)=1,TRUE,FALSE)</formula>
    </cfRule>
  </conditionalFormatting>
  <conditionalFormatting sqref="F16:AJ17 F26:AJ29">
    <cfRule type="expression" dxfId="77" priority="7" stopIfTrue="1">
      <formula>IF(WEEKDAY(F$5)=1,TRUE,FALSE)</formula>
    </cfRule>
  </conditionalFormatting>
  <conditionalFormatting sqref="F11:AJ12">
    <cfRule type="expression" dxfId="76" priority="6" stopIfTrue="1">
      <formula>IF(WEEKDAY(F$5)=1,TRUE,FALSE)</formula>
    </cfRule>
  </conditionalFormatting>
  <conditionalFormatting sqref="F11:AJ12">
    <cfRule type="expression" dxfId="75" priority="5" stopIfTrue="1">
      <formula>IF(WEEKDAY(F$5)=1,TRUE,FALSE)</formula>
    </cfRule>
  </conditionalFormatting>
  <conditionalFormatting sqref="F22:AJ25">
    <cfRule type="expression" dxfId="74" priority="4" stopIfTrue="1">
      <formula>IF(WEEKDAY(F$5)=1,TRUE,FALSE)</formula>
    </cfRule>
  </conditionalFormatting>
  <conditionalFormatting sqref="F22:AJ25">
    <cfRule type="expression" dxfId="73" priority="3" stopIfTrue="1">
      <formula>IF(WEEKDAY(F$5)=1,TRUE,FALSE)</formula>
    </cfRule>
  </conditionalFormatting>
  <conditionalFormatting sqref="F18:AJ21">
    <cfRule type="expression" dxfId="72" priority="2" stopIfTrue="1">
      <formula>IF(WEEKDAY(F$5)=1,TRUE,FALSE)</formula>
    </cfRule>
  </conditionalFormatting>
  <conditionalFormatting sqref="F18:AJ21">
    <cfRule type="expression" dxfId="71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5"/>
  <sheetViews>
    <sheetView zoomScaleNormal="70" workbookViewId="0">
      <pane xSplit="3" ySplit="8" topLeftCell="D18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S24" activeCellId="1" sqref="S14 S24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9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7"/>
      <c r="B1" s="200"/>
      <c r="C1" s="200"/>
      <c r="D1" s="270" t="str">
        <f>"BẢNG THANH TOÁN LƯƠNG THÁNG"&amp;" "&amp;TEXT($E$4,"mm")&amp;" / "&amp;TEXT($E$4,"yyyy")</f>
        <v>BẢNG THANH TOÁN LƯƠNG THÁNG 08 / 2015</v>
      </c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1"/>
      <c r="R1" s="272" t="s">
        <v>170</v>
      </c>
      <c r="S1" s="273"/>
      <c r="T1" s="274"/>
      <c r="U1" s="128" t="s">
        <v>58</v>
      </c>
      <c r="V1" s="108" t="s">
        <v>37</v>
      </c>
      <c r="W1" s="81"/>
      <c r="X1" s="81"/>
      <c r="Y1" s="5"/>
      <c r="Z1" s="5"/>
    </row>
    <row r="2" spans="1:31" s="4" customFormat="1" ht="15" customHeight="1">
      <c r="A2" s="137"/>
      <c r="B2" s="200"/>
      <c r="C2" s="200"/>
      <c r="D2" s="200"/>
      <c r="E2" s="79"/>
      <c r="F2" s="200"/>
      <c r="G2" s="200"/>
      <c r="H2" s="200"/>
      <c r="I2" s="200"/>
      <c r="J2" s="80"/>
      <c r="K2" s="200"/>
      <c r="L2" s="200"/>
      <c r="M2" s="200"/>
      <c r="N2" s="200"/>
      <c r="O2" s="200"/>
      <c r="P2" s="200"/>
      <c r="Q2" s="200"/>
      <c r="R2" s="200"/>
      <c r="S2" s="200"/>
      <c r="T2" s="57"/>
      <c r="U2" s="78">
        <f>MAX(F10:F24)</f>
        <v>26</v>
      </c>
      <c r="V2" s="109">
        <v>31</v>
      </c>
      <c r="W2" s="81"/>
      <c r="X2" s="81"/>
      <c r="Y2" s="5"/>
      <c r="Z2" s="5"/>
    </row>
    <row r="3" spans="1:31" s="4" customFormat="1" ht="15" customHeight="1">
      <c r="A3" s="137"/>
      <c r="B3" s="200"/>
      <c r="C3" s="200"/>
      <c r="D3" s="200"/>
      <c r="E3" s="79"/>
      <c r="F3" s="200"/>
      <c r="G3" s="200"/>
      <c r="H3" s="200"/>
      <c r="I3" s="200"/>
      <c r="J3" s="80"/>
      <c r="K3" s="200"/>
      <c r="L3" s="200"/>
      <c r="M3" s="200"/>
      <c r="N3" s="200"/>
      <c r="O3" s="200"/>
      <c r="P3" s="200"/>
      <c r="Q3" s="200"/>
      <c r="R3" s="200"/>
      <c r="S3" s="200"/>
      <c r="T3" s="57"/>
      <c r="U3" s="129"/>
      <c r="V3" s="130"/>
      <c r="W3" s="81"/>
      <c r="X3" s="81"/>
      <c r="Y3" s="5"/>
      <c r="Z3" s="5"/>
    </row>
    <row r="4" spans="1:31" s="103" customFormat="1" ht="14.25" customHeight="1">
      <c r="A4" s="101"/>
      <c r="B4" s="102"/>
      <c r="C4" s="102"/>
      <c r="D4" s="102"/>
      <c r="E4" s="187">
        <f>'CC - 8'!$E$4</f>
        <v>42217</v>
      </c>
      <c r="F4" s="102"/>
      <c r="G4" s="102"/>
      <c r="H4" s="102"/>
      <c r="I4" s="102"/>
      <c r="J4" s="102"/>
      <c r="K4" s="102"/>
      <c r="L4" s="102"/>
      <c r="M4" s="102"/>
      <c r="N4" s="160">
        <v>0.08</v>
      </c>
      <c r="O4" s="160">
        <v>1.4999999999999999E-2</v>
      </c>
      <c r="P4" s="160">
        <v>0.01</v>
      </c>
      <c r="Q4" s="102"/>
      <c r="R4" s="102"/>
      <c r="S4" s="102"/>
      <c r="T4" s="102"/>
      <c r="U4" s="102"/>
      <c r="V4" s="104"/>
      <c r="W4" s="104"/>
      <c r="X4" s="104"/>
      <c r="Y4" s="104"/>
      <c r="Z4" s="104"/>
    </row>
    <row r="5" spans="1:31" s="26" customFormat="1" ht="24" customHeight="1">
      <c r="A5" s="275" t="s">
        <v>19</v>
      </c>
      <c r="B5" s="275" t="s">
        <v>20</v>
      </c>
      <c r="C5" s="238" t="s">
        <v>1</v>
      </c>
      <c r="D5" s="238" t="s">
        <v>2</v>
      </c>
      <c r="E5" s="241" t="s">
        <v>56</v>
      </c>
      <c r="F5" s="278" t="s">
        <v>26</v>
      </c>
      <c r="G5" s="279"/>
      <c r="H5" s="279"/>
      <c r="I5" s="279"/>
      <c r="J5" s="279"/>
      <c r="K5" s="280"/>
      <c r="L5" s="277" t="s">
        <v>57</v>
      </c>
      <c r="M5" s="277" t="s">
        <v>5</v>
      </c>
      <c r="N5" s="238" t="s">
        <v>6</v>
      </c>
      <c r="O5" s="238"/>
      <c r="P5" s="238"/>
      <c r="Q5" s="277" t="s">
        <v>7</v>
      </c>
      <c r="R5" s="277" t="s">
        <v>8</v>
      </c>
      <c r="S5" s="277" t="s">
        <v>9</v>
      </c>
      <c r="T5" s="239" t="s">
        <v>10</v>
      </c>
      <c r="U5" s="102"/>
      <c r="V5" s="27"/>
      <c r="W5" s="27"/>
      <c r="X5" s="5"/>
      <c r="Y5" s="5"/>
      <c r="Z5" s="5"/>
      <c r="AA5" s="4"/>
      <c r="AB5" s="4"/>
      <c r="AC5" s="4"/>
      <c r="AD5" s="4"/>
      <c r="AE5" s="4"/>
    </row>
    <row r="6" spans="1:31" s="26" customFormat="1" ht="33.75" customHeight="1">
      <c r="A6" s="276"/>
      <c r="B6" s="276"/>
      <c r="C6" s="238"/>
      <c r="D6" s="238"/>
      <c r="E6" s="241"/>
      <c r="F6" s="278" t="s">
        <v>59</v>
      </c>
      <c r="G6" s="280"/>
      <c r="H6" s="278" t="s">
        <v>157</v>
      </c>
      <c r="I6" s="279"/>
      <c r="J6" s="284" t="s">
        <v>27</v>
      </c>
      <c r="K6" s="277" t="s">
        <v>4</v>
      </c>
      <c r="L6" s="281"/>
      <c r="M6" s="281"/>
      <c r="N6" s="286" t="s">
        <v>12</v>
      </c>
      <c r="O6" s="277" t="s">
        <v>13</v>
      </c>
      <c r="P6" s="277" t="s">
        <v>34</v>
      </c>
      <c r="Q6" s="281"/>
      <c r="R6" s="281"/>
      <c r="S6" s="281"/>
      <c r="T6" s="240"/>
      <c r="U6" s="102"/>
      <c r="V6" s="27"/>
      <c r="W6" s="27"/>
      <c r="X6" s="5"/>
      <c r="Y6" s="5"/>
      <c r="Z6" s="5"/>
      <c r="AA6" s="4"/>
      <c r="AB6" s="4"/>
      <c r="AC6" s="4"/>
      <c r="AD6" s="4"/>
      <c r="AE6" s="4"/>
    </row>
    <row r="7" spans="1:31" s="26" customFormat="1" ht="35.25" customHeight="1">
      <c r="A7" s="276"/>
      <c r="B7" s="276"/>
      <c r="C7" s="277"/>
      <c r="D7" s="277"/>
      <c r="E7" s="241"/>
      <c r="F7" s="199" t="s">
        <v>40</v>
      </c>
      <c r="G7" s="197" t="s">
        <v>18</v>
      </c>
      <c r="H7" s="199" t="s">
        <v>40</v>
      </c>
      <c r="I7" s="126" t="s">
        <v>18</v>
      </c>
      <c r="J7" s="285"/>
      <c r="K7" s="281"/>
      <c r="L7" s="282"/>
      <c r="M7" s="282"/>
      <c r="N7" s="287"/>
      <c r="O7" s="281"/>
      <c r="P7" s="281"/>
      <c r="Q7" s="281"/>
      <c r="R7" s="281"/>
      <c r="S7" s="281"/>
      <c r="T7" s="240"/>
      <c r="U7" s="102"/>
      <c r="V7" s="27"/>
      <c r="W7" s="27"/>
      <c r="X7" s="5"/>
      <c r="Y7" s="5"/>
      <c r="Z7" s="5"/>
      <c r="AA7" s="4"/>
      <c r="AB7" s="4"/>
      <c r="AC7" s="4"/>
      <c r="AD7" s="4"/>
      <c r="AE7" s="4"/>
    </row>
    <row r="8" spans="1:31" s="83" customFormat="1" ht="12.75" customHeight="1">
      <c r="A8" s="82">
        <v>1</v>
      </c>
      <c r="B8" s="82">
        <v>2</v>
      </c>
      <c r="C8" s="82">
        <v>3</v>
      </c>
      <c r="D8" s="82">
        <v>4</v>
      </c>
      <c r="E8" s="82">
        <v>5</v>
      </c>
      <c r="F8" s="82">
        <v>7</v>
      </c>
      <c r="G8" s="82">
        <v>8</v>
      </c>
      <c r="H8" s="82">
        <v>9</v>
      </c>
      <c r="I8" s="82">
        <v>10</v>
      </c>
      <c r="J8" s="82">
        <v>13</v>
      </c>
      <c r="K8" s="82">
        <v>14</v>
      </c>
      <c r="L8" s="82">
        <v>16</v>
      </c>
      <c r="M8" s="82">
        <v>17</v>
      </c>
      <c r="N8" s="82">
        <v>18</v>
      </c>
      <c r="O8" s="82">
        <v>19</v>
      </c>
      <c r="P8" s="82">
        <v>20</v>
      </c>
      <c r="Q8" s="82">
        <v>21</v>
      </c>
      <c r="R8" s="82">
        <v>22</v>
      </c>
      <c r="S8" s="82">
        <v>23</v>
      </c>
      <c r="T8" s="82">
        <v>24</v>
      </c>
      <c r="U8" s="102"/>
      <c r="V8" s="84"/>
      <c r="W8" s="84"/>
      <c r="X8" s="85"/>
      <c r="Y8" s="85"/>
      <c r="Z8" s="85"/>
      <c r="AA8" s="86"/>
      <c r="AB8" s="86"/>
      <c r="AC8" s="86"/>
      <c r="AD8" s="86"/>
      <c r="AE8" s="86"/>
    </row>
    <row r="9" spans="1:31" s="83" customFormat="1" ht="24" customHeight="1">
      <c r="A9" s="186" t="s">
        <v>154</v>
      </c>
      <c r="B9" s="185" t="s">
        <v>171</v>
      </c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02"/>
      <c r="V9" s="84"/>
      <c r="W9" s="84"/>
      <c r="X9" s="85"/>
      <c r="Y9" s="85"/>
      <c r="Z9" s="85"/>
      <c r="AA9" s="86"/>
      <c r="AB9" s="86"/>
      <c r="AC9" s="86"/>
      <c r="AD9" s="86"/>
      <c r="AE9" s="86"/>
    </row>
    <row r="10" spans="1:31" s="35" customFormat="1" ht="24" customHeight="1">
      <c r="A10" s="37">
        <v>1</v>
      </c>
      <c r="B10" s="139" t="s">
        <v>159</v>
      </c>
      <c r="C10" s="87" t="str">
        <f t="shared" ref="C10:C12" si="0">VLOOKUP(B10,DS,2,0)</f>
        <v>Nguyễn Thị Thu Sương</v>
      </c>
      <c r="D10" s="114" t="str">
        <f t="shared" ref="D10:D12" si="1">VLOOKUP(B10,DS,3,0)</f>
        <v>Kinh Doanh</v>
      </c>
      <c r="E10" s="88">
        <f t="shared" ref="E10:E12" si="2">VLOOKUP(B10,DS,4,0)</f>
        <v>5000000</v>
      </c>
      <c r="F10" s="90">
        <f>VLOOKUP(B10,'CC - 8'!$B$8:$AS$29,36,0)</f>
        <v>26</v>
      </c>
      <c r="G10" s="143">
        <f t="shared" ref="G10:G12" si="3">ROUND(E10/$U$2*F10,0)</f>
        <v>5000000</v>
      </c>
      <c r="H10" s="90">
        <f>(VLOOKUP(B10,'CC - 8'!$B$8:$AS$29,37,0)+VLOOKUP(B10,'CC - 8'!$B$8:$AS$29,38,0))</f>
        <v>0</v>
      </c>
      <c r="I10" s="143">
        <f t="shared" ref="I10:I12" si="4">ROUND(E10/$U$2*H10,0)</f>
        <v>0</v>
      </c>
      <c r="J10" s="91">
        <f t="shared" ref="J10:K12" si="5">F10+H10</f>
        <v>26</v>
      </c>
      <c r="K10" s="38">
        <f>G10+I10</f>
        <v>5000000</v>
      </c>
      <c r="L10" s="88">
        <f t="shared" ref="L10:L12" si="6">+F10*15000</f>
        <v>390000</v>
      </c>
      <c r="M10" s="39">
        <f t="shared" ref="M10:M12" si="7">K10+L10</f>
        <v>5390000</v>
      </c>
      <c r="N10" s="39">
        <f>IF(VLOOKUP(B10,DS,9,0)="x",E10*$N$4,0)</f>
        <v>0</v>
      </c>
      <c r="O10" s="39">
        <f>IF(VLOOKUP(B10,DS,9,0)="x",E10*$O$4,0)</f>
        <v>0</v>
      </c>
      <c r="P10" s="39">
        <f>IF(VLOOKUP(B10,DS,9,0)="x",E10*$P$4,0)</f>
        <v>0</v>
      </c>
      <c r="Q10" s="38">
        <f t="shared" ref="Q10:Q12" si="8">M10-SUM(N10:P10)</f>
        <v>5390000</v>
      </c>
      <c r="R10" s="38">
        <f>VLOOKUP(B10,DS,23,0)</f>
        <v>0</v>
      </c>
      <c r="S10" s="44">
        <f t="shared" ref="S10:S12" si="9">Q10-R10</f>
        <v>5390000</v>
      </c>
      <c r="T10" s="38"/>
      <c r="U10" s="102"/>
      <c r="V10" s="36"/>
      <c r="W10" s="27"/>
      <c r="X10" s="5"/>
      <c r="Y10" s="5"/>
      <c r="Z10" s="5"/>
      <c r="AA10" s="4"/>
      <c r="AB10" s="4"/>
      <c r="AC10" s="4"/>
      <c r="AD10" s="4"/>
      <c r="AE10" s="4"/>
    </row>
    <row r="11" spans="1:31" s="35" customFormat="1" ht="24" customHeight="1">
      <c r="A11" s="37">
        <v>2</v>
      </c>
      <c r="B11" s="139" t="s">
        <v>160</v>
      </c>
      <c r="C11" s="87" t="str">
        <f t="shared" ref="C11" si="10">VLOOKUP(B11,DS,2,0)</f>
        <v>Trần Anh Nhựt</v>
      </c>
      <c r="D11" s="114" t="str">
        <f t="shared" ref="D11" si="11">VLOOKUP(B11,DS,3,0)</f>
        <v>Thiết Kế</v>
      </c>
      <c r="E11" s="88">
        <f t="shared" ref="E11" si="12">VLOOKUP(B11,DS,4,0)</f>
        <v>5000000</v>
      </c>
      <c r="F11" s="90">
        <f>VLOOKUP(B11,'CC - 8'!$B$8:$AS$29,36,0)</f>
        <v>26</v>
      </c>
      <c r="G11" s="143">
        <f t="shared" ref="G11" si="13">ROUND(E11/$U$2*F11,0)</f>
        <v>5000000</v>
      </c>
      <c r="H11" s="90">
        <f>(VLOOKUP(B11,'CC - 8'!$B$8:$AS$29,37,0)+VLOOKUP(B11,'CC - 8'!$B$8:$AS$29,38,0))</f>
        <v>0</v>
      </c>
      <c r="I11" s="143">
        <f t="shared" ref="I11" si="14">ROUND(E11/$U$2*H11,0)</f>
        <v>0</v>
      </c>
      <c r="J11" s="91">
        <f t="shared" ref="J11" si="15">F11+H11</f>
        <v>26</v>
      </c>
      <c r="K11" s="38">
        <f t="shared" ref="K11" si="16">G11+I11</f>
        <v>5000000</v>
      </c>
      <c r="L11" s="88">
        <f t="shared" ref="L11" si="17">+F11*15000</f>
        <v>390000</v>
      </c>
      <c r="M11" s="39">
        <f t="shared" ref="M11" si="18">K11+L11</f>
        <v>5390000</v>
      </c>
      <c r="N11" s="39">
        <f>IF(VLOOKUP(B11,DS,9,0)="x",E11*$N$4,0)</f>
        <v>0</v>
      </c>
      <c r="O11" s="39">
        <f>IF(VLOOKUP(B11,DS,9,0)="x",E11*$O$4,0)</f>
        <v>0</v>
      </c>
      <c r="P11" s="39">
        <f>IF(VLOOKUP(B11,DS,9,0)="x",E11*$P$4,0)</f>
        <v>0</v>
      </c>
      <c r="Q11" s="38">
        <f t="shared" ref="Q11" si="19">M11-SUM(N11:P11)</f>
        <v>5390000</v>
      </c>
      <c r="R11" s="38">
        <f>VLOOKUP(B11,DS,23,0)</f>
        <v>0</v>
      </c>
      <c r="S11" s="44">
        <f t="shared" ref="S11" si="20">Q11-R11</f>
        <v>5390000</v>
      </c>
      <c r="T11" s="38"/>
      <c r="U11" s="102"/>
      <c r="V11" s="36"/>
      <c r="W11" s="27"/>
      <c r="X11" s="5"/>
      <c r="Y11" s="5"/>
      <c r="Z11" s="5"/>
      <c r="AA11" s="4"/>
      <c r="AB11" s="4"/>
      <c r="AC11" s="4"/>
      <c r="AD11" s="4"/>
      <c r="AE11" s="4"/>
    </row>
    <row r="12" spans="1:31" s="35" customFormat="1" ht="24" customHeight="1">
      <c r="A12" s="37">
        <v>3</v>
      </c>
      <c r="B12" s="139" t="s">
        <v>168</v>
      </c>
      <c r="C12" s="87" t="str">
        <f t="shared" si="0"/>
        <v>Huỳnh Minh Toàn</v>
      </c>
      <c r="D12" s="114" t="str">
        <f t="shared" si="1"/>
        <v>Thủ Kho</v>
      </c>
      <c r="E12" s="88">
        <f t="shared" si="2"/>
        <v>5500000</v>
      </c>
      <c r="F12" s="90">
        <f>VLOOKUP(B12,'CC - 8'!$B$8:$AS$29,36,0)</f>
        <v>26</v>
      </c>
      <c r="G12" s="143">
        <f t="shared" si="3"/>
        <v>5500000</v>
      </c>
      <c r="H12" s="90">
        <f>(VLOOKUP(B12,'CC - 8'!$B$8:$AS$29,37,0)+VLOOKUP(B12,'CC - 8'!$B$8:$AS$29,38,0))</f>
        <v>0</v>
      </c>
      <c r="I12" s="143">
        <f t="shared" si="4"/>
        <v>0</v>
      </c>
      <c r="J12" s="91">
        <f t="shared" si="5"/>
        <v>26</v>
      </c>
      <c r="K12" s="38">
        <f t="shared" si="5"/>
        <v>5500000</v>
      </c>
      <c r="L12" s="88">
        <f t="shared" si="6"/>
        <v>390000</v>
      </c>
      <c r="M12" s="39">
        <f t="shared" si="7"/>
        <v>5890000</v>
      </c>
      <c r="N12" s="39">
        <f>IF(VLOOKUP(B12,DS,9,0)="x",E12*$N$4,0)</f>
        <v>0</v>
      </c>
      <c r="O12" s="39">
        <f>IF(VLOOKUP(B12,DS,9,0)="x",E12*$O$4,0)</f>
        <v>0</v>
      </c>
      <c r="P12" s="39">
        <f>IF(VLOOKUP(B12,DS,9,0)="x",E12*$P$4,0)</f>
        <v>0</v>
      </c>
      <c r="Q12" s="38">
        <f t="shared" si="8"/>
        <v>5890000</v>
      </c>
      <c r="R12" s="38">
        <f>VLOOKUP(B12,DS,23,0)</f>
        <v>0</v>
      </c>
      <c r="S12" s="44">
        <f t="shared" si="9"/>
        <v>5890000</v>
      </c>
      <c r="T12" s="38"/>
      <c r="U12" s="102"/>
      <c r="V12" s="36"/>
      <c r="W12" s="27"/>
      <c r="X12" s="5"/>
      <c r="Y12" s="5"/>
      <c r="Z12" s="5"/>
      <c r="AA12" s="4"/>
      <c r="AB12" s="4"/>
      <c r="AC12" s="4"/>
      <c r="AD12" s="4"/>
      <c r="AE12" s="4"/>
    </row>
    <row r="13" spans="1:31" s="35" customFormat="1" ht="24" customHeight="1">
      <c r="A13" s="201"/>
      <c r="B13" s="202"/>
      <c r="C13" s="203"/>
      <c r="D13" s="204"/>
      <c r="E13" s="205"/>
      <c r="F13" s="206"/>
      <c r="G13" s="207"/>
      <c r="H13" s="206"/>
      <c r="I13" s="207"/>
      <c r="J13" s="208"/>
      <c r="K13" s="209"/>
      <c r="L13" s="205"/>
      <c r="M13" s="210"/>
      <c r="N13" s="210"/>
      <c r="O13" s="210"/>
      <c r="P13" s="210"/>
      <c r="Q13" s="209"/>
      <c r="R13" s="209"/>
      <c r="S13" s="211"/>
      <c r="T13" s="209"/>
      <c r="U13" s="102"/>
      <c r="V13" s="36"/>
      <c r="W13" s="27"/>
      <c r="X13" s="5"/>
      <c r="Y13" s="5"/>
      <c r="Z13" s="5"/>
      <c r="AA13" s="4"/>
      <c r="AB13" s="4"/>
      <c r="AC13" s="4"/>
      <c r="AD13" s="4"/>
      <c r="AE13" s="4"/>
    </row>
    <row r="14" spans="1:31" s="31" customFormat="1" ht="21" customHeight="1">
      <c r="A14" s="283" t="s">
        <v>25</v>
      </c>
      <c r="B14" s="283"/>
      <c r="C14" s="283"/>
      <c r="D14" s="283"/>
      <c r="E14" s="138">
        <f>SUM(E9:E12)</f>
        <v>15500000</v>
      </c>
      <c r="F14" s="138"/>
      <c r="G14" s="138">
        <f>SUM(G9:G12)</f>
        <v>15500000</v>
      </c>
      <c r="H14" s="138"/>
      <c r="I14" s="138">
        <f>SUM(I9:I12)</f>
        <v>0</v>
      </c>
      <c r="J14" s="138"/>
      <c r="K14" s="138">
        <f t="shared" ref="K14:S14" si="21">SUM(K9:K12)</f>
        <v>15500000</v>
      </c>
      <c r="L14" s="138">
        <f t="shared" si="21"/>
        <v>1170000</v>
      </c>
      <c r="M14" s="138">
        <f t="shared" si="21"/>
        <v>16670000</v>
      </c>
      <c r="N14" s="138">
        <f t="shared" si="21"/>
        <v>0</v>
      </c>
      <c r="O14" s="138">
        <f t="shared" si="21"/>
        <v>0</v>
      </c>
      <c r="P14" s="138">
        <f t="shared" si="21"/>
        <v>0</v>
      </c>
      <c r="Q14" s="138">
        <f t="shared" si="21"/>
        <v>16670000</v>
      </c>
      <c r="R14" s="138">
        <f t="shared" si="21"/>
        <v>0</v>
      </c>
      <c r="S14" s="138">
        <f t="shared" si="21"/>
        <v>16670000</v>
      </c>
      <c r="T14" s="25"/>
      <c r="U14" s="102"/>
      <c r="V14" s="32"/>
      <c r="W14" s="32"/>
      <c r="X14" s="32"/>
      <c r="Y14" s="32"/>
      <c r="Z14" s="32"/>
    </row>
    <row r="15" spans="1:31" s="83" customFormat="1" ht="24" customHeight="1">
      <c r="A15" s="186" t="s">
        <v>155</v>
      </c>
      <c r="B15" s="185" t="s">
        <v>156</v>
      </c>
      <c r="C15" s="184"/>
      <c r="D15" s="184"/>
      <c r="E15" s="184"/>
      <c r="F15" s="184"/>
      <c r="G15" s="184"/>
      <c r="H15" s="184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02"/>
      <c r="V15" s="84"/>
      <c r="W15" s="84"/>
      <c r="X15" s="85"/>
      <c r="Y15" s="85"/>
      <c r="Z15" s="85"/>
      <c r="AA15" s="86"/>
      <c r="AB15" s="86"/>
      <c r="AC15" s="86"/>
      <c r="AD15" s="86"/>
      <c r="AE15" s="86"/>
    </row>
    <row r="16" spans="1:31" s="35" customFormat="1" ht="24" customHeight="1">
      <c r="A16" s="37">
        <v>1</v>
      </c>
      <c r="B16" s="139" t="s">
        <v>161</v>
      </c>
      <c r="C16" s="87" t="str">
        <f t="shared" ref="C16:C20" si="22">VLOOKUP(B16,DS,2,0)</f>
        <v>Nguyễn Trường Giang</v>
      </c>
      <c r="D16" s="114" t="str">
        <f t="shared" ref="D16:D20" si="23">VLOOKUP(B16,DS,3,0)</f>
        <v>Thợ in</v>
      </c>
      <c r="E16" s="88">
        <f t="shared" ref="E16:E20" si="24">VLOOKUP(B16,DS,4,0)</f>
        <v>5000000</v>
      </c>
      <c r="F16" s="90">
        <f>VLOOKUP(B16,'CC - 8'!$B$8:$AS$29,36,0)</f>
        <v>26</v>
      </c>
      <c r="G16" s="143">
        <f t="shared" ref="G16:G20" si="25">ROUND(E16/$U$2*F16,0)</f>
        <v>5000000</v>
      </c>
      <c r="H16" s="90">
        <f>(VLOOKUP(B16,'CC - 8'!$B$8:$AS$29,37,0)+VLOOKUP(B16,'CC - 8'!$B$8:$AS$29,38,0))</f>
        <v>0</v>
      </c>
      <c r="I16" s="143">
        <f t="shared" ref="I16:I20" si="26">ROUND(E16/$U$2*H16,0)</f>
        <v>0</v>
      </c>
      <c r="J16" s="144">
        <f t="shared" ref="J16:K20" si="27">F16+H16</f>
        <v>26</v>
      </c>
      <c r="K16" s="38">
        <f t="shared" si="27"/>
        <v>5000000</v>
      </c>
      <c r="L16" s="88">
        <f t="shared" ref="L16:L20" si="28">+F16*15000</f>
        <v>390000</v>
      </c>
      <c r="M16" s="39">
        <f t="shared" ref="M16:M20" si="29">K16+L16</f>
        <v>5390000</v>
      </c>
      <c r="N16" s="39">
        <f>IF(VLOOKUP(B16,DS,9,0)="x",'L - 8'!E16*$N$4,0)</f>
        <v>0</v>
      </c>
      <c r="O16" s="39">
        <f t="shared" ref="O16:O20" si="30">IF(VLOOKUP(B16,DS,9,0)="x",E16*0.015,0)</f>
        <v>0</v>
      </c>
      <c r="P16" s="39">
        <f t="shared" ref="P16:P20" si="31">IF(VLOOKUP(B16,DS,9,0)="x",E16*0.01,0)</f>
        <v>0</v>
      </c>
      <c r="Q16" s="38">
        <f>M16-SUM(N16:P16)</f>
        <v>5390000</v>
      </c>
      <c r="R16" s="38">
        <f t="shared" ref="R16:R20" si="32">VLOOKUP(B16,DS,23,0)</f>
        <v>0</v>
      </c>
      <c r="S16" s="44">
        <f>Q16-R16</f>
        <v>5390000</v>
      </c>
      <c r="T16" s="38"/>
      <c r="U16" s="102"/>
      <c r="V16" s="36"/>
      <c r="W16" s="27"/>
      <c r="X16" s="5"/>
      <c r="Y16" s="5"/>
      <c r="Z16" s="5"/>
      <c r="AA16" s="4"/>
      <c r="AB16" s="4"/>
      <c r="AC16" s="4"/>
      <c r="AD16" s="4"/>
      <c r="AE16" s="4"/>
    </row>
    <row r="17" spans="1:31" s="35" customFormat="1" ht="24" customHeight="1">
      <c r="A17" s="37">
        <v>2</v>
      </c>
      <c r="B17" s="139" t="s">
        <v>162</v>
      </c>
      <c r="C17" s="87" t="str">
        <f t="shared" ref="C17:C18" si="33">VLOOKUP(B17,DS,2,0)</f>
        <v>Võ Văn Kiệt</v>
      </c>
      <c r="D17" s="114" t="str">
        <f t="shared" ref="D17:D18" si="34">VLOOKUP(B17,DS,3,0)</f>
        <v>Công Đoạn 1</v>
      </c>
      <c r="E17" s="88">
        <f t="shared" ref="E17:E18" si="35">VLOOKUP(B17,DS,4,0)</f>
        <v>5000000</v>
      </c>
      <c r="F17" s="90">
        <f>VLOOKUP(B17,'CC - 8'!$B$8:$AS$29,36,0)</f>
        <v>26</v>
      </c>
      <c r="G17" s="143">
        <f t="shared" ref="G17:G18" si="36">ROUND(E17/$U$2*F17,0)</f>
        <v>5000000</v>
      </c>
      <c r="H17" s="90">
        <f>(VLOOKUP(B17,'CC - 8'!$B$8:$AS$29,37,0)+VLOOKUP(B17,'CC - 8'!$B$8:$AS$29,38,0))</f>
        <v>0</v>
      </c>
      <c r="I17" s="143">
        <f t="shared" ref="I17:I18" si="37">ROUND(E17/$U$2*H17,0)</f>
        <v>0</v>
      </c>
      <c r="J17" s="144">
        <f t="shared" ref="J17:J18" si="38">F17+H17</f>
        <v>26</v>
      </c>
      <c r="K17" s="38">
        <f t="shared" ref="K17:K18" si="39">G17+I17</f>
        <v>5000000</v>
      </c>
      <c r="L17" s="88">
        <f t="shared" ref="L17:L18" si="40">+F17*15000</f>
        <v>390000</v>
      </c>
      <c r="M17" s="39">
        <f t="shared" ref="M17:M18" si="41">K17+L17</f>
        <v>5390000</v>
      </c>
      <c r="N17" s="39">
        <f>IF(VLOOKUP(B17,DS,9,0)="x",'L - 8'!E17*$N$4,0)</f>
        <v>0</v>
      </c>
      <c r="O17" s="39">
        <f t="shared" ref="O17:O18" si="42">IF(VLOOKUP(B17,DS,9,0)="x",E17*0.015,0)</f>
        <v>0</v>
      </c>
      <c r="P17" s="39">
        <f t="shared" ref="P17:P18" si="43">IF(VLOOKUP(B17,DS,9,0)="x",E17*0.01,0)</f>
        <v>0</v>
      </c>
      <c r="Q17" s="38">
        <f t="shared" ref="Q17:Q18" si="44">M17-SUM(N17:P17)</f>
        <v>5390000</v>
      </c>
      <c r="R17" s="38">
        <f t="shared" ref="R17:R18" si="45">VLOOKUP(B17,DS,23,0)</f>
        <v>0</v>
      </c>
      <c r="S17" s="44">
        <f t="shared" ref="S17:S18" si="46">Q17-R17</f>
        <v>5390000</v>
      </c>
      <c r="T17" s="38"/>
      <c r="U17" s="102"/>
      <c r="V17" s="36"/>
      <c r="W17" s="27"/>
      <c r="X17" s="5"/>
      <c r="Y17" s="5"/>
      <c r="Z17" s="5"/>
      <c r="AA17" s="4"/>
      <c r="AB17" s="4"/>
      <c r="AC17" s="4"/>
      <c r="AD17" s="4"/>
      <c r="AE17" s="4"/>
    </row>
    <row r="18" spans="1:31" s="35" customFormat="1" ht="24" customHeight="1">
      <c r="A18" s="37">
        <v>3</v>
      </c>
      <c r="B18" s="139" t="s">
        <v>163</v>
      </c>
      <c r="C18" s="87" t="str">
        <f t="shared" si="33"/>
        <v>Diệp Văn Lân</v>
      </c>
      <c r="D18" s="114" t="str">
        <f t="shared" si="34"/>
        <v>Công Đoạn 1</v>
      </c>
      <c r="E18" s="88">
        <f t="shared" si="35"/>
        <v>4200000</v>
      </c>
      <c r="F18" s="90">
        <f>VLOOKUP(B18,'CC - 8'!$B$8:$AS$29,36,0)</f>
        <v>26</v>
      </c>
      <c r="G18" s="143">
        <f t="shared" si="36"/>
        <v>4200000</v>
      </c>
      <c r="H18" s="90">
        <f>(VLOOKUP(B18,'CC - 8'!$B$8:$AS$29,37,0)+VLOOKUP(B18,'CC - 8'!$B$8:$AS$29,38,0))</f>
        <v>0</v>
      </c>
      <c r="I18" s="143">
        <f t="shared" si="37"/>
        <v>0</v>
      </c>
      <c r="J18" s="144">
        <f t="shared" si="38"/>
        <v>26</v>
      </c>
      <c r="K18" s="38">
        <f t="shared" si="39"/>
        <v>4200000</v>
      </c>
      <c r="L18" s="88">
        <f t="shared" si="40"/>
        <v>390000</v>
      </c>
      <c r="M18" s="39">
        <f t="shared" si="41"/>
        <v>4590000</v>
      </c>
      <c r="N18" s="39">
        <f>IF(VLOOKUP(B18,DS,9,0)="x",'L - 8'!E18*$N$4,0)</f>
        <v>0</v>
      </c>
      <c r="O18" s="39">
        <f t="shared" si="42"/>
        <v>0</v>
      </c>
      <c r="P18" s="39">
        <f t="shared" si="43"/>
        <v>0</v>
      </c>
      <c r="Q18" s="38">
        <f t="shared" si="44"/>
        <v>4590000</v>
      </c>
      <c r="R18" s="38">
        <f t="shared" si="45"/>
        <v>0</v>
      </c>
      <c r="S18" s="44">
        <f t="shared" si="46"/>
        <v>4590000</v>
      </c>
      <c r="T18" s="38"/>
      <c r="U18" s="102"/>
      <c r="V18" s="36"/>
      <c r="W18" s="27"/>
      <c r="X18" s="5"/>
      <c r="Y18" s="5"/>
      <c r="Z18" s="5"/>
      <c r="AA18" s="4"/>
      <c r="AB18" s="4"/>
      <c r="AC18" s="4"/>
      <c r="AD18" s="4"/>
      <c r="AE18" s="4"/>
    </row>
    <row r="19" spans="1:31" s="35" customFormat="1" ht="24" customHeight="1">
      <c r="A19" s="37">
        <v>4</v>
      </c>
      <c r="B19" s="139" t="s">
        <v>176</v>
      </c>
      <c r="C19" s="87" t="str">
        <f t="shared" si="22"/>
        <v>Dương Thế Kiệt</v>
      </c>
      <c r="D19" s="114" t="str">
        <f t="shared" si="23"/>
        <v>Công Đoạn 1</v>
      </c>
      <c r="E19" s="88">
        <f t="shared" si="24"/>
        <v>4200000</v>
      </c>
      <c r="F19" s="90">
        <f>VLOOKUP(B19,'CC - 8'!$B$8:$AS$29,36,0)</f>
        <v>26</v>
      </c>
      <c r="G19" s="143">
        <f t="shared" si="25"/>
        <v>4200000</v>
      </c>
      <c r="H19" s="90">
        <f>(VLOOKUP(B19,'CC - 8'!$B$8:$AS$29,37,0)+VLOOKUP(B19,'CC - 8'!$B$8:$AS$29,38,0))</f>
        <v>0</v>
      </c>
      <c r="I19" s="143">
        <f t="shared" si="26"/>
        <v>0</v>
      </c>
      <c r="J19" s="144">
        <f t="shared" si="27"/>
        <v>26</v>
      </c>
      <c r="K19" s="38">
        <f t="shared" si="27"/>
        <v>4200000</v>
      </c>
      <c r="L19" s="88">
        <f t="shared" si="28"/>
        <v>390000</v>
      </c>
      <c r="M19" s="39">
        <f t="shared" si="29"/>
        <v>4590000</v>
      </c>
      <c r="N19" s="39">
        <f>IF(VLOOKUP(B19,DS,9,0)="x",'L - 8'!E19*$N$4,0)</f>
        <v>0</v>
      </c>
      <c r="O19" s="39">
        <f t="shared" si="30"/>
        <v>0</v>
      </c>
      <c r="P19" s="39">
        <f t="shared" si="31"/>
        <v>0</v>
      </c>
      <c r="Q19" s="38">
        <f t="shared" ref="Q19:Q20" si="47">M19-SUM(N19:P19)</f>
        <v>4590000</v>
      </c>
      <c r="R19" s="38">
        <f t="shared" si="32"/>
        <v>0</v>
      </c>
      <c r="S19" s="44">
        <f t="shared" ref="S19:S20" si="48">Q19-R19</f>
        <v>4590000</v>
      </c>
      <c r="T19" s="38"/>
      <c r="U19" s="102"/>
      <c r="V19" s="36"/>
      <c r="W19" s="27"/>
      <c r="X19" s="5"/>
      <c r="Y19" s="5"/>
      <c r="Z19" s="5"/>
      <c r="AA19" s="4"/>
      <c r="AB19" s="4"/>
      <c r="AC19" s="4"/>
      <c r="AD19" s="4"/>
      <c r="AE19" s="4"/>
    </row>
    <row r="20" spans="1:31" s="35" customFormat="1" ht="24" customHeight="1">
      <c r="A20" s="37">
        <v>5</v>
      </c>
      <c r="B20" s="139" t="s">
        <v>177</v>
      </c>
      <c r="C20" s="87" t="str">
        <f t="shared" si="22"/>
        <v>Lê Văn Hữu</v>
      </c>
      <c r="D20" s="114" t="str">
        <f t="shared" si="23"/>
        <v>Công Đoạn 2</v>
      </c>
      <c r="E20" s="88">
        <f t="shared" si="24"/>
        <v>5000000</v>
      </c>
      <c r="F20" s="90">
        <f>VLOOKUP(B20,'CC - 8'!$B$8:$AS$29,36,0)</f>
        <v>26</v>
      </c>
      <c r="G20" s="143">
        <f t="shared" si="25"/>
        <v>5000000</v>
      </c>
      <c r="H20" s="90">
        <f>(VLOOKUP(B20,'CC - 8'!$B$8:$AS$29,37,0)+VLOOKUP(B20,'CC - 8'!$B$8:$AS$29,38,0))</f>
        <v>0</v>
      </c>
      <c r="I20" s="143">
        <f t="shared" si="26"/>
        <v>0</v>
      </c>
      <c r="J20" s="144">
        <f t="shared" si="27"/>
        <v>26</v>
      </c>
      <c r="K20" s="38">
        <f t="shared" si="27"/>
        <v>5000000</v>
      </c>
      <c r="L20" s="88">
        <f t="shared" si="28"/>
        <v>390000</v>
      </c>
      <c r="M20" s="39">
        <f t="shared" si="29"/>
        <v>5390000</v>
      </c>
      <c r="N20" s="39">
        <f>IF(VLOOKUP(B20,DS,9,0)="x",'L - 8'!E20*$N$4,0)</f>
        <v>0</v>
      </c>
      <c r="O20" s="39">
        <f t="shared" si="30"/>
        <v>0</v>
      </c>
      <c r="P20" s="39">
        <f t="shared" si="31"/>
        <v>0</v>
      </c>
      <c r="Q20" s="38">
        <f t="shared" si="47"/>
        <v>5390000</v>
      </c>
      <c r="R20" s="38">
        <f t="shared" si="32"/>
        <v>0</v>
      </c>
      <c r="S20" s="44">
        <f t="shared" si="48"/>
        <v>5390000</v>
      </c>
      <c r="T20" s="38"/>
      <c r="U20" s="102"/>
      <c r="V20" s="36"/>
      <c r="W20" s="27"/>
      <c r="X20" s="5"/>
      <c r="Y20" s="5"/>
      <c r="Z20" s="5"/>
      <c r="AA20" s="4"/>
      <c r="AB20" s="4"/>
      <c r="AC20" s="4"/>
      <c r="AD20" s="4"/>
      <c r="AE20" s="4"/>
    </row>
    <row r="21" spans="1:31" s="35" customFormat="1" ht="24" customHeight="1">
      <c r="A21" s="37">
        <v>6</v>
      </c>
      <c r="B21" s="139" t="s">
        <v>178</v>
      </c>
      <c r="C21" s="87" t="str">
        <f t="shared" ref="C21:C22" si="49">VLOOKUP(B21,DS,2,0)</f>
        <v>Bùi Trường Giang</v>
      </c>
      <c r="D21" s="114" t="str">
        <f t="shared" ref="D21:D22" si="50">VLOOKUP(B21,DS,3,0)</f>
        <v>Công Đoạn 2</v>
      </c>
      <c r="E21" s="88">
        <f t="shared" ref="E21:E22" si="51">VLOOKUP(B21,DS,4,0)</f>
        <v>4200000</v>
      </c>
      <c r="F21" s="90">
        <f>VLOOKUP(B21,'CC - 8'!$B$8:$AS$29,36,0)</f>
        <v>26</v>
      </c>
      <c r="G21" s="143">
        <f t="shared" ref="G21:G22" si="52">ROUND(E21/$U$2*F21,0)</f>
        <v>4200000</v>
      </c>
      <c r="H21" s="90">
        <f>(VLOOKUP(B21,'CC - 8'!$B$8:$AS$29,37,0)+VLOOKUP(B21,'CC - 8'!$B$8:$AS$29,38,0))</f>
        <v>0</v>
      </c>
      <c r="I21" s="143">
        <f t="shared" ref="I21:I22" si="53">ROUND(E21/$U$2*H21,0)</f>
        <v>0</v>
      </c>
      <c r="J21" s="144">
        <f t="shared" ref="J21:J22" si="54">F21+H21</f>
        <v>26</v>
      </c>
      <c r="K21" s="38">
        <f t="shared" ref="K21:K22" si="55">G21+I21</f>
        <v>4200000</v>
      </c>
      <c r="L21" s="88">
        <f t="shared" ref="L21:L22" si="56">+F21*15000</f>
        <v>390000</v>
      </c>
      <c r="M21" s="39">
        <f t="shared" ref="M21:M22" si="57">K21+L21</f>
        <v>4590000</v>
      </c>
      <c r="N21" s="39">
        <f>IF(VLOOKUP(B21,DS,9,0)="x",'L - 8'!E21*$N$4,0)</f>
        <v>0</v>
      </c>
      <c r="O21" s="39">
        <f t="shared" ref="O21:O22" si="58">IF(VLOOKUP(B21,DS,9,0)="x",E21*0.015,0)</f>
        <v>0</v>
      </c>
      <c r="P21" s="39">
        <f t="shared" ref="P21:P22" si="59">IF(VLOOKUP(B21,DS,9,0)="x",E21*0.01,0)</f>
        <v>0</v>
      </c>
      <c r="Q21" s="38">
        <f t="shared" ref="Q21:Q22" si="60">M21-SUM(N21:P21)</f>
        <v>4590000</v>
      </c>
      <c r="R21" s="38">
        <f t="shared" ref="R21:R22" si="61">VLOOKUP(B21,DS,23,0)</f>
        <v>0</v>
      </c>
      <c r="S21" s="44">
        <f t="shared" ref="S21:S22" si="62">Q21-R21</f>
        <v>4590000</v>
      </c>
      <c r="T21" s="38"/>
      <c r="U21" s="102"/>
      <c r="V21" s="36"/>
      <c r="W21" s="27"/>
      <c r="X21" s="5"/>
      <c r="Y21" s="5"/>
      <c r="Z21" s="5"/>
      <c r="AA21" s="4"/>
      <c r="AB21" s="4"/>
      <c r="AC21" s="4"/>
      <c r="AD21" s="4"/>
      <c r="AE21" s="4"/>
    </row>
    <row r="22" spans="1:31" s="35" customFormat="1" ht="24" customHeight="1">
      <c r="A22" s="37">
        <v>7</v>
      </c>
      <c r="B22" s="139" t="s">
        <v>179</v>
      </c>
      <c r="C22" s="87" t="str">
        <f t="shared" si="49"/>
        <v>Nguyễn T Bích Thủy</v>
      </c>
      <c r="D22" s="114" t="str">
        <f t="shared" si="50"/>
        <v>Công Đoạn 2</v>
      </c>
      <c r="E22" s="88">
        <f t="shared" si="51"/>
        <v>4200000</v>
      </c>
      <c r="F22" s="90">
        <f>VLOOKUP(B22,'CC - 8'!$B$8:$AS$29,36,0)</f>
        <v>26</v>
      </c>
      <c r="G22" s="143">
        <f t="shared" si="52"/>
        <v>4200000</v>
      </c>
      <c r="H22" s="90">
        <f>(VLOOKUP(B22,'CC - 8'!$B$8:$AS$29,37,0)+VLOOKUP(B22,'CC - 8'!$B$8:$AS$29,38,0))</f>
        <v>0</v>
      </c>
      <c r="I22" s="143">
        <f t="shared" si="53"/>
        <v>0</v>
      </c>
      <c r="J22" s="144">
        <f t="shared" si="54"/>
        <v>26</v>
      </c>
      <c r="K22" s="38">
        <f t="shared" si="55"/>
        <v>4200000</v>
      </c>
      <c r="L22" s="88">
        <f t="shared" si="56"/>
        <v>390000</v>
      </c>
      <c r="M22" s="39">
        <f t="shared" si="57"/>
        <v>4590000</v>
      </c>
      <c r="N22" s="39">
        <f>IF(VLOOKUP(B22,DS,9,0)="x",'L - 8'!E22*$N$4,0)</f>
        <v>0</v>
      </c>
      <c r="O22" s="39">
        <f t="shared" si="58"/>
        <v>0</v>
      </c>
      <c r="P22" s="39">
        <f t="shared" si="59"/>
        <v>0</v>
      </c>
      <c r="Q22" s="38">
        <f t="shared" si="60"/>
        <v>4590000</v>
      </c>
      <c r="R22" s="38">
        <f t="shared" si="61"/>
        <v>0</v>
      </c>
      <c r="S22" s="44">
        <f t="shared" si="62"/>
        <v>4590000</v>
      </c>
      <c r="T22" s="38"/>
      <c r="U22" s="102"/>
      <c r="V22" s="36"/>
      <c r="W22" s="27"/>
      <c r="X22" s="5"/>
      <c r="Y22" s="5"/>
      <c r="Z22" s="5"/>
      <c r="AA22" s="4"/>
      <c r="AB22" s="4"/>
      <c r="AC22" s="4"/>
      <c r="AD22" s="4"/>
      <c r="AE22" s="4"/>
    </row>
    <row r="23" spans="1:31" s="35" customFormat="1" ht="22.5" customHeight="1">
      <c r="A23" s="40"/>
      <c r="B23" s="183"/>
      <c r="C23" s="41"/>
      <c r="D23" s="3"/>
      <c r="E23" s="42"/>
      <c r="F23" s="42"/>
      <c r="G23" s="42"/>
      <c r="H23" s="42"/>
      <c r="I23" s="42"/>
      <c r="J23" s="43"/>
      <c r="K23" s="42"/>
      <c r="L23" s="42"/>
      <c r="M23" s="182"/>
      <c r="N23" s="42"/>
      <c r="O23" s="42"/>
      <c r="P23" s="42"/>
      <c r="Q23" s="42"/>
      <c r="R23" s="42"/>
      <c r="S23" s="42"/>
      <c r="T23" s="38"/>
      <c r="U23" s="102"/>
      <c r="V23" s="36"/>
      <c r="W23" s="36"/>
      <c r="X23" s="36"/>
      <c r="Y23" s="36"/>
      <c r="Z23" s="36"/>
    </row>
    <row r="24" spans="1:31" s="31" customFormat="1" ht="21" customHeight="1">
      <c r="A24" s="283" t="s">
        <v>25</v>
      </c>
      <c r="B24" s="283"/>
      <c r="C24" s="283"/>
      <c r="D24" s="283"/>
      <c r="E24" s="138">
        <f>SUM(E15:E23)</f>
        <v>31800000</v>
      </c>
      <c r="F24" s="138"/>
      <c r="G24" s="138">
        <f>SUM(G15:G23)</f>
        <v>31800000</v>
      </c>
      <c r="H24" s="138"/>
      <c r="I24" s="138">
        <f>SUM(I15:I23)</f>
        <v>0</v>
      </c>
      <c r="J24" s="138"/>
      <c r="K24" s="138">
        <f t="shared" ref="K24:S24" si="63">SUM(K15:K23)</f>
        <v>31800000</v>
      </c>
      <c r="L24" s="138">
        <f t="shared" si="63"/>
        <v>2730000</v>
      </c>
      <c r="M24" s="138">
        <f t="shared" si="63"/>
        <v>34530000</v>
      </c>
      <c r="N24" s="138">
        <f t="shared" si="63"/>
        <v>0</v>
      </c>
      <c r="O24" s="138">
        <f t="shared" si="63"/>
        <v>0</v>
      </c>
      <c r="P24" s="138">
        <f t="shared" si="63"/>
        <v>0</v>
      </c>
      <c r="Q24" s="138">
        <f t="shared" si="63"/>
        <v>34530000</v>
      </c>
      <c r="R24" s="138">
        <f t="shared" si="63"/>
        <v>0</v>
      </c>
      <c r="S24" s="138">
        <f t="shared" si="63"/>
        <v>34530000</v>
      </c>
      <c r="T24" s="25"/>
      <c r="U24" s="102"/>
      <c r="V24" s="32"/>
      <c r="W24" s="32"/>
      <c r="X24" s="32"/>
      <c r="Y24" s="32"/>
      <c r="Z24" s="32"/>
    </row>
    <row r="25" spans="1:31" ht="11.25" customHeight="1">
      <c r="A25" s="8"/>
      <c r="B25" s="8"/>
      <c r="C25" s="9"/>
      <c r="D25" s="115"/>
      <c r="E25" s="92"/>
      <c r="F25" s="9"/>
      <c r="G25" s="9"/>
      <c r="H25" s="9"/>
      <c r="I25" s="9"/>
      <c r="K25" s="9"/>
      <c r="L25" s="9"/>
      <c r="M25" s="100"/>
      <c r="N25" s="9"/>
      <c r="O25" s="9"/>
      <c r="P25" s="9"/>
      <c r="Q25" s="9"/>
      <c r="R25" s="9"/>
      <c r="S25" s="9"/>
      <c r="T25" s="9"/>
      <c r="U25" s="102"/>
    </row>
    <row r="26" spans="1:31" s="35" customFormat="1" ht="11.25" customHeight="1">
      <c r="A26" s="76"/>
      <c r="B26" s="76"/>
      <c r="C26" s="76"/>
      <c r="D26" s="131"/>
      <c r="E26" s="132"/>
      <c r="F26" s="76"/>
      <c r="G26" s="76"/>
      <c r="H26" s="76"/>
      <c r="I26" s="76"/>
      <c r="J26" s="133"/>
      <c r="K26" s="132"/>
      <c r="L26" s="76"/>
      <c r="M26" s="76"/>
      <c r="N26" s="76"/>
      <c r="O26" s="76"/>
      <c r="P26" s="76"/>
      <c r="Q26" s="76"/>
      <c r="R26" s="76"/>
      <c r="S26" s="106" t="str">
        <f>"Long An, ngày  "&amp;$V$2&amp;"   tháng   "&amp;TEXT(E4,"mm")&amp;"   năm "&amp;TEXT(E4,"yyyy")</f>
        <v>Long An, ngày  31   tháng   08   năm 2015</v>
      </c>
      <c r="T26" s="76"/>
      <c r="U26" s="134"/>
      <c r="V26" s="36"/>
      <c r="W26" s="36"/>
      <c r="X26" s="36"/>
      <c r="Y26" s="36"/>
      <c r="Z26" s="36"/>
    </row>
    <row r="27" spans="1:31" s="35" customFormat="1" ht="12.75">
      <c r="A27" s="28"/>
      <c r="B27" s="28"/>
      <c r="C27" s="28" t="s">
        <v>60</v>
      </c>
      <c r="D27" s="135"/>
      <c r="E27" s="77"/>
      <c r="F27" s="134"/>
      <c r="G27" s="77"/>
      <c r="H27" s="77"/>
      <c r="I27" s="77"/>
      <c r="J27" s="136"/>
      <c r="K27" s="36"/>
      <c r="L27" s="28"/>
      <c r="M27" s="145"/>
      <c r="N27" s="19"/>
      <c r="O27" s="19"/>
      <c r="P27" s="19"/>
      <c r="Q27" s="19"/>
      <c r="S27" s="134" t="s">
        <v>22</v>
      </c>
      <c r="T27" s="134"/>
      <c r="U27" s="134"/>
      <c r="V27" s="36"/>
      <c r="W27" s="36"/>
      <c r="X27" s="36"/>
      <c r="Y27" s="36"/>
      <c r="Z27" s="36"/>
    </row>
    <row r="28" spans="1:31" ht="12">
      <c r="A28" s="8"/>
      <c r="B28" s="8"/>
      <c r="C28" s="15"/>
      <c r="E28" s="13"/>
      <c r="F28" s="12"/>
      <c r="G28" s="13"/>
      <c r="H28" s="13"/>
      <c r="I28" s="13"/>
      <c r="K28" s="7"/>
      <c r="L28" s="15"/>
      <c r="N28" s="11"/>
      <c r="O28" s="11"/>
      <c r="P28" s="11"/>
      <c r="Q28" s="11"/>
      <c r="S28" s="11"/>
      <c r="T28" s="12"/>
      <c r="U28" s="102"/>
    </row>
    <row r="29" spans="1:31" ht="12">
      <c r="C29" s="15"/>
      <c r="L29" s="15"/>
      <c r="T29" s="15"/>
      <c r="U29" s="102"/>
    </row>
    <row r="30" spans="1:31" ht="12">
      <c r="U30" s="102"/>
    </row>
    <row r="31" spans="1:31" ht="12">
      <c r="U31" s="102"/>
    </row>
    <row r="32" spans="1:31" ht="12">
      <c r="U32" s="102"/>
    </row>
    <row r="33" spans="21:21" ht="12">
      <c r="U33" s="102"/>
    </row>
    <row r="34" spans="21:21" ht="12">
      <c r="U34" s="102"/>
    </row>
    <row r="35" spans="21:21" ht="12">
      <c r="U35" s="102"/>
    </row>
  </sheetData>
  <protectedRanges>
    <protectedRange password="CC78" sqref="V23:IK24 C5:D7 B27:C27 V5:W9 A23:A28 B23:B26 B28 V15:W15 Q5:T7 E5:I6 D24 N5:P6 L5 L27 J6:K7 L7 A30:T63 U36:U63 N23:S23 V30:IK63 J23:L23 A64:IK65331 AF15:IK15 V14:IK14 D14 Q10:S13 W10:W13 AF5:IK13 A10:B14" name="Range1"/>
    <protectedRange password="CC78" sqref="F7:H7" name="Range1_4"/>
    <protectedRange password="CC78" sqref="V27:IK28 S27:T28 N27:Q28 E27:I28" name="Range1_1_1"/>
    <protectedRange password="CC78" sqref="U1 W1:IK3 V4:IK4 B4:T4 R2:S3 B1:Q3 U23:U35 X15:AE15 U4:U15 X5:AE13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6:W22 Q16:S22 AF16:IK22 A16:B22" name="Range1_5"/>
    <protectedRange password="CC78" sqref="U16:U22 X16:AE22" name="Range1_2_3"/>
    <protectedRange password="CC78" sqref="V16:V22" name="Range1_1_3"/>
    <protectedRange password="CC78" sqref="K10:K13 K16:K22" name="Range1_6"/>
    <protectedRange password="CC78" sqref="A2:A3" name="Range1_2_1_3"/>
    <protectedRange password="CC78" sqref="E14:T14" name="Range1_3"/>
    <protectedRange password="CC78" sqref="E24:T24" name="Range1_7"/>
    <protectedRange password="CC78" sqref="U2" name="Range1_2_2_1_1"/>
  </protectedRanges>
  <autoFilter ref="A7:AE10"/>
  <mergeCells count="24">
    <mergeCell ref="A14:D14"/>
    <mergeCell ref="A24:D24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6"/>
  <sheetViews>
    <sheetView zoomScaleNormal="115" workbookViewId="0">
      <pane xSplit="3" ySplit="6" topLeftCell="D16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16" sqref="A16:B2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6" customWidth="1"/>
    <col min="5" max="5" width="7.140625" style="2" customWidth="1"/>
    <col min="6" max="33" width="3.42578125" style="121" customWidth="1"/>
    <col min="34" max="35" width="3.42578125" style="122" customWidth="1"/>
    <col min="36" max="36" width="3.42578125" style="122" hidden="1" customWidth="1"/>
    <col min="37" max="38" width="4.42578125" style="2" customWidth="1"/>
    <col min="39" max="39" width="5.5703125" style="98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7"/>
      <c r="B1" s="52"/>
      <c r="C1" s="52"/>
      <c r="D1" s="56"/>
      <c r="E1" s="52"/>
      <c r="F1" s="56"/>
      <c r="G1" s="56"/>
      <c r="H1" s="56"/>
      <c r="I1" s="56"/>
      <c r="J1" s="56"/>
      <c r="K1" s="117"/>
      <c r="L1" s="117"/>
      <c r="M1" s="117"/>
      <c r="N1" s="117"/>
      <c r="O1" s="117"/>
      <c r="P1" s="117"/>
      <c r="Q1" s="117"/>
      <c r="R1" s="117"/>
      <c r="S1" s="54" t="str">
        <f>CONCATENATE("BẢNG CHẤM CÔNG THÁNG ",TEXT($E$4,"mm")," NĂM ",TEXT($E$4,"yyyy"))</f>
        <v>BẢNG CHẤM CÔNG THÁNG 09 NĂM 2015</v>
      </c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K1" s="53"/>
      <c r="AL1" s="53"/>
      <c r="AM1" s="242" t="s">
        <v>170</v>
      </c>
      <c r="AN1" s="243"/>
      <c r="AO1" s="243"/>
      <c r="AP1" s="243"/>
      <c r="AQ1" s="243"/>
      <c r="AR1" s="243"/>
      <c r="AS1" s="244"/>
      <c r="AT1" s="55"/>
    </row>
    <row r="2" spans="1:91" ht="20.25">
      <c r="A2" s="137"/>
      <c r="B2" s="56"/>
      <c r="C2" s="56"/>
      <c r="D2" s="56"/>
      <c r="E2" s="56"/>
      <c r="F2" s="56"/>
      <c r="G2" s="56"/>
      <c r="H2" s="56"/>
      <c r="I2" s="56"/>
      <c r="J2" s="56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53"/>
      <c r="AL2" s="53"/>
      <c r="AM2" s="94"/>
      <c r="AN2" s="57"/>
      <c r="AO2" s="57"/>
      <c r="AP2" s="57"/>
      <c r="AQ2" s="57"/>
      <c r="AR2" s="57"/>
      <c r="AS2" s="93"/>
      <c r="AT2" s="93"/>
    </row>
    <row r="3" spans="1:91" ht="21" customHeight="1">
      <c r="A3" s="137"/>
      <c r="B3" s="58"/>
      <c r="C3" s="58"/>
      <c r="D3" s="59"/>
      <c r="E3" s="59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53"/>
      <c r="AL3" s="53"/>
      <c r="AM3" s="94"/>
      <c r="AN3" s="55"/>
      <c r="AO3" s="55"/>
      <c r="AP3" s="55"/>
      <c r="AQ3" s="55"/>
      <c r="AR3" s="55"/>
      <c r="AS3" s="60"/>
      <c r="AT3" s="60"/>
    </row>
    <row r="4" spans="1:91" ht="14.25" customHeight="1">
      <c r="A4" s="61"/>
      <c r="B4" s="61"/>
      <c r="C4" s="154"/>
      <c r="D4" s="153"/>
      <c r="E4" s="62">
        <v>42248</v>
      </c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4"/>
      <c r="AI4" s="64"/>
      <c r="AJ4" s="64"/>
      <c r="AK4" s="61"/>
      <c r="AL4" s="61"/>
      <c r="AM4" s="95"/>
      <c r="AN4" s="61"/>
      <c r="AO4" s="61"/>
      <c r="AP4" s="61"/>
      <c r="AQ4" s="61"/>
      <c r="AR4" s="61"/>
      <c r="AS4" s="61"/>
      <c r="AT4" s="99"/>
    </row>
    <row r="5" spans="1:91" s="65" customFormat="1" ht="18.75" customHeight="1">
      <c r="A5" s="245" t="s">
        <v>28</v>
      </c>
      <c r="B5" s="245" t="s">
        <v>3</v>
      </c>
      <c r="C5" s="245" t="s">
        <v>1</v>
      </c>
      <c r="D5" s="247" t="s">
        <v>29</v>
      </c>
      <c r="E5" s="245" t="s">
        <v>30</v>
      </c>
      <c r="F5" s="116">
        <f>+E4</f>
        <v>42248</v>
      </c>
      <c r="G5" s="116">
        <f t="shared" ref="G5:AJ5" si="0">F5+1</f>
        <v>42249</v>
      </c>
      <c r="H5" s="116">
        <f t="shared" si="0"/>
        <v>42250</v>
      </c>
      <c r="I5" s="116">
        <f t="shared" si="0"/>
        <v>42251</v>
      </c>
      <c r="J5" s="116">
        <f t="shared" si="0"/>
        <v>42252</v>
      </c>
      <c r="K5" s="116">
        <f t="shared" si="0"/>
        <v>42253</v>
      </c>
      <c r="L5" s="116">
        <f t="shared" si="0"/>
        <v>42254</v>
      </c>
      <c r="M5" s="116">
        <f t="shared" si="0"/>
        <v>42255</v>
      </c>
      <c r="N5" s="116">
        <f t="shared" si="0"/>
        <v>42256</v>
      </c>
      <c r="O5" s="116">
        <f t="shared" si="0"/>
        <v>42257</v>
      </c>
      <c r="P5" s="116">
        <f t="shared" si="0"/>
        <v>42258</v>
      </c>
      <c r="Q5" s="116">
        <f t="shared" si="0"/>
        <v>42259</v>
      </c>
      <c r="R5" s="116">
        <f t="shared" si="0"/>
        <v>42260</v>
      </c>
      <c r="S5" s="116">
        <f t="shared" si="0"/>
        <v>42261</v>
      </c>
      <c r="T5" s="116">
        <f t="shared" si="0"/>
        <v>42262</v>
      </c>
      <c r="U5" s="116">
        <f t="shared" si="0"/>
        <v>42263</v>
      </c>
      <c r="V5" s="116">
        <f t="shared" si="0"/>
        <v>42264</v>
      </c>
      <c r="W5" s="116">
        <f t="shared" si="0"/>
        <v>42265</v>
      </c>
      <c r="X5" s="116">
        <f t="shared" si="0"/>
        <v>42266</v>
      </c>
      <c r="Y5" s="116">
        <f t="shared" si="0"/>
        <v>42267</v>
      </c>
      <c r="Z5" s="116">
        <f t="shared" si="0"/>
        <v>42268</v>
      </c>
      <c r="AA5" s="116">
        <f t="shared" si="0"/>
        <v>42269</v>
      </c>
      <c r="AB5" s="116">
        <f t="shared" si="0"/>
        <v>42270</v>
      </c>
      <c r="AC5" s="116">
        <f t="shared" si="0"/>
        <v>42271</v>
      </c>
      <c r="AD5" s="116">
        <f t="shared" si="0"/>
        <v>42272</v>
      </c>
      <c r="AE5" s="116">
        <f t="shared" si="0"/>
        <v>42273</v>
      </c>
      <c r="AF5" s="116">
        <f t="shared" si="0"/>
        <v>42274</v>
      </c>
      <c r="AG5" s="116">
        <f t="shared" si="0"/>
        <v>42275</v>
      </c>
      <c r="AH5" s="116">
        <f>AG5+1</f>
        <v>42276</v>
      </c>
      <c r="AI5" s="116">
        <f t="shared" si="0"/>
        <v>42277</v>
      </c>
      <c r="AJ5" s="116">
        <f t="shared" si="0"/>
        <v>42278</v>
      </c>
      <c r="AK5" s="248" t="s">
        <v>15</v>
      </c>
      <c r="AL5" s="249"/>
      <c r="AM5" s="250"/>
      <c r="AN5" s="251" t="s">
        <v>45</v>
      </c>
      <c r="AO5" s="251" t="s">
        <v>41</v>
      </c>
      <c r="AP5" s="251" t="s">
        <v>42</v>
      </c>
      <c r="AQ5" s="251" t="s">
        <v>43</v>
      </c>
      <c r="AR5" s="251" t="s">
        <v>44</v>
      </c>
      <c r="AS5" s="247" t="s">
        <v>0</v>
      </c>
      <c r="AT5" s="26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5" customFormat="1" ht="39.75" customHeight="1">
      <c r="A6" s="246"/>
      <c r="B6" s="246"/>
      <c r="C6" s="246"/>
      <c r="D6" s="246"/>
      <c r="E6" s="246"/>
      <c r="F6" s="172" t="str">
        <f>CHOOSE(WEEKDAY(F5),"C.Nhật","T.Hai","T.Ba","T.Tư","T.Năm","T.Sáu","T.Bảy")</f>
        <v>T.Ba</v>
      </c>
      <c r="G6" s="172" t="str">
        <f t="shared" ref="G6:AJ6" si="1">CHOOSE(WEEKDAY(G5),"C.Nhật","T.Hai","T.Ba","T.Tư","T.Năm","T.Sáu","T.Bảy")</f>
        <v>T.Tư</v>
      </c>
      <c r="H6" s="172" t="str">
        <f t="shared" si="1"/>
        <v>T.Năm</v>
      </c>
      <c r="I6" s="172" t="str">
        <f t="shared" si="1"/>
        <v>T.Sáu</v>
      </c>
      <c r="J6" s="172" t="str">
        <f t="shared" si="1"/>
        <v>T.Bảy</v>
      </c>
      <c r="K6" s="172" t="str">
        <f t="shared" si="1"/>
        <v>C.Nhật</v>
      </c>
      <c r="L6" s="172" t="str">
        <f t="shared" si="1"/>
        <v>T.Hai</v>
      </c>
      <c r="M6" s="172" t="str">
        <f t="shared" si="1"/>
        <v>T.Ba</v>
      </c>
      <c r="N6" s="172" t="str">
        <f t="shared" si="1"/>
        <v>T.Tư</v>
      </c>
      <c r="O6" s="172" t="str">
        <f t="shared" si="1"/>
        <v>T.Năm</v>
      </c>
      <c r="P6" s="172" t="str">
        <f t="shared" si="1"/>
        <v>T.Sáu</v>
      </c>
      <c r="Q6" s="172" t="str">
        <f t="shared" si="1"/>
        <v>T.Bảy</v>
      </c>
      <c r="R6" s="172" t="str">
        <f t="shared" si="1"/>
        <v>C.Nhật</v>
      </c>
      <c r="S6" s="172" t="str">
        <f t="shared" si="1"/>
        <v>T.Hai</v>
      </c>
      <c r="T6" s="172" t="str">
        <f t="shared" si="1"/>
        <v>T.Ba</v>
      </c>
      <c r="U6" s="172" t="str">
        <f t="shared" si="1"/>
        <v>T.Tư</v>
      </c>
      <c r="V6" s="172" t="str">
        <f t="shared" si="1"/>
        <v>T.Năm</v>
      </c>
      <c r="W6" s="172" t="str">
        <f t="shared" si="1"/>
        <v>T.Sáu</v>
      </c>
      <c r="X6" s="172" t="str">
        <f t="shared" si="1"/>
        <v>T.Bảy</v>
      </c>
      <c r="Y6" s="172" t="str">
        <f t="shared" si="1"/>
        <v>C.Nhật</v>
      </c>
      <c r="Z6" s="172" t="str">
        <f t="shared" si="1"/>
        <v>T.Hai</v>
      </c>
      <c r="AA6" s="172" t="str">
        <f t="shared" si="1"/>
        <v>T.Ba</v>
      </c>
      <c r="AB6" s="172" t="str">
        <f t="shared" si="1"/>
        <v>T.Tư</v>
      </c>
      <c r="AC6" s="172" t="str">
        <f t="shared" si="1"/>
        <v>T.Năm</v>
      </c>
      <c r="AD6" s="172" t="str">
        <f t="shared" si="1"/>
        <v>T.Sáu</v>
      </c>
      <c r="AE6" s="172" t="str">
        <f t="shared" si="1"/>
        <v>T.Bảy</v>
      </c>
      <c r="AF6" s="172" t="str">
        <f t="shared" si="1"/>
        <v>C.Nhật</v>
      </c>
      <c r="AG6" s="172" t="str">
        <f t="shared" si="1"/>
        <v>T.Hai</v>
      </c>
      <c r="AH6" s="172" t="str">
        <f t="shared" si="1"/>
        <v>T.Ba</v>
      </c>
      <c r="AI6" s="172" t="str">
        <f t="shared" si="1"/>
        <v>T.Tư</v>
      </c>
      <c r="AJ6" s="172" t="str">
        <f t="shared" si="1"/>
        <v>T.Năm</v>
      </c>
      <c r="AK6" s="173" t="s">
        <v>16</v>
      </c>
      <c r="AL6" s="173" t="s">
        <v>31</v>
      </c>
      <c r="AM6" s="174" t="s">
        <v>17</v>
      </c>
      <c r="AN6" s="252"/>
      <c r="AO6" s="252"/>
      <c r="AP6" s="252"/>
      <c r="AQ6" s="252"/>
      <c r="AR6" s="252"/>
      <c r="AS6" s="246"/>
      <c r="AT6" s="26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5" customFormat="1" ht="12.75" customHeight="1">
      <c r="A7" s="175">
        <v>1</v>
      </c>
      <c r="B7" s="175">
        <v>1</v>
      </c>
      <c r="C7" s="175">
        <v>2</v>
      </c>
      <c r="D7" s="175">
        <v>3</v>
      </c>
      <c r="E7" s="175">
        <v>4</v>
      </c>
      <c r="F7" s="175">
        <v>5</v>
      </c>
      <c r="G7" s="175">
        <v>6</v>
      </c>
      <c r="H7" s="175">
        <v>7</v>
      </c>
      <c r="I7" s="175">
        <v>8</v>
      </c>
      <c r="J7" s="175">
        <v>9</v>
      </c>
      <c r="K7" s="175">
        <v>10</v>
      </c>
      <c r="L7" s="175">
        <v>11</v>
      </c>
      <c r="M7" s="175">
        <v>12</v>
      </c>
      <c r="N7" s="175">
        <v>13</v>
      </c>
      <c r="O7" s="175">
        <v>14</v>
      </c>
      <c r="P7" s="175">
        <v>15</v>
      </c>
      <c r="Q7" s="175">
        <v>16</v>
      </c>
      <c r="R7" s="175">
        <v>17</v>
      </c>
      <c r="S7" s="175">
        <v>18</v>
      </c>
      <c r="T7" s="175">
        <v>19</v>
      </c>
      <c r="U7" s="175">
        <v>20</v>
      </c>
      <c r="V7" s="175">
        <v>21</v>
      </c>
      <c r="W7" s="175">
        <v>22</v>
      </c>
      <c r="X7" s="175">
        <v>23</v>
      </c>
      <c r="Y7" s="175">
        <v>24</v>
      </c>
      <c r="Z7" s="175">
        <v>25</v>
      </c>
      <c r="AA7" s="175">
        <v>26</v>
      </c>
      <c r="AB7" s="175">
        <v>27</v>
      </c>
      <c r="AC7" s="175">
        <v>28</v>
      </c>
      <c r="AD7" s="175">
        <v>29</v>
      </c>
      <c r="AE7" s="175">
        <v>30</v>
      </c>
      <c r="AF7" s="175">
        <v>31</v>
      </c>
      <c r="AG7" s="175">
        <v>32</v>
      </c>
      <c r="AH7" s="175">
        <v>33</v>
      </c>
      <c r="AI7" s="175">
        <v>34</v>
      </c>
      <c r="AJ7" s="175">
        <v>35</v>
      </c>
      <c r="AK7" s="175">
        <v>36</v>
      </c>
      <c r="AL7" s="175">
        <v>37</v>
      </c>
      <c r="AM7" s="175">
        <v>38</v>
      </c>
      <c r="AN7" s="175">
        <v>39</v>
      </c>
      <c r="AO7" s="175">
        <v>40</v>
      </c>
      <c r="AP7" s="175">
        <v>41</v>
      </c>
      <c r="AQ7" s="175">
        <v>42</v>
      </c>
      <c r="AR7" s="175">
        <v>43</v>
      </c>
      <c r="AS7" s="175">
        <v>44</v>
      </c>
      <c r="AT7" s="198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8" customFormat="1" ht="21" customHeight="1">
      <c r="A8" s="176" t="s">
        <v>154</v>
      </c>
      <c r="B8" s="179" t="s">
        <v>171</v>
      </c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0"/>
      <c r="W8" s="180"/>
      <c r="X8" s="180"/>
      <c r="Y8" s="180"/>
      <c r="Z8" s="180"/>
      <c r="AA8" s="180"/>
      <c r="AB8" s="180"/>
      <c r="AC8" s="180"/>
      <c r="AD8" s="180"/>
      <c r="AE8" s="180"/>
      <c r="AF8" s="180"/>
      <c r="AG8" s="180"/>
      <c r="AH8" s="180"/>
      <c r="AI8" s="180"/>
      <c r="AJ8" s="180"/>
      <c r="AK8" s="180"/>
      <c r="AL8" s="180"/>
      <c r="AM8" s="180"/>
      <c r="AN8" s="180"/>
      <c r="AO8" s="180"/>
      <c r="AP8" s="180"/>
      <c r="AQ8" s="180"/>
      <c r="AR8" s="180"/>
      <c r="AS8" s="181"/>
      <c r="AT8" s="177"/>
    </row>
    <row r="9" spans="1:91" s="65" customFormat="1" ht="18" customHeight="1">
      <c r="A9" s="253">
        <v>1</v>
      </c>
      <c r="B9" s="253" t="s">
        <v>159</v>
      </c>
      <c r="C9" s="255" t="str">
        <f>VLOOKUP(B9,DS,2,0)</f>
        <v>Nguyễn Thị Thu Sương</v>
      </c>
      <c r="D9" s="257" t="str">
        <f>VLOOKUP(B9,DS,3,0)</f>
        <v>Kinh Doanh</v>
      </c>
      <c r="E9" s="66" t="s">
        <v>32</v>
      </c>
      <c r="F9" s="141">
        <v>8</v>
      </c>
      <c r="G9" s="141"/>
      <c r="H9" s="141">
        <v>8</v>
      </c>
      <c r="I9" s="141">
        <v>8</v>
      </c>
      <c r="J9" s="141">
        <v>8</v>
      </c>
      <c r="K9" s="141"/>
      <c r="L9" s="141">
        <v>8</v>
      </c>
      <c r="M9" s="141">
        <v>8</v>
      </c>
      <c r="N9" s="141">
        <v>8</v>
      </c>
      <c r="O9" s="141">
        <v>8</v>
      </c>
      <c r="P9" s="141">
        <v>8</v>
      </c>
      <c r="Q9" s="141">
        <v>8</v>
      </c>
      <c r="R9" s="141"/>
      <c r="S9" s="141">
        <v>8</v>
      </c>
      <c r="T9" s="141">
        <v>8</v>
      </c>
      <c r="U9" s="141">
        <v>8</v>
      </c>
      <c r="V9" s="141">
        <v>8</v>
      </c>
      <c r="W9" s="141">
        <v>8</v>
      </c>
      <c r="X9" s="141">
        <v>8</v>
      </c>
      <c r="Y9" s="141"/>
      <c r="Z9" s="141">
        <v>8</v>
      </c>
      <c r="AA9" s="141">
        <v>8</v>
      </c>
      <c r="AB9" s="141">
        <v>8</v>
      </c>
      <c r="AC9" s="141">
        <v>8</v>
      </c>
      <c r="AD9" s="141">
        <v>8</v>
      </c>
      <c r="AE9" s="141">
        <v>8</v>
      </c>
      <c r="AF9" s="141"/>
      <c r="AG9" s="141">
        <v>8</v>
      </c>
      <c r="AH9" s="141">
        <v>8</v>
      </c>
      <c r="AI9" s="141">
        <v>8</v>
      </c>
      <c r="AJ9" s="141"/>
      <c r="AK9" s="259">
        <f>((SUM(F9:AJ9))/8)-(SUMIF($F$6:$AJ$6,"C.Nhật",F9:AJ9)/8)</f>
        <v>25</v>
      </c>
      <c r="AL9" s="259">
        <f>SUM(F10:AJ10)/8*1.5</f>
        <v>0</v>
      </c>
      <c r="AM9" s="262">
        <f>SUMIF($F$6:$AJ$6,"C.Nhật",$F9:$AJ10)/8*2</f>
        <v>0</v>
      </c>
      <c r="AN9" s="264">
        <f>SUM(AK9:AM10)</f>
        <v>25</v>
      </c>
      <c r="AO9" s="266">
        <v>0</v>
      </c>
      <c r="AP9" s="264"/>
      <c r="AQ9" s="264"/>
      <c r="AR9" s="264"/>
      <c r="AS9" s="268"/>
      <c r="AT9" s="198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5" customFormat="1" ht="18" customHeight="1">
      <c r="A10" s="254"/>
      <c r="B10" s="254"/>
      <c r="C10" s="256"/>
      <c r="D10" s="258"/>
      <c r="E10" s="67" t="s">
        <v>31</v>
      </c>
      <c r="F10" s="142"/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260"/>
      <c r="AL10" s="260"/>
      <c r="AM10" s="263"/>
      <c r="AN10" s="265"/>
      <c r="AO10" s="267"/>
      <c r="AP10" s="265"/>
      <c r="AQ10" s="265"/>
      <c r="AR10" s="265"/>
      <c r="AS10" s="269"/>
      <c r="AT10" s="198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5" customFormat="1" ht="18" customHeight="1">
      <c r="A11" s="253">
        <v>2</v>
      </c>
      <c r="B11" s="253" t="s">
        <v>160</v>
      </c>
      <c r="C11" s="255" t="str">
        <f>VLOOKUP(B11,DS,2,0)</f>
        <v>Trần Anh Nhựt</v>
      </c>
      <c r="D11" s="257" t="str">
        <f>VLOOKUP(B11,DS,3,0)</f>
        <v>Thiết Kế</v>
      </c>
      <c r="E11" s="66" t="s">
        <v>32</v>
      </c>
      <c r="F11" s="141">
        <v>8</v>
      </c>
      <c r="G11" s="141"/>
      <c r="H11" s="141">
        <v>8</v>
      </c>
      <c r="I11" s="141">
        <v>8</v>
      </c>
      <c r="J11" s="141">
        <v>8</v>
      </c>
      <c r="K11" s="141"/>
      <c r="L11" s="141">
        <v>8</v>
      </c>
      <c r="M11" s="141">
        <v>8</v>
      </c>
      <c r="N11" s="141">
        <v>8</v>
      </c>
      <c r="O11" s="141">
        <v>8</v>
      </c>
      <c r="P11" s="141">
        <v>8</v>
      </c>
      <c r="Q11" s="141">
        <v>8</v>
      </c>
      <c r="R11" s="141"/>
      <c r="S11" s="141">
        <v>8</v>
      </c>
      <c r="T11" s="141">
        <v>8</v>
      </c>
      <c r="U11" s="141">
        <v>8</v>
      </c>
      <c r="V11" s="141">
        <v>8</v>
      </c>
      <c r="W11" s="141">
        <v>8</v>
      </c>
      <c r="X11" s="141">
        <v>8</v>
      </c>
      <c r="Y11" s="141"/>
      <c r="Z11" s="141">
        <v>8</v>
      </c>
      <c r="AA11" s="141">
        <v>8</v>
      </c>
      <c r="AB11" s="141">
        <v>8</v>
      </c>
      <c r="AC11" s="141">
        <v>8</v>
      </c>
      <c r="AD11" s="141">
        <v>8</v>
      </c>
      <c r="AE11" s="141">
        <v>8</v>
      </c>
      <c r="AF11" s="141"/>
      <c r="AG11" s="141">
        <v>8</v>
      </c>
      <c r="AH11" s="141">
        <v>8</v>
      </c>
      <c r="AI11" s="141">
        <v>8</v>
      </c>
      <c r="AJ11" s="141"/>
      <c r="AK11" s="259">
        <f t="shared" ref="AK11" si="2">((SUM(F11:AJ11))/8)-(SUMIF($F$6:$AJ$6,"C.Nhật",F11:AJ11)/8)</f>
        <v>25</v>
      </c>
      <c r="AL11" s="259">
        <f t="shared" ref="AL11" si="3">SUM(F12:AJ12)/8*1.5</f>
        <v>0</v>
      </c>
      <c r="AM11" s="262">
        <f t="shared" ref="AM11:AM13" si="4">SUMIF($F$6:$AJ$6,"C.Nhật",$F11:$AJ12)/8*2</f>
        <v>0</v>
      </c>
      <c r="AN11" s="264">
        <f t="shared" ref="AN11" si="5">SUM(AK11:AM12)</f>
        <v>25</v>
      </c>
      <c r="AO11" s="266">
        <v>0</v>
      </c>
      <c r="AP11" s="264"/>
      <c r="AQ11" s="264"/>
      <c r="AR11" s="264"/>
      <c r="AS11" s="268"/>
      <c r="AT11" s="22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5" customFormat="1" ht="18" customHeight="1">
      <c r="A12" s="254"/>
      <c r="B12" s="254"/>
      <c r="C12" s="256"/>
      <c r="D12" s="258"/>
      <c r="E12" s="67" t="s">
        <v>31</v>
      </c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260"/>
      <c r="AL12" s="260"/>
      <c r="AM12" s="263"/>
      <c r="AN12" s="265"/>
      <c r="AO12" s="267"/>
      <c r="AP12" s="265"/>
      <c r="AQ12" s="265"/>
      <c r="AR12" s="265"/>
      <c r="AS12" s="269"/>
      <c r="AT12" s="22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5" customFormat="1" ht="18" customHeight="1">
      <c r="A13" s="253">
        <v>3</v>
      </c>
      <c r="B13" s="253" t="s">
        <v>168</v>
      </c>
      <c r="C13" s="255" t="str">
        <f>VLOOKUP(B13,DS,2,0)</f>
        <v>Huỳnh Minh Toàn</v>
      </c>
      <c r="D13" s="257" t="str">
        <f>VLOOKUP(B13,DS,3,0)</f>
        <v>Thủ Kho</v>
      </c>
      <c r="E13" s="66" t="s">
        <v>32</v>
      </c>
      <c r="F13" s="141">
        <v>8</v>
      </c>
      <c r="G13" s="141"/>
      <c r="H13" s="141">
        <v>8</v>
      </c>
      <c r="I13" s="141">
        <v>8</v>
      </c>
      <c r="J13" s="141">
        <v>8</v>
      </c>
      <c r="K13" s="141"/>
      <c r="L13" s="141">
        <v>8</v>
      </c>
      <c r="M13" s="141">
        <v>8</v>
      </c>
      <c r="N13" s="141">
        <v>8</v>
      </c>
      <c r="O13" s="141">
        <v>8</v>
      </c>
      <c r="P13" s="141">
        <v>8</v>
      </c>
      <c r="Q13" s="141">
        <v>8</v>
      </c>
      <c r="R13" s="141"/>
      <c r="S13" s="141">
        <v>8</v>
      </c>
      <c r="T13" s="141">
        <v>8</v>
      </c>
      <c r="U13" s="141">
        <v>8</v>
      </c>
      <c r="V13" s="141">
        <v>8</v>
      </c>
      <c r="W13" s="141">
        <v>8</v>
      </c>
      <c r="X13" s="141">
        <v>8</v>
      </c>
      <c r="Y13" s="141"/>
      <c r="Z13" s="141">
        <v>8</v>
      </c>
      <c r="AA13" s="141">
        <v>8</v>
      </c>
      <c r="AB13" s="141">
        <v>8</v>
      </c>
      <c r="AC13" s="141">
        <v>8</v>
      </c>
      <c r="AD13" s="141">
        <v>8</v>
      </c>
      <c r="AE13" s="141">
        <v>8</v>
      </c>
      <c r="AF13" s="141"/>
      <c r="AG13" s="141">
        <v>8</v>
      </c>
      <c r="AH13" s="141">
        <v>8</v>
      </c>
      <c r="AI13" s="141">
        <v>8</v>
      </c>
      <c r="AJ13" s="141"/>
      <c r="AK13" s="259">
        <f t="shared" ref="AK13" si="6">((SUM(F13:AJ13))/8)-(SUMIF($F$6:$AJ$6,"C.Nhật",F13:AJ13)/8)</f>
        <v>25</v>
      </c>
      <c r="AL13" s="259">
        <f t="shared" ref="AL13" si="7">SUM(F14:AJ14)/8*1.5</f>
        <v>0</v>
      </c>
      <c r="AM13" s="262">
        <f t="shared" si="4"/>
        <v>0</v>
      </c>
      <c r="AN13" s="264">
        <f t="shared" ref="AN13" si="8">SUM(AK13:AM14)</f>
        <v>25</v>
      </c>
      <c r="AO13" s="266">
        <v>0</v>
      </c>
      <c r="AP13" s="264"/>
      <c r="AQ13" s="264"/>
      <c r="AR13" s="264"/>
      <c r="AS13" s="268"/>
      <c r="AT13" s="198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5" customFormat="1" ht="18" customHeight="1">
      <c r="A14" s="254"/>
      <c r="B14" s="254"/>
      <c r="C14" s="256"/>
      <c r="D14" s="258"/>
      <c r="E14" s="67" t="s">
        <v>31</v>
      </c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260"/>
      <c r="AL14" s="260"/>
      <c r="AM14" s="263"/>
      <c r="AN14" s="265"/>
      <c r="AO14" s="267"/>
      <c r="AP14" s="265"/>
      <c r="AQ14" s="265"/>
      <c r="AR14" s="265"/>
      <c r="AS14" s="269"/>
      <c r="AT14" s="198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78" customFormat="1" ht="21" customHeight="1">
      <c r="A15" s="176" t="s">
        <v>155</v>
      </c>
      <c r="B15" s="179" t="s">
        <v>158</v>
      </c>
      <c r="C15" s="180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0"/>
      <c r="U15" s="180"/>
      <c r="V15" s="180"/>
      <c r="W15" s="180"/>
      <c r="X15" s="180"/>
      <c r="Y15" s="180"/>
      <c r="Z15" s="180"/>
      <c r="AA15" s="180"/>
      <c r="AB15" s="180"/>
      <c r="AC15" s="180"/>
      <c r="AD15" s="180"/>
      <c r="AE15" s="180"/>
      <c r="AF15" s="180"/>
      <c r="AG15" s="180"/>
      <c r="AH15" s="180"/>
      <c r="AI15" s="180"/>
      <c r="AJ15" s="180"/>
      <c r="AK15" s="180"/>
      <c r="AL15" s="180"/>
      <c r="AM15" s="180"/>
      <c r="AN15" s="180"/>
      <c r="AO15" s="180"/>
      <c r="AP15" s="180"/>
      <c r="AQ15" s="180"/>
      <c r="AR15" s="180"/>
      <c r="AS15" s="181"/>
      <c r="AT15" s="177"/>
    </row>
    <row r="16" spans="1:91" s="65" customFormat="1" ht="18" customHeight="1">
      <c r="A16" s="253">
        <v>1</v>
      </c>
      <c r="B16" s="253" t="s">
        <v>161</v>
      </c>
      <c r="C16" s="255" t="str">
        <f>VLOOKUP(B16,DS,2,0)</f>
        <v>Nguyễn Trường Giang</v>
      </c>
      <c r="D16" s="257" t="str">
        <f>VLOOKUP(B16,DS,3,0)</f>
        <v>Thợ in</v>
      </c>
      <c r="E16" s="66" t="s">
        <v>32</v>
      </c>
      <c r="F16" s="141">
        <v>8</v>
      </c>
      <c r="G16" s="141"/>
      <c r="H16" s="141">
        <v>8</v>
      </c>
      <c r="I16" s="141">
        <v>8</v>
      </c>
      <c r="J16" s="141">
        <v>8</v>
      </c>
      <c r="K16" s="141"/>
      <c r="L16" s="141">
        <v>8</v>
      </c>
      <c r="M16" s="141">
        <v>8</v>
      </c>
      <c r="N16" s="141">
        <v>8</v>
      </c>
      <c r="O16" s="141">
        <v>8</v>
      </c>
      <c r="P16" s="141">
        <v>8</v>
      </c>
      <c r="Q16" s="141">
        <v>8</v>
      </c>
      <c r="R16" s="141"/>
      <c r="S16" s="141">
        <v>8</v>
      </c>
      <c r="T16" s="141">
        <v>8</v>
      </c>
      <c r="U16" s="141">
        <v>8</v>
      </c>
      <c r="V16" s="141">
        <v>8</v>
      </c>
      <c r="W16" s="141">
        <v>8</v>
      </c>
      <c r="X16" s="141">
        <v>8</v>
      </c>
      <c r="Y16" s="141"/>
      <c r="Z16" s="141">
        <v>8</v>
      </c>
      <c r="AA16" s="141">
        <v>8</v>
      </c>
      <c r="AB16" s="141">
        <v>8</v>
      </c>
      <c r="AC16" s="141">
        <v>8</v>
      </c>
      <c r="AD16" s="141">
        <v>8</v>
      </c>
      <c r="AE16" s="141">
        <v>8</v>
      </c>
      <c r="AF16" s="141"/>
      <c r="AG16" s="141">
        <v>8</v>
      </c>
      <c r="AH16" s="141">
        <v>8</v>
      </c>
      <c r="AI16" s="141">
        <v>8</v>
      </c>
      <c r="AJ16" s="141"/>
      <c r="AK16" s="259">
        <f t="shared" ref="AK16" si="9">((SUM(F16:AJ16))/8)-(SUMIF($F$6:$AJ$6,"C.Nhật",F16:AJ16)/8)</f>
        <v>25</v>
      </c>
      <c r="AL16" s="259">
        <f t="shared" ref="AL16" si="10">SUM(F17:AJ17)/8*1.5</f>
        <v>0</v>
      </c>
      <c r="AM16" s="262">
        <f>SUMIF($F$6:$AJ$6,"C.Nhật",$F16:$AJ17)/8*2</f>
        <v>0</v>
      </c>
      <c r="AN16" s="264">
        <f>SUM(AK16:AM17)</f>
        <v>25</v>
      </c>
      <c r="AO16" s="266">
        <v>0</v>
      </c>
      <c r="AP16" s="264"/>
      <c r="AQ16" s="264"/>
      <c r="AR16" s="264"/>
      <c r="AS16" s="268"/>
      <c r="AT16" s="21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5" customFormat="1" ht="18" customHeight="1">
      <c r="A17" s="254"/>
      <c r="B17" s="254"/>
      <c r="C17" s="256"/>
      <c r="D17" s="258"/>
      <c r="E17" s="67" t="s">
        <v>31</v>
      </c>
      <c r="F17" s="142"/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  <c r="AA17" s="142"/>
      <c r="AB17" s="142"/>
      <c r="AC17" s="142"/>
      <c r="AD17" s="142"/>
      <c r="AE17" s="142"/>
      <c r="AF17" s="142"/>
      <c r="AG17" s="142"/>
      <c r="AH17" s="142"/>
      <c r="AI17" s="142"/>
      <c r="AJ17" s="142"/>
      <c r="AK17" s="260"/>
      <c r="AL17" s="260"/>
      <c r="AM17" s="263"/>
      <c r="AN17" s="265"/>
      <c r="AO17" s="267"/>
      <c r="AP17" s="265"/>
      <c r="AQ17" s="265"/>
      <c r="AR17" s="265"/>
      <c r="AS17" s="269"/>
      <c r="AT17" s="21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5" customFormat="1" ht="18" customHeight="1">
      <c r="A18" s="253">
        <v>2</v>
      </c>
      <c r="B18" s="253" t="s">
        <v>162</v>
      </c>
      <c r="C18" s="255" t="str">
        <f>VLOOKUP(B18,DS,2,0)</f>
        <v>Võ Văn Kiệt</v>
      </c>
      <c r="D18" s="257" t="str">
        <f>VLOOKUP(B18,DS,3,0)</f>
        <v>Công Đoạn 1</v>
      </c>
      <c r="E18" s="66" t="s">
        <v>32</v>
      </c>
      <c r="F18" s="141">
        <v>8</v>
      </c>
      <c r="G18" s="141"/>
      <c r="H18" s="141">
        <v>8</v>
      </c>
      <c r="I18" s="141">
        <v>8</v>
      </c>
      <c r="J18" s="141">
        <v>8</v>
      </c>
      <c r="K18" s="141"/>
      <c r="L18" s="141">
        <v>8</v>
      </c>
      <c r="M18" s="141">
        <v>8</v>
      </c>
      <c r="N18" s="141">
        <v>8</v>
      </c>
      <c r="O18" s="141">
        <v>8</v>
      </c>
      <c r="P18" s="141">
        <v>8</v>
      </c>
      <c r="Q18" s="141">
        <v>8</v>
      </c>
      <c r="R18" s="141"/>
      <c r="S18" s="141">
        <v>8</v>
      </c>
      <c r="T18" s="141">
        <v>8</v>
      </c>
      <c r="U18" s="141">
        <v>8</v>
      </c>
      <c r="V18" s="141">
        <v>8</v>
      </c>
      <c r="W18" s="141">
        <v>8</v>
      </c>
      <c r="X18" s="141">
        <v>8</v>
      </c>
      <c r="Y18" s="141"/>
      <c r="Z18" s="141">
        <v>8</v>
      </c>
      <c r="AA18" s="141">
        <v>8</v>
      </c>
      <c r="AB18" s="141">
        <v>8</v>
      </c>
      <c r="AC18" s="141">
        <v>8</v>
      </c>
      <c r="AD18" s="141">
        <v>8</v>
      </c>
      <c r="AE18" s="141">
        <v>8</v>
      </c>
      <c r="AF18" s="141"/>
      <c r="AG18" s="141">
        <v>8</v>
      </c>
      <c r="AH18" s="141">
        <v>8</v>
      </c>
      <c r="AI18" s="141">
        <v>8</v>
      </c>
      <c r="AJ18" s="141"/>
      <c r="AK18" s="259">
        <f t="shared" ref="AK18" si="11">((SUM(F18:AJ18))/8)-(SUMIF($F$6:$AJ$6,"C.Nhật",F18:AJ18)/8)</f>
        <v>25</v>
      </c>
      <c r="AL18" s="259">
        <f t="shared" ref="AL18" si="12">SUM(F19:AJ19)/8*1.5</f>
        <v>0</v>
      </c>
      <c r="AM18" s="262">
        <f>SUMIF($F$6:$AJ$6,"C.Nhật",$F18:$AJ19)/8*2</f>
        <v>0</v>
      </c>
      <c r="AN18" s="264">
        <f t="shared" ref="AN18" si="13">SUM(AK18:AM19)</f>
        <v>25</v>
      </c>
      <c r="AO18" s="266">
        <v>0</v>
      </c>
      <c r="AP18" s="264"/>
      <c r="AQ18" s="264"/>
      <c r="AR18" s="264"/>
      <c r="AS18" s="268"/>
      <c r="AT18" s="22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5" customFormat="1" ht="18" customHeight="1">
      <c r="A19" s="254"/>
      <c r="B19" s="254"/>
      <c r="C19" s="256"/>
      <c r="D19" s="258"/>
      <c r="E19" s="67" t="s">
        <v>31</v>
      </c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  <c r="Y19" s="142"/>
      <c r="Z19" s="142"/>
      <c r="AA19" s="142"/>
      <c r="AB19" s="142"/>
      <c r="AC19" s="142"/>
      <c r="AD19" s="142"/>
      <c r="AE19" s="142"/>
      <c r="AF19" s="142"/>
      <c r="AG19" s="142"/>
      <c r="AH19" s="142"/>
      <c r="AI19" s="142"/>
      <c r="AJ19" s="142"/>
      <c r="AK19" s="260"/>
      <c r="AL19" s="260"/>
      <c r="AM19" s="263"/>
      <c r="AN19" s="265"/>
      <c r="AO19" s="267"/>
      <c r="AP19" s="265"/>
      <c r="AQ19" s="265"/>
      <c r="AR19" s="265"/>
      <c r="AS19" s="269"/>
      <c r="AT19" s="22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5" customFormat="1" ht="18" customHeight="1">
      <c r="A20" s="253">
        <v>3</v>
      </c>
      <c r="B20" s="253" t="s">
        <v>163</v>
      </c>
      <c r="C20" s="255" t="str">
        <f>VLOOKUP(B20,DS,2,0)</f>
        <v>Diệp Văn Lân</v>
      </c>
      <c r="D20" s="257" t="str">
        <f>VLOOKUP(B20,DS,3,0)</f>
        <v>Công Đoạn 1</v>
      </c>
      <c r="E20" s="66" t="s">
        <v>32</v>
      </c>
      <c r="F20" s="141">
        <v>8</v>
      </c>
      <c r="G20" s="141"/>
      <c r="H20" s="141">
        <v>8</v>
      </c>
      <c r="I20" s="141">
        <v>8</v>
      </c>
      <c r="J20" s="141">
        <v>8</v>
      </c>
      <c r="K20" s="141"/>
      <c r="L20" s="141">
        <v>8</v>
      </c>
      <c r="M20" s="141">
        <v>8</v>
      </c>
      <c r="N20" s="141">
        <v>8</v>
      </c>
      <c r="O20" s="141">
        <v>8</v>
      </c>
      <c r="P20" s="141">
        <v>8</v>
      </c>
      <c r="Q20" s="141">
        <v>8</v>
      </c>
      <c r="R20" s="141"/>
      <c r="S20" s="141">
        <v>8</v>
      </c>
      <c r="T20" s="141">
        <v>8</v>
      </c>
      <c r="U20" s="141">
        <v>8</v>
      </c>
      <c r="V20" s="141">
        <v>8</v>
      </c>
      <c r="W20" s="141">
        <v>8</v>
      </c>
      <c r="X20" s="141">
        <v>8</v>
      </c>
      <c r="Y20" s="141"/>
      <c r="Z20" s="141">
        <v>8</v>
      </c>
      <c r="AA20" s="141">
        <v>8</v>
      </c>
      <c r="AB20" s="141">
        <v>8</v>
      </c>
      <c r="AC20" s="141">
        <v>8</v>
      </c>
      <c r="AD20" s="141">
        <v>8</v>
      </c>
      <c r="AE20" s="141">
        <v>8</v>
      </c>
      <c r="AF20" s="141"/>
      <c r="AG20" s="141">
        <v>8</v>
      </c>
      <c r="AH20" s="141">
        <v>8</v>
      </c>
      <c r="AI20" s="141">
        <v>8</v>
      </c>
      <c r="AJ20" s="141"/>
      <c r="AK20" s="259">
        <f t="shared" ref="AK20" si="14">((SUM(F20:AJ20))/8)-(SUMIF($F$6:$AJ$6,"C.Nhật",F20:AJ20)/8)</f>
        <v>25</v>
      </c>
      <c r="AL20" s="259">
        <f t="shared" ref="AL20" si="15">SUM(F21:AJ21)/8*1.5</f>
        <v>0</v>
      </c>
      <c r="AM20" s="262">
        <f>SUMIF($F$6:$AJ$6,"C.Nhật",$F20:$AJ21)/8*2</f>
        <v>0</v>
      </c>
      <c r="AN20" s="264">
        <f t="shared" ref="AN20" si="16">SUM(AK20:AM21)</f>
        <v>25</v>
      </c>
      <c r="AO20" s="266">
        <v>0</v>
      </c>
      <c r="AP20" s="264"/>
      <c r="AQ20" s="264"/>
      <c r="AR20" s="264"/>
      <c r="AS20" s="268"/>
      <c r="AT20" s="22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5" customFormat="1" ht="18" customHeight="1">
      <c r="A21" s="254"/>
      <c r="B21" s="254"/>
      <c r="C21" s="256"/>
      <c r="D21" s="258"/>
      <c r="E21" s="67" t="s">
        <v>31</v>
      </c>
      <c r="F21" s="142"/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142"/>
      <c r="AA21" s="142"/>
      <c r="AB21" s="142"/>
      <c r="AC21" s="142"/>
      <c r="AD21" s="142"/>
      <c r="AE21" s="142"/>
      <c r="AF21" s="142"/>
      <c r="AG21" s="142"/>
      <c r="AH21" s="142"/>
      <c r="AI21" s="142"/>
      <c r="AJ21" s="142"/>
      <c r="AK21" s="260"/>
      <c r="AL21" s="260"/>
      <c r="AM21" s="263"/>
      <c r="AN21" s="265"/>
      <c r="AO21" s="267"/>
      <c r="AP21" s="265"/>
      <c r="AQ21" s="265"/>
      <c r="AR21" s="265"/>
      <c r="AS21" s="269"/>
      <c r="AT21" s="22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5" customFormat="1" ht="18" customHeight="1">
      <c r="A22" s="253">
        <v>4</v>
      </c>
      <c r="B22" s="253" t="s">
        <v>176</v>
      </c>
      <c r="C22" s="255" t="str">
        <f>VLOOKUP(B22,DS,2,0)</f>
        <v>Dương Thế Kiệt</v>
      </c>
      <c r="D22" s="257" t="str">
        <f>VLOOKUP(B22,DS,3,0)</f>
        <v>Công Đoạn 1</v>
      </c>
      <c r="E22" s="66" t="s">
        <v>32</v>
      </c>
      <c r="F22" s="141">
        <v>8</v>
      </c>
      <c r="G22" s="141"/>
      <c r="H22" s="141">
        <v>8</v>
      </c>
      <c r="I22" s="141">
        <v>8</v>
      </c>
      <c r="J22" s="141">
        <v>8</v>
      </c>
      <c r="K22" s="141"/>
      <c r="L22" s="141">
        <v>8</v>
      </c>
      <c r="M22" s="141">
        <v>8</v>
      </c>
      <c r="N22" s="141">
        <v>8</v>
      </c>
      <c r="O22" s="141">
        <v>8</v>
      </c>
      <c r="P22" s="141">
        <v>8</v>
      </c>
      <c r="Q22" s="141">
        <v>8</v>
      </c>
      <c r="R22" s="141"/>
      <c r="S22" s="141">
        <v>8</v>
      </c>
      <c r="T22" s="141">
        <v>8</v>
      </c>
      <c r="U22" s="141">
        <v>8</v>
      </c>
      <c r="V22" s="141">
        <v>8</v>
      </c>
      <c r="W22" s="141">
        <v>8</v>
      </c>
      <c r="X22" s="141">
        <v>8</v>
      </c>
      <c r="Y22" s="141"/>
      <c r="Z22" s="141">
        <v>8</v>
      </c>
      <c r="AA22" s="141">
        <v>8</v>
      </c>
      <c r="AB22" s="141">
        <v>8</v>
      </c>
      <c r="AC22" s="141">
        <v>8</v>
      </c>
      <c r="AD22" s="141">
        <v>8</v>
      </c>
      <c r="AE22" s="141">
        <v>8</v>
      </c>
      <c r="AF22" s="141"/>
      <c r="AG22" s="141">
        <v>8</v>
      </c>
      <c r="AH22" s="141">
        <v>8</v>
      </c>
      <c r="AI22" s="141">
        <v>8</v>
      </c>
      <c r="AJ22" s="141"/>
      <c r="AK22" s="259">
        <f t="shared" ref="AK22" si="17">((SUM(F22:AJ22))/8)-(SUMIF($F$6:$AJ$6,"C.Nhật",F22:AJ22)/8)</f>
        <v>25</v>
      </c>
      <c r="AL22" s="259">
        <f t="shared" ref="AL22" si="18">SUM(F23:AJ23)/8*1.5</f>
        <v>0</v>
      </c>
      <c r="AM22" s="262">
        <f>SUMIF($F$6:$AJ$6,"C.Nhật",$F22:$AJ23)/8*2</f>
        <v>0</v>
      </c>
      <c r="AN22" s="264">
        <f t="shared" ref="AN22" si="19">SUM(AK22:AM23)</f>
        <v>25</v>
      </c>
      <c r="AO22" s="266">
        <v>0</v>
      </c>
      <c r="AP22" s="264"/>
      <c r="AQ22" s="264"/>
      <c r="AR22" s="264"/>
      <c r="AS22" s="268"/>
      <c r="AT22" s="22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5" customFormat="1" ht="18" customHeight="1">
      <c r="A23" s="254"/>
      <c r="B23" s="254"/>
      <c r="C23" s="256"/>
      <c r="D23" s="258"/>
      <c r="E23" s="67" t="s">
        <v>31</v>
      </c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  <c r="AA23" s="142"/>
      <c r="AB23" s="142"/>
      <c r="AC23" s="142"/>
      <c r="AD23" s="142"/>
      <c r="AE23" s="142"/>
      <c r="AF23" s="142"/>
      <c r="AG23" s="142"/>
      <c r="AH23" s="142"/>
      <c r="AI23" s="142"/>
      <c r="AJ23" s="142"/>
      <c r="AK23" s="260"/>
      <c r="AL23" s="260"/>
      <c r="AM23" s="263"/>
      <c r="AN23" s="265"/>
      <c r="AO23" s="267"/>
      <c r="AP23" s="265"/>
      <c r="AQ23" s="265"/>
      <c r="AR23" s="265"/>
      <c r="AS23" s="269"/>
      <c r="AT23" s="22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5" customFormat="1" ht="18" customHeight="1">
      <c r="A24" s="253">
        <v>5</v>
      </c>
      <c r="B24" s="253" t="s">
        <v>177</v>
      </c>
      <c r="C24" s="255" t="str">
        <f>VLOOKUP(B24,DS,2,0)</f>
        <v>Lê Văn Hữu</v>
      </c>
      <c r="D24" s="257" t="str">
        <f>VLOOKUP(B24,DS,3,0)</f>
        <v>Công Đoạn 2</v>
      </c>
      <c r="E24" s="66" t="s">
        <v>32</v>
      </c>
      <c r="F24" s="141">
        <v>8</v>
      </c>
      <c r="G24" s="141"/>
      <c r="H24" s="141">
        <v>8</v>
      </c>
      <c r="I24" s="141">
        <v>8</v>
      </c>
      <c r="J24" s="141">
        <v>8</v>
      </c>
      <c r="K24" s="141"/>
      <c r="L24" s="141">
        <v>8</v>
      </c>
      <c r="M24" s="141">
        <v>8</v>
      </c>
      <c r="N24" s="141">
        <v>8</v>
      </c>
      <c r="O24" s="141">
        <v>8</v>
      </c>
      <c r="P24" s="141">
        <v>8</v>
      </c>
      <c r="Q24" s="141">
        <v>8</v>
      </c>
      <c r="R24" s="141"/>
      <c r="S24" s="141">
        <v>8</v>
      </c>
      <c r="T24" s="141">
        <v>8</v>
      </c>
      <c r="U24" s="141">
        <v>8</v>
      </c>
      <c r="V24" s="141">
        <v>8</v>
      </c>
      <c r="W24" s="141">
        <v>8</v>
      </c>
      <c r="X24" s="141">
        <v>8</v>
      </c>
      <c r="Y24" s="141"/>
      <c r="Z24" s="141">
        <v>8</v>
      </c>
      <c r="AA24" s="141">
        <v>8</v>
      </c>
      <c r="AB24" s="141">
        <v>8</v>
      </c>
      <c r="AC24" s="141">
        <v>8</v>
      </c>
      <c r="AD24" s="141">
        <v>8</v>
      </c>
      <c r="AE24" s="141">
        <v>8</v>
      </c>
      <c r="AF24" s="141"/>
      <c r="AG24" s="141">
        <v>8</v>
      </c>
      <c r="AH24" s="141">
        <v>8</v>
      </c>
      <c r="AI24" s="141">
        <v>8</v>
      </c>
      <c r="AJ24" s="141"/>
      <c r="AK24" s="259">
        <f t="shared" ref="AK24" si="20">((SUM(F24:AJ24))/8)-(SUMIF($F$6:$AJ$6,"C.Nhật",F24:AJ24)/8)</f>
        <v>25</v>
      </c>
      <c r="AL24" s="259">
        <f t="shared" ref="AL24" si="21">SUM(F25:AJ25)/8*1.5</f>
        <v>0</v>
      </c>
      <c r="AM24" s="262">
        <f>SUMIF($F$6:$AJ$6,"C.Nhật",$F24:$AJ25)/8*2</f>
        <v>0</v>
      </c>
      <c r="AN24" s="264">
        <f t="shared" ref="AN24" si="22">SUM(AK24:AM25)</f>
        <v>25</v>
      </c>
      <c r="AO24" s="266">
        <v>0</v>
      </c>
      <c r="AP24" s="264"/>
      <c r="AQ24" s="264"/>
      <c r="AR24" s="264"/>
      <c r="AS24" s="268"/>
      <c r="AT24" s="22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5" customFormat="1" ht="18" customHeight="1">
      <c r="A25" s="254"/>
      <c r="B25" s="254"/>
      <c r="C25" s="256"/>
      <c r="D25" s="258"/>
      <c r="E25" s="67" t="s">
        <v>31</v>
      </c>
      <c r="F25" s="142"/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  <c r="AA25" s="142"/>
      <c r="AB25" s="142"/>
      <c r="AC25" s="142"/>
      <c r="AD25" s="142"/>
      <c r="AE25" s="142"/>
      <c r="AF25" s="142"/>
      <c r="AG25" s="142"/>
      <c r="AH25" s="142"/>
      <c r="AI25" s="142"/>
      <c r="AJ25" s="142"/>
      <c r="AK25" s="260"/>
      <c r="AL25" s="260"/>
      <c r="AM25" s="263"/>
      <c r="AN25" s="265"/>
      <c r="AO25" s="267"/>
      <c r="AP25" s="265"/>
      <c r="AQ25" s="265"/>
      <c r="AR25" s="265"/>
      <c r="AS25" s="269"/>
      <c r="AT25" s="22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5" customFormat="1" ht="18" customHeight="1">
      <c r="A26" s="253">
        <v>6</v>
      </c>
      <c r="B26" s="253" t="s">
        <v>178</v>
      </c>
      <c r="C26" s="255" t="str">
        <f>VLOOKUP(B26,DS,2,0)</f>
        <v>Bùi Trường Giang</v>
      </c>
      <c r="D26" s="257" t="str">
        <f>VLOOKUP(B26,DS,3,0)</f>
        <v>Công Đoạn 2</v>
      </c>
      <c r="E26" s="66" t="s">
        <v>32</v>
      </c>
      <c r="F26" s="141">
        <v>8</v>
      </c>
      <c r="G26" s="141"/>
      <c r="H26" s="141">
        <v>8</v>
      </c>
      <c r="I26" s="141">
        <v>8</v>
      </c>
      <c r="J26" s="141">
        <v>8</v>
      </c>
      <c r="K26" s="141"/>
      <c r="L26" s="141">
        <v>8</v>
      </c>
      <c r="M26" s="141">
        <v>8</v>
      </c>
      <c r="N26" s="141">
        <v>8</v>
      </c>
      <c r="O26" s="141">
        <v>8</v>
      </c>
      <c r="P26" s="141">
        <v>8</v>
      </c>
      <c r="Q26" s="141">
        <v>8</v>
      </c>
      <c r="R26" s="141"/>
      <c r="S26" s="141">
        <v>8</v>
      </c>
      <c r="T26" s="141">
        <v>8</v>
      </c>
      <c r="U26" s="141">
        <v>8</v>
      </c>
      <c r="V26" s="141">
        <v>8</v>
      </c>
      <c r="W26" s="141">
        <v>8</v>
      </c>
      <c r="X26" s="141">
        <v>8</v>
      </c>
      <c r="Y26" s="141"/>
      <c r="Z26" s="141">
        <v>8</v>
      </c>
      <c r="AA26" s="141">
        <v>8</v>
      </c>
      <c r="AB26" s="141">
        <v>8</v>
      </c>
      <c r="AC26" s="141">
        <v>8</v>
      </c>
      <c r="AD26" s="141">
        <v>8</v>
      </c>
      <c r="AE26" s="141">
        <v>8</v>
      </c>
      <c r="AF26" s="141"/>
      <c r="AG26" s="141">
        <v>8</v>
      </c>
      <c r="AH26" s="141">
        <v>8</v>
      </c>
      <c r="AI26" s="141">
        <v>8</v>
      </c>
      <c r="AJ26" s="141"/>
      <c r="AK26" s="259">
        <f t="shared" ref="AK26" si="23">((SUM(F26:AJ26))/8)-(SUMIF($F$6:$AJ$6,"C.Nhật",F26:AJ26)/8)</f>
        <v>25</v>
      </c>
      <c r="AL26" s="259">
        <f t="shared" ref="AL26" si="24">SUM(F27:AJ27)/8*1.5</f>
        <v>0</v>
      </c>
      <c r="AM26" s="262">
        <f>SUMIF($F$6:$AJ$6,"C.Nhật",$F26:$AJ27)/8*2</f>
        <v>0</v>
      </c>
      <c r="AN26" s="264">
        <f t="shared" ref="AN26" si="25">SUM(AK26:AM27)</f>
        <v>25</v>
      </c>
      <c r="AO26" s="266">
        <v>0</v>
      </c>
      <c r="AP26" s="264"/>
      <c r="AQ26" s="264"/>
      <c r="AR26" s="264"/>
      <c r="AS26" s="268"/>
      <c r="AT26" s="219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5" customFormat="1" ht="18" customHeight="1">
      <c r="A27" s="254"/>
      <c r="B27" s="254"/>
      <c r="C27" s="256"/>
      <c r="D27" s="258"/>
      <c r="E27" s="67" t="s">
        <v>31</v>
      </c>
      <c r="F27" s="142"/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142"/>
      <c r="Z27" s="142"/>
      <c r="AA27" s="142"/>
      <c r="AB27" s="142"/>
      <c r="AC27" s="142"/>
      <c r="AD27" s="142"/>
      <c r="AE27" s="142"/>
      <c r="AF27" s="142"/>
      <c r="AG27" s="142"/>
      <c r="AH27" s="142"/>
      <c r="AI27" s="142"/>
      <c r="AJ27" s="142"/>
      <c r="AK27" s="260"/>
      <c r="AL27" s="260"/>
      <c r="AM27" s="263"/>
      <c r="AN27" s="265"/>
      <c r="AO27" s="267"/>
      <c r="AP27" s="265"/>
      <c r="AQ27" s="265"/>
      <c r="AR27" s="265"/>
      <c r="AS27" s="269"/>
      <c r="AT27" s="219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5" customFormat="1" ht="18" customHeight="1">
      <c r="A28" s="253">
        <v>7</v>
      </c>
      <c r="B28" s="253" t="s">
        <v>179</v>
      </c>
      <c r="C28" s="255" t="str">
        <f>VLOOKUP(B28,DS,2,0)</f>
        <v>Nguyễn T Bích Thủy</v>
      </c>
      <c r="D28" s="257" t="str">
        <f>VLOOKUP(B28,DS,3,0)</f>
        <v>Công Đoạn 2</v>
      </c>
      <c r="E28" s="66" t="s">
        <v>32</v>
      </c>
      <c r="F28" s="141">
        <v>8</v>
      </c>
      <c r="G28" s="141"/>
      <c r="H28" s="141">
        <v>8</v>
      </c>
      <c r="I28" s="141">
        <v>8</v>
      </c>
      <c r="J28" s="141">
        <v>8</v>
      </c>
      <c r="K28" s="141"/>
      <c r="L28" s="141">
        <v>8</v>
      </c>
      <c r="M28" s="141">
        <v>8</v>
      </c>
      <c r="N28" s="141">
        <v>8</v>
      </c>
      <c r="O28" s="141">
        <v>8</v>
      </c>
      <c r="P28" s="141">
        <v>8</v>
      </c>
      <c r="Q28" s="141">
        <v>8</v>
      </c>
      <c r="R28" s="141"/>
      <c r="S28" s="141">
        <v>8</v>
      </c>
      <c r="T28" s="141">
        <v>8</v>
      </c>
      <c r="U28" s="141">
        <v>8</v>
      </c>
      <c r="V28" s="141">
        <v>8</v>
      </c>
      <c r="W28" s="141">
        <v>8</v>
      </c>
      <c r="X28" s="141">
        <v>8</v>
      </c>
      <c r="Y28" s="141"/>
      <c r="Z28" s="141">
        <v>8</v>
      </c>
      <c r="AA28" s="141">
        <v>8</v>
      </c>
      <c r="AB28" s="141">
        <v>8</v>
      </c>
      <c r="AC28" s="141">
        <v>8</v>
      </c>
      <c r="AD28" s="141">
        <v>8</v>
      </c>
      <c r="AE28" s="141">
        <v>8</v>
      </c>
      <c r="AF28" s="141"/>
      <c r="AG28" s="141">
        <v>8</v>
      </c>
      <c r="AH28" s="141">
        <v>8</v>
      </c>
      <c r="AI28" s="141">
        <v>8</v>
      </c>
      <c r="AJ28" s="141"/>
      <c r="AK28" s="259">
        <f t="shared" ref="AK28" si="26">((SUM(F28:AJ28))/8)-(SUMIF($F$6:$AJ$6,"C.Nhật",F28:AJ28)/8)</f>
        <v>25</v>
      </c>
      <c r="AL28" s="259">
        <f t="shared" ref="AL28" si="27">SUM(F29:AJ29)/8*1.5</f>
        <v>0</v>
      </c>
      <c r="AM28" s="262">
        <f>SUMIF($F$6:$AJ$6,"C.Nhật",$F28:$AJ29)/8*2</f>
        <v>0</v>
      </c>
      <c r="AN28" s="264">
        <f t="shared" ref="AN28" si="28">SUM(AK28:AM29)</f>
        <v>25</v>
      </c>
      <c r="AO28" s="266">
        <v>0</v>
      </c>
      <c r="AP28" s="264"/>
      <c r="AQ28" s="264"/>
      <c r="AR28" s="264"/>
      <c r="AS28" s="268"/>
      <c r="AT28" s="219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5" customFormat="1" ht="18" customHeight="1">
      <c r="A29" s="254"/>
      <c r="B29" s="254"/>
      <c r="C29" s="256"/>
      <c r="D29" s="258"/>
      <c r="E29" s="67" t="s">
        <v>31</v>
      </c>
      <c r="F29" s="142"/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  <c r="Y29" s="142"/>
      <c r="Z29" s="142"/>
      <c r="AA29" s="142"/>
      <c r="AB29" s="142"/>
      <c r="AC29" s="142"/>
      <c r="AD29" s="142"/>
      <c r="AE29" s="142"/>
      <c r="AF29" s="142"/>
      <c r="AG29" s="142"/>
      <c r="AH29" s="142"/>
      <c r="AI29" s="142"/>
      <c r="AJ29" s="142"/>
      <c r="AK29" s="260"/>
      <c r="AL29" s="260"/>
      <c r="AM29" s="263"/>
      <c r="AN29" s="265"/>
      <c r="AO29" s="267"/>
      <c r="AP29" s="265"/>
      <c r="AQ29" s="265"/>
      <c r="AR29" s="265"/>
      <c r="AS29" s="269"/>
      <c r="AT29" s="219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8" customFormat="1" ht="12.75">
      <c r="A30" s="14"/>
      <c r="B30" s="69"/>
      <c r="C30" s="4"/>
      <c r="D30" s="111"/>
      <c r="E30" s="4"/>
      <c r="F30" s="73"/>
      <c r="G30" s="73"/>
      <c r="H30" s="70"/>
      <c r="I30" s="70"/>
      <c r="J30" s="118"/>
      <c r="K30" s="73"/>
      <c r="L30" s="70"/>
      <c r="M30" s="73"/>
      <c r="N30" s="73"/>
      <c r="O30" s="73"/>
      <c r="P30" s="73"/>
      <c r="Q30" s="70"/>
      <c r="R30" s="73"/>
      <c r="S30" s="73"/>
      <c r="T30" s="118"/>
      <c r="U30" s="73"/>
      <c r="V30" s="73"/>
      <c r="W30" s="73"/>
      <c r="X30" s="69"/>
      <c r="Y30" s="73"/>
      <c r="Z30" s="73"/>
      <c r="AA30" s="73"/>
      <c r="AB30" s="73"/>
      <c r="AC30" s="73"/>
      <c r="AD30" s="70"/>
      <c r="AE30" s="73"/>
      <c r="AF30" s="73"/>
      <c r="AG30" s="73"/>
      <c r="AH30" s="73"/>
      <c r="AI30" s="73"/>
      <c r="AJ30" s="73"/>
      <c r="AK30" s="4"/>
      <c r="AL30" s="4"/>
      <c r="AM30" s="96"/>
      <c r="AN30" s="72"/>
      <c r="AO30" s="72"/>
      <c r="AP30" s="72"/>
      <c r="AQ30" s="72"/>
      <c r="AR30" s="72"/>
      <c r="AS30" s="4"/>
      <c r="AT30" s="102"/>
    </row>
    <row r="31" spans="1:90" s="68" customFormat="1" ht="12.75">
      <c r="A31" s="14"/>
      <c r="B31" s="69"/>
      <c r="C31" s="14" t="s">
        <v>14</v>
      </c>
      <c r="D31" s="111"/>
      <c r="E31" s="4"/>
      <c r="F31" s="73"/>
      <c r="G31" s="73"/>
      <c r="H31" s="70"/>
      <c r="I31" s="70"/>
      <c r="J31" s="118"/>
      <c r="K31" s="73"/>
      <c r="L31" s="70"/>
      <c r="M31" s="73"/>
      <c r="N31" s="73"/>
      <c r="O31" s="73"/>
      <c r="P31" s="73"/>
      <c r="Q31" s="70"/>
      <c r="R31" s="73"/>
      <c r="S31" s="73"/>
      <c r="T31" s="118"/>
      <c r="U31" s="73"/>
      <c r="V31" s="73"/>
      <c r="W31" s="73"/>
      <c r="X31" s="69"/>
      <c r="Y31" s="73"/>
      <c r="Z31" s="73"/>
      <c r="AA31" s="73"/>
      <c r="AB31" s="73"/>
      <c r="AC31" s="73"/>
      <c r="AD31" s="70"/>
      <c r="AE31" s="73"/>
      <c r="AF31" s="73"/>
      <c r="AG31" s="73"/>
      <c r="AH31" s="73"/>
      <c r="AI31" s="73"/>
      <c r="AJ31" s="73"/>
      <c r="AK31" s="4"/>
      <c r="AL31" s="4"/>
      <c r="AM31" s="96"/>
      <c r="AN31" s="72"/>
      <c r="AO31" s="72"/>
      <c r="AP31" s="72"/>
      <c r="AQ31" s="72"/>
      <c r="AR31" s="72"/>
      <c r="AS31" s="4"/>
      <c r="AT31" s="102"/>
    </row>
    <row r="32" spans="1:90" s="68" customFormat="1" ht="12.75">
      <c r="A32" s="12"/>
      <c r="B32" s="12"/>
      <c r="C32" s="4"/>
      <c r="D32" s="111"/>
      <c r="E32" s="4"/>
      <c r="F32" s="73"/>
      <c r="G32" s="73"/>
      <c r="H32" s="119"/>
      <c r="I32" s="119"/>
      <c r="J32" s="119"/>
      <c r="K32" s="73"/>
      <c r="L32" s="119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119"/>
      <c r="AE32" s="73"/>
      <c r="AF32" s="73"/>
      <c r="AG32" s="73"/>
      <c r="AH32" s="73"/>
      <c r="AI32" s="73"/>
      <c r="AJ32" s="73"/>
      <c r="AK32" s="4"/>
      <c r="AL32" s="4"/>
      <c r="AM32" s="96"/>
      <c r="AN32" s="74"/>
      <c r="AO32" s="74"/>
      <c r="AP32" s="74"/>
      <c r="AQ32" s="74"/>
      <c r="AR32" s="74"/>
      <c r="AS32" s="4"/>
      <c r="AT32" s="102"/>
    </row>
    <row r="33" spans="1:46" s="71" customFormat="1" ht="15" customHeight="1">
      <c r="A33" s="12"/>
      <c r="B33" s="12"/>
      <c r="C33" s="4"/>
      <c r="D33" s="111"/>
      <c r="E33" s="4"/>
      <c r="F33" s="73"/>
      <c r="G33" s="73"/>
      <c r="H33" s="119"/>
      <c r="I33" s="119"/>
      <c r="J33" s="119"/>
      <c r="K33" s="73"/>
      <c r="L33" s="119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119"/>
      <c r="AE33" s="73"/>
      <c r="AF33" s="73"/>
      <c r="AG33" s="73"/>
      <c r="AH33" s="73"/>
      <c r="AI33" s="73"/>
      <c r="AJ33" s="73"/>
      <c r="AK33" s="4"/>
      <c r="AL33" s="4"/>
      <c r="AM33" s="96"/>
      <c r="AN33" s="74"/>
      <c r="AO33" s="74"/>
      <c r="AP33" s="74"/>
      <c r="AQ33" s="74"/>
      <c r="AR33" s="74"/>
      <c r="AS33" s="4"/>
      <c r="AT33" s="4"/>
    </row>
    <row r="34" spans="1:46" s="71" customFormat="1" ht="11.25">
      <c r="A34" s="12"/>
      <c r="B34" s="12"/>
      <c r="C34" s="4"/>
      <c r="D34" s="111"/>
      <c r="E34" s="4"/>
      <c r="F34" s="73"/>
      <c r="G34" s="73"/>
      <c r="H34" s="119"/>
      <c r="I34" s="119"/>
      <c r="J34" s="119"/>
      <c r="K34" s="73"/>
      <c r="L34" s="119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119"/>
      <c r="AE34" s="73"/>
      <c r="AF34" s="73"/>
      <c r="AG34" s="73"/>
      <c r="AH34" s="73"/>
      <c r="AI34" s="73"/>
      <c r="AJ34" s="73"/>
      <c r="AK34" s="4"/>
      <c r="AL34" s="4"/>
      <c r="AM34" s="96"/>
      <c r="AN34" s="74"/>
      <c r="AO34" s="74"/>
      <c r="AP34" s="74"/>
      <c r="AQ34" s="74"/>
      <c r="AR34" s="74"/>
      <c r="AS34" s="4"/>
      <c r="AT34" s="4"/>
    </row>
    <row r="35" spans="1:46" s="71" customFormat="1" ht="11.25">
      <c r="A35" s="12"/>
      <c r="B35" s="12"/>
      <c r="C35" s="4"/>
      <c r="D35" s="111"/>
      <c r="E35" s="4"/>
      <c r="F35" s="73"/>
      <c r="G35" s="73"/>
      <c r="H35" s="119"/>
      <c r="I35" s="119"/>
      <c r="J35" s="119"/>
      <c r="K35" s="73"/>
      <c r="L35" s="119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119"/>
      <c r="AE35" s="73"/>
      <c r="AF35" s="73"/>
      <c r="AG35" s="73"/>
      <c r="AH35" s="73"/>
      <c r="AI35" s="73"/>
      <c r="AJ35" s="73"/>
      <c r="AK35" s="4"/>
      <c r="AL35" s="4"/>
      <c r="AM35" s="96"/>
      <c r="AN35" s="74"/>
      <c r="AO35" s="74"/>
      <c r="AP35" s="74"/>
      <c r="AQ35" s="74"/>
      <c r="AR35" s="74"/>
      <c r="AS35" s="4"/>
      <c r="AT35" s="4"/>
    </row>
    <row r="36" spans="1:46" s="71" customFormat="1" ht="11.25">
      <c r="A36" s="10"/>
      <c r="B36" s="10"/>
      <c r="C36" s="14"/>
      <c r="D36" s="112"/>
      <c r="E36" s="75"/>
      <c r="F36" s="118"/>
      <c r="G36" s="120"/>
      <c r="H36" s="70"/>
      <c r="I36" s="70"/>
      <c r="J36" s="70"/>
      <c r="K36" s="120"/>
      <c r="L36" s="70"/>
      <c r="M36" s="120"/>
      <c r="N36" s="120"/>
      <c r="O36" s="120"/>
      <c r="P36" s="120"/>
      <c r="Q36" s="70"/>
      <c r="R36" s="118"/>
      <c r="S36" s="120"/>
      <c r="T36" s="120"/>
      <c r="U36" s="70"/>
      <c r="V36" s="120"/>
      <c r="W36" s="120"/>
      <c r="X36" s="70"/>
      <c r="Y36" s="120"/>
      <c r="Z36" s="120"/>
      <c r="AA36" s="120"/>
      <c r="AB36" s="120"/>
      <c r="AC36" s="120"/>
      <c r="AD36" s="70"/>
      <c r="AE36" s="120"/>
      <c r="AF36" s="120"/>
      <c r="AG36" s="120"/>
      <c r="AH36" s="120"/>
      <c r="AI36" s="120"/>
      <c r="AJ36" s="120"/>
      <c r="AK36" s="75"/>
      <c r="AM36" s="97"/>
      <c r="AN36" s="10"/>
      <c r="AO36" s="10"/>
      <c r="AP36" s="10"/>
      <c r="AQ36" s="10"/>
      <c r="AR36" s="10"/>
      <c r="AS36" s="14"/>
      <c r="AT36" s="4"/>
    </row>
    <row r="37" spans="1:46" s="71" customFormat="1" ht="12.75">
      <c r="A37" s="2"/>
      <c r="B37" s="2" t="s">
        <v>0</v>
      </c>
      <c r="C37" s="2"/>
      <c r="D37" s="196"/>
      <c r="E37" s="2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2"/>
      <c r="AI37" s="122"/>
      <c r="AJ37" s="122"/>
      <c r="AK37" s="2"/>
      <c r="AL37" s="2"/>
      <c r="AM37" s="98"/>
      <c r="AN37" s="2"/>
      <c r="AO37" s="2"/>
      <c r="AP37" s="2"/>
      <c r="AQ37" s="2"/>
      <c r="AR37" s="2"/>
      <c r="AS37" s="2"/>
      <c r="AT37" s="4"/>
    </row>
    <row r="38" spans="1:46" s="71" customFormat="1" ht="12.75">
      <c r="A38" s="2"/>
      <c r="B38" s="2"/>
      <c r="C38" s="2" t="s">
        <v>46</v>
      </c>
      <c r="D38" s="196"/>
      <c r="E38" s="2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1"/>
      <c r="AD38" s="121"/>
      <c r="AE38" s="121"/>
      <c r="AF38" s="121"/>
      <c r="AG38" s="121"/>
      <c r="AH38" s="122"/>
      <c r="AI38" s="122"/>
      <c r="AJ38" s="122"/>
      <c r="AK38" s="2"/>
      <c r="AL38" s="2"/>
      <c r="AM38" s="98"/>
      <c r="AN38" s="2"/>
      <c r="AO38" s="2"/>
      <c r="AP38" s="2"/>
      <c r="AQ38" s="2"/>
      <c r="AR38" s="2"/>
      <c r="AS38" s="2"/>
      <c r="AT38" s="14"/>
    </row>
    <row r="39" spans="1:46" ht="15" customHeight="1">
      <c r="C39" s="2" t="s">
        <v>47</v>
      </c>
    </row>
    <row r="40" spans="1:46" ht="15" customHeight="1">
      <c r="C40" s="2" t="s">
        <v>48</v>
      </c>
    </row>
    <row r="41" spans="1:46" ht="15" customHeight="1">
      <c r="C41" s="2" t="s">
        <v>49</v>
      </c>
    </row>
    <row r="42" spans="1:46" ht="15" customHeight="1">
      <c r="C42" s="2" t="s">
        <v>50</v>
      </c>
    </row>
    <row r="43" spans="1:46" ht="15" customHeight="1">
      <c r="C43" s="2" t="s">
        <v>51</v>
      </c>
    </row>
    <row r="44" spans="1:46" ht="15" customHeight="1">
      <c r="C44" s="2" t="s">
        <v>52</v>
      </c>
    </row>
    <row r="45" spans="1:46" ht="15" customHeight="1">
      <c r="C45" s="2" t="s">
        <v>53</v>
      </c>
    </row>
    <row r="46" spans="1:46" ht="15" customHeight="1">
      <c r="C46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2:J35 Q30:Q31" name="Range1_1_1_1"/>
    <protectedRange password="CC78" sqref="J36" name="Range1_3_1_1"/>
    <protectedRange password="CC78" sqref="A16:A29" name="Range1_1_2"/>
    <protectedRange password="CC78" sqref="C16:E29 A16:A29" name="Range1_6_2"/>
    <protectedRange password="CC78" sqref="B16:B29" name="Range1_4_2"/>
  </protectedRanges>
  <mergeCells count="144">
    <mergeCell ref="A20:A21"/>
    <mergeCell ref="B20:B21"/>
    <mergeCell ref="C20:C21"/>
    <mergeCell ref="D20:D21"/>
    <mergeCell ref="AK20:AK21"/>
    <mergeCell ref="A11:A12"/>
    <mergeCell ref="B11:B12"/>
    <mergeCell ref="C11:C12"/>
    <mergeCell ref="AO24:AO25"/>
    <mergeCell ref="AP24:AP25"/>
    <mergeCell ref="AQ24:AQ25"/>
    <mergeCell ref="AR24:AR25"/>
    <mergeCell ref="AS24:AS25"/>
    <mergeCell ref="A24:A25"/>
    <mergeCell ref="B24:B25"/>
    <mergeCell ref="C24:C25"/>
    <mergeCell ref="D24:D25"/>
    <mergeCell ref="AK24:AK25"/>
    <mergeCell ref="AO18:AO19"/>
    <mergeCell ref="AP18:AP19"/>
    <mergeCell ref="AQ18:AQ19"/>
    <mergeCell ref="AR18:AR19"/>
    <mergeCell ref="AS18:AS19"/>
    <mergeCell ref="A18:A19"/>
    <mergeCell ref="B18:B19"/>
    <mergeCell ref="C18:C19"/>
    <mergeCell ref="D18:D19"/>
    <mergeCell ref="AK18:AK19"/>
    <mergeCell ref="AO20:AO21"/>
    <mergeCell ref="AP22:AP23"/>
    <mergeCell ref="AQ22:AQ23"/>
    <mergeCell ref="AR22:AR23"/>
    <mergeCell ref="AS22:AS23"/>
    <mergeCell ref="AL11:AL12"/>
    <mergeCell ref="AM11:AM12"/>
    <mergeCell ref="AN11:AN12"/>
    <mergeCell ref="AO11:AO12"/>
    <mergeCell ref="AP11:AP12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D11:D12"/>
    <mergeCell ref="AK11:AK12"/>
    <mergeCell ref="AL28:AL29"/>
    <mergeCell ref="AM28:AM29"/>
    <mergeCell ref="AN28:AN29"/>
    <mergeCell ref="AO28:AO29"/>
    <mergeCell ref="AP28:AP29"/>
    <mergeCell ref="AR16:AR17"/>
    <mergeCell ref="AS16:AS17"/>
    <mergeCell ref="AQ28:AQ29"/>
    <mergeCell ref="AQ26:AQ27"/>
    <mergeCell ref="AR26:AR27"/>
    <mergeCell ref="AS26:AS27"/>
    <mergeCell ref="AR28:AR29"/>
    <mergeCell ref="AS28:AS29"/>
    <mergeCell ref="AO16:AO17"/>
    <mergeCell ref="AM18:AM19"/>
    <mergeCell ref="AN18:AN19"/>
    <mergeCell ref="AL20:AL21"/>
    <mergeCell ref="AM20:AM21"/>
    <mergeCell ref="AN20:AN21"/>
    <mergeCell ref="AQ11:AQ12"/>
    <mergeCell ref="AR11:AR12"/>
    <mergeCell ref="AS11:AS12"/>
    <mergeCell ref="A28:A29"/>
    <mergeCell ref="B28:B29"/>
    <mergeCell ref="AP16:AP17"/>
    <mergeCell ref="AQ16:AQ17"/>
    <mergeCell ref="AL26:AL27"/>
    <mergeCell ref="AM26:AM27"/>
    <mergeCell ref="AN26:AN27"/>
    <mergeCell ref="AO26:AO27"/>
    <mergeCell ref="AP26:AP27"/>
    <mergeCell ref="A26:A27"/>
    <mergeCell ref="B26:B27"/>
    <mergeCell ref="C26:C27"/>
    <mergeCell ref="C28:C29"/>
    <mergeCell ref="D28:D29"/>
    <mergeCell ref="AK28:AK29"/>
    <mergeCell ref="AL16:AL17"/>
    <mergeCell ref="AM16:AM17"/>
    <mergeCell ref="AN16:AN17"/>
    <mergeCell ref="D26:D27"/>
    <mergeCell ref="AK26:AK27"/>
    <mergeCell ref="AL24:AL25"/>
    <mergeCell ref="AM24:AM25"/>
    <mergeCell ref="AN24:AN25"/>
    <mergeCell ref="AL18:AL19"/>
    <mergeCell ref="A16:A17"/>
    <mergeCell ref="B16:B17"/>
    <mergeCell ref="C16:C17"/>
    <mergeCell ref="D16:D17"/>
    <mergeCell ref="AK16:AK17"/>
    <mergeCell ref="AP13:AP14"/>
    <mergeCell ref="AQ13:AQ14"/>
    <mergeCell ref="AR13:AR14"/>
    <mergeCell ref="AS13:AS14"/>
    <mergeCell ref="AL13:AL14"/>
    <mergeCell ref="AM13:AM14"/>
    <mergeCell ref="AN13:AN14"/>
    <mergeCell ref="AO13:AO14"/>
    <mergeCell ref="A13:A14"/>
    <mergeCell ref="B13:B14"/>
    <mergeCell ref="C13:C14"/>
    <mergeCell ref="D13:D14"/>
    <mergeCell ref="AK13:AK14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0 F13:AI14">
    <cfRule type="expression" dxfId="70" priority="55" stopIfTrue="1">
      <formula>IF(WEEKDAY(F$5)=1,TRUE,FALSE)</formula>
    </cfRule>
  </conditionalFormatting>
  <conditionalFormatting sqref="F9:AJ10 F13:AI14">
    <cfRule type="expression" dxfId="69" priority="54" stopIfTrue="1">
      <formula>IF(WEEKDAY(F$5)=1,TRUE,FALSE)</formula>
    </cfRule>
  </conditionalFormatting>
  <conditionalFormatting sqref="AJ13:AJ14">
    <cfRule type="expression" dxfId="68" priority="45" stopIfTrue="1">
      <formula>IF(WEEKDAY(AJ$5)=1,TRUE,FALSE)</formula>
    </cfRule>
  </conditionalFormatting>
  <conditionalFormatting sqref="AJ13:AJ14">
    <cfRule type="expression" dxfId="67" priority="44" stopIfTrue="1">
      <formula>IF(WEEKDAY(AJ$5)=1,TRUE,FALSE)</formula>
    </cfRule>
  </conditionalFormatting>
  <conditionalFormatting sqref="AJ16:AJ17 AJ26:AJ29">
    <cfRule type="expression" dxfId="66" priority="41" stopIfTrue="1">
      <formula>IF(WEEKDAY(AJ$5)=1,TRUE,FALSE)</formula>
    </cfRule>
  </conditionalFormatting>
  <conditionalFormatting sqref="AJ16:AJ17 AJ26:AJ29">
    <cfRule type="expression" dxfId="65" priority="40" stopIfTrue="1">
      <formula>IF(WEEKDAY(AJ$5)=1,TRUE,FALSE)</formula>
    </cfRule>
  </conditionalFormatting>
  <conditionalFormatting sqref="AJ16:AJ17 AJ26:AJ29">
    <cfRule type="expression" dxfId="64" priority="39" stopIfTrue="1">
      <formula>IF(WEEKDAY(AJ$5)=1,TRUE,FALSE)</formula>
    </cfRule>
  </conditionalFormatting>
  <conditionalFormatting sqref="AJ16:AJ17 AJ26:AJ29">
    <cfRule type="expression" dxfId="63" priority="38" stopIfTrue="1">
      <formula>IF(WEEKDAY(AJ$5)=1,TRUE,FALSE)</formula>
    </cfRule>
  </conditionalFormatting>
  <conditionalFormatting sqref="AJ16:AJ17 AJ26:AJ29">
    <cfRule type="expression" dxfId="62" priority="37" stopIfTrue="1">
      <formula>IF(WEEKDAY(AJ$5)=1,TRUE,FALSE)</formula>
    </cfRule>
  </conditionalFormatting>
  <conditionalFormatting sqref="AJ16:AJ17 AJ26:AJ29">
    <cfRule type="expression" dxfId="61" priority="36" stopIfTrue="1">
      <formula>IF(WEEKDAY(AJ$5)=1,TRUE,FALSE)</formula>
    </cfRule>
  </conditionalFormatting>
  <conditionalFormatting sqref="AJ16:AJ17 AJ26:AJ29">
    <cfRule type="expression" dxfId="60" priority="35" stopIfTrue="1">
      <formula>IF(WEEKDAY(AJ$5)=1,TRUE,FALSE)</formula>
    </cfRule>
  </conditionalFormatting>
  <conditionalFormatting sqref="F16:AI17 F26:AI29">
    <cfRule type="expression" dxfId="59" priority="24" stopIfTrue="1">
      <formula>IF(WEEKDAY(F$5)=1,TRUE,FALSE)</formula>
    </cfRule>
  </conditionalFormatting>
  <conditionalFormatting sqref="F16:AI17 F26:AI29">
    <cfRule type="expression" dxfId="58" priority="23" stopIfTrue="1">
      <formula>IF(WEEKDAY(F$5)=1,TRUE,FALSE)</formula>
    </cfRule>
  </conditionalFormatting>
  <conditionalFormatting sqref="F11:AI12">
    <cfRule type="expression" dxfId="57" priority="22" stopIfTrue="1">
      <formula>IF(WEEKDAY(F$5)=1,TRUE,FALSE)</formula>
    </cfRule>
  </conditionalFormatting>
  <conditionalFormatting sqref="F11:AI12">
    <cfRule type="expression" dxfId="56" priority="21" stopIfTrue="1">
      <formula>IF(WEEKDAY(F$5)=1,TRUE,FALSE)</formula>
    </cfRule>
  </conditionalFormatting>
  <conditionalFormatting sqref="AJ11:AJ12">
    <cfRule type="expression" dxfId="55" priority="20" stopIfTrue="1">
      <formula>IF(WEEKDAY(AJ$5)=1,TRUE,FALSE)</formula>
    </cfRule>
  </conditionalFormatting>
  <conditionalFormatting sqref="AJ11:AJ12">
    <cfRule type="expression" dxfId="54" priority="19" stopIfTrue="1">
      <formula>IF(WEEKDAY(AJ$5)=1,TRUE,FALSE)</formula>
    </cfRule>
  </conditionalFormatting>
  <conditionalFormatting sqref="AJ22:AJ25">
    <cfRule type="expression" dxfId="53" priority="18" stopIfTrue="1">
      <formula>IF(WEEKDAY(AJ$5)=1,TRUE,FALSE)</formula>
    </cfRule>
  </conditionalFormatting>
  <conditionalFormatting sqref="AJ22:AJ25">
    <cfRule type="expression" dxfId="52" priority="17" stopIfTrue="1">
      <formula>IF(WEEKDAY(AJ$5)=1,TRUE,FALSE)</formula>
    </cfRule>
  </conditionalFormatting>
  <conditionalFormatting sqref="AJ22:AJ25">
    <cfRule type="expression" dxfId="51" priority="16" stopIfTrue="1">
      <formula>IF(WEEKDAY(AJ$5)=1,TRUE,FALSE)</formula>
    </cfRule>
  </conditionalFormatting>
  <conditionalFormatting sqref="AJ22:AJ25">
    <cfRule type="expression" dxfId="50" priority="15" stopIfTrue="1">
      <formula>IF(WEEKDAY(AJ$5)=1,TRUE,FALSE)</formula>
    </cfRule>
  </conditionalFormatting>
  <conditionalFormatting sqref="AJ22:AJ25">
    <cfRule type="expression" dxfId="49" priority="14" stopIfTrue="1">
      <formula>IF(WEEKDAY(AJ$5)=1,TRUE,FALSE)</formula>
    </cfRule>
  </conditionalFormatting>
  <conditionalFormatting sqref="AJ22:AJ25">
    <cfRule type="expression" dxfId="48" priority="13" stopIfTrue="1">
      <formula>IF(WEEKDAY(AJ$5)=1,TRUE,FALSE)</formula>
    </cfRule>
  </conditionalFormatting>
  <conditionalFormatting sqref="AJ22:AJ25">
    <cfRule type="expression" dxfId="47" priority="12" stopIfTrue="1">
      <formula>IF(WEEKDAY(AJ$5)=1,TRUE,FALSE)</formula>
    </cfRule>
  </conditionalFormatting>
  <conditionalFormatting sqref="F22:AI25">
    <cfRule type="expression" dxfId="46" priority="11" stopIfTrue="1">
      <formula>IF(WEEKDAY(F$5)=1,TRUE,FALSE)</formula>
    </cfRule>
  </conditionalFormatting>
  <conditionalFormatting sqref="F22:AI25">
    <cfRule type="expression" dxfId="45" priority="10" stopIfTrue="1">
      <formula>IF(WEEKDAY(F$5)=1,TRUE,FALSE)</formula>
    </cfRule>
  </conditionalFormatting>
  <conditionalFormatting sqref="AJ18:AJ21">
    <cfRule type="expression" dxfId="44" priority="9" stopIfTrue="1">
      <formula>IF(WEEKDAY(AJ$5)=1,TRUE,FALSE)</formula>
    </cfRule>
  </conditionalFormatting>
  <conditionalFormatting sqref="AJ18:AJ21">
    <cfRule type="expression" dxfId="43" priority="8" stopIfTrue="1">
      <formula>IF(WEEKDAY(AJ$5)=1,TRUE,FALSE)</formula>
    </cfRule>
  </conditionalFormatting>
  <conditionalFormatting sqref="AJ18:AJ21">
    <cfRule type="expression" dxfId="42" priority="7" stopIfTrue="1">
      <formula>IF(WEEKDAY(AJ$5)=1,TRUE,FALSE)</formula>
    </cfRule>
  </conditionalFormatting>
  <conditionalFormatting sqref="AJ18:AJ21">
    <cfRule type="expression" dxfId="41" priority="6" stopIfTrue="1">
      <formula>IF(WEEKDAY(AJ$5)=1,TRUE,FALSE)</formula>
    </cfRule>
  </conditionalFormatting>
  <conditionalFormatting sqref="AJ18:AJ21">
    <cfRule type="expression" dxfId="40" priority="5" stopIfTrue="1">
      <formula>IF(WEEKDAY(AJ$5)=1,TRUE,FALSE)</formula>
    </cfRule>
  </conditionalFormatting>
  <conditionalFormatting sqref="AJ18:AJ21">
    <cfRule type="expression" dxfId="39" priority="4" stopIfTrue="1">
      <formula>IF(WEEKDAY(AJ$5)=1,TRUE,FALSE)</formula>
    </cfRule>
  </conditionalFormatting>
  <conditionalFormatting sqref="AJ18:AJ21">
    <cfRule type="expression" dxfId="38" priority="3" stopIfTrue="1">
      <formula>IF(WEEKDAY(AJ$5)=1,TRUE,FALSE)</formula>
    </cfRule>
  </conditionalFormatting>
  <conditionalFormatting sqref="F18:AI21">
    <cfRule type="expression" dxfId="37" priority="2" stopIfTrue="1">
      <formula>IF(WEEKDAY(F$5)=1,TRUE,FALSE)</formula>
    </cfRule>
  </conditionalFormatting>
  <conditionalFormatting sqref="F18:AI21">
    <cfRule type="expression" dxfId="3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5"/>
  <sheetViews>
    <sheetView zoomScaleNormal="70" workbookViewId="0">
      <pane xSplit="3" ySplit="8" topLeftCell="D21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S24" activeCellId="1" sqref="S14 S24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9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7"/>
      <c r="B1" s="200"/>
      <c r="C1" s="200"/>
      <c r="D1" s="270" t="str">
        <f>"BẢNG THANH TOÁN LƯƠNG THÁNG"&amp;" "&amp;TEXT($E$4,"mm")&amp;" / "&amp;TEXT($E$4,"yyyy")</f>
        <v>BẢNG THANH TOÁN LƯƠNG THÁNG 09 / 2015</v>
      </c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1"/>
      <c r="R1" s="272" t="s">
        <v>170</v>
      </c>
      <c r="S1" s="273"/>
      <c r="T1" s="274"/>
      <c r="U1" s="128" t="s">
        <v>58</v>
      </c>
      <c r="V1" s="108" t="s">
        <v>37</v>
      </c>
      <c r="W1" s="81"/>
      <c r="X1" s="81"/>
      <c r="Y1" s="5"/>
      <c r="Z1" s="5"/>
    </row>
    <row r="2" spans="1:31" s="4" customFormat="1" ht="15" customHeight="1">
      <c r="A2" s="137"/>
      <c r="B2" s="200"/>
      <c r="C2" s="200"/>
      <c r="D2" s="200"/>
      <c r="E2" s="79"/>
      <c r="F2" s="200"/>
      <c r="G2" s="200"/>
      <c r="H2" s="200"/>
      <c r="I2" s="200"/>
      <c r="J2" s="80"/>
      <c r="K2" s="200"/>
      <c r="L2" s="200"/>
      <c r="M2" s="200"/>
      <c r="N2" s="200"/>
      <c r="O2" s="200"/>
      <c r="P2" s="200"/>
      <c r="Q2" s="200"/>
      <c r="R2" s="200"/>
      <c r="S2" s="200"/>
      <c r="T2" s="57"/>
      <c r="U2" s="78">
        <f>MAX(F10:F24)</f>
        <v>25</v>
      </c>
      <c r="V2" s="109">
        <v>31</v>
      </c>
      <c r="W2" s="81"/>
      <c r="X2" s="81"/>
      <c r="Y2" s="5"/>
      <c r="Z2" s="5"/>
    </row>
    <row r="3" spans="1:31" s="4" customFormat="1" ht="15" customHeight="1">
      <c r="A3" s="137"/>
      <c r="B3" s="200"/>
      <c r="C3" s="200"/>
      <c r="D3" s="200"/>
      <c r="E3" s="79"/>
      <c r="F3" s="200"/>
      <c r="G3" s="200"/>
      <c r="H3" s="200"/>
      <c r="I3" s="200"/>
      <c r="J3" s="80"/>
      <c r="K3" s="200"/>
      <c r="L3" s="200"/>
      <c r="M3" s="200"/>
      <c r="N3" s="200"/>
      <c r="O3" s="200"/>
      <c r="P3" s="200"/>
      <c r="Q3" s="200"/>
      <c r="R3" s="200"/>
      <c r="S3" s="200"/>
      <c r="T3" s="57"/>
      <c r="U3" s="129"/>
      <c r="V3" s="130"/>
      <c r="W3" s="81"/>
      <c r="X3" s="81"/>
      <c r="Y3" s="5"/>
      <c r="Z3" s="5"/>
    </row>
    <row r="4" spans="1:31" s="103" customFormat="1" ht="14.25" customHeight="1">
      <c r="A4" s="101"/>
      <c r="B4" s="102"/>
      <c r="C4" s="102"/>
      <c r="D4" s="102"/>
      <c r="E4" s="187">
        <f>'CC -9'!$E$4</f>
        <v>42248</v>
      </c>
      <c r="F4" s="102"/>
      <c r="G4" s="102"/>
      <c r="H4" s="102"/>
      <c r="I4" s="102"/>
      <c r="J4" s="102"/>
      <c r="K4" s="102"/>
      <c r="L4" s="102"/>
      <c r="M4" s="102"/>
      <c r="N4" s="160">
        <v>0.08</v>
      </c>
      <c r="O4" s="160">
        <v>1.4999999999999999E-2</v>
      </c>
      <c r="P4" s="160">
        <v>0.01</v>
      </c>
      <c r="Q4" s="102"/>
      <c r="R4" s="102"/>
      <c r="S4" s="102"/>
      <c r="T4" s="102"/>
      <c r="U4" s="102"/>
      <c r="V4" s="104"/>
      <c r="W4" s="104"/>
      <c r="X4" s="104"/>
      <c r="Y4" s="104"/>
      <c r="Z4" s="104"/>
    </row>
    <row r="5" spans="1:31" s="26" customFormat="1" ht="24" customHeight="1">
      <c r="A5" s="275" t="s">
        <v>19</v>
      </c>
      <c r="B5" s="275" t="s">
        <v>20</v>
      </c>
      <c r="C5" s="238" t="s">
        <v>1</v>
      </c>
      <c r="D5" s="238" t="s">
        <v>2</v>
      </c>
      <c r="E5" s="241" t="s">
        <v>56</v>
      </c>
      <c r="F5" s="278" t="s">
        <v>26</v>
      </c>
      <c r="G5" s="279"/>
      <c r="H5" s="279"/>
      <c r="I5" s="279"/>
      <c r="J5" s="279"/>
      <c r="K5" s="280"/>
      <c r="L5" s="277" t="s">
        <v>57</v>
      </c>
      <c r="M5" s="277" t="s">
        <v>5</v>
      </c>
      <c r="N5" s="238" t="s">
        <v>6</v>
      </c>
      <c r="O5" s="238"/>
      <c r="P5" s="238"/>
      <c r="Q5" s="277" t="s">
        <v>7</v>
      </c>
      <c r="R5" s="277" t="s">
        <v>8</v>
      </c>
      <c r="S5" s="277" t="s">
        <v>9</v>
      </c>
      <c r="T5" s="239" t="s">
        <v>10</v>
      </c>
      <c r="U5" s="102"/>
      <c r="V5" s="27"/>
      <c r="W5" s="27"/>
      <c r="X5" s="5"/>
      <c r="Y5" s="5"/>
      <c r="Z5" s="5"/>
      <c r="AA5" s="4"/>
      <c r="AB5" s="4"/>
      <c r="AC5" s="4"/>
      <c r="AD5" s="4"/>
      <c r="AE5" s="4"/>
    </row>
    <row r="6" spans="1:31" s="26" customFormat="1" ht="33.75" customHeight="1">
      <c r="A6" s="276"/>
      <c r="B6" s="276"/>
      <c r="C6" s="238"/>
      <c r="D6" s="238"/>
      <c r="E6" s="241"/>
      <c r="F6" s="278" t="s">
        <v>59</v>
      </c>
      <c r="G6" s="280"/>
      <c r="H6" s="278" t="s">
        <v>157</v>
      </c>
      <c r="I6" s="279"/>
      <c r="J6" s="284" t="s">
        <v>27</v>
      </c>
      <c r="K6" s="277" t="s">
        <v>4</v>
      </c>
      <c r="L6" s="281"/>
      <c r="M6" s="281"/>
      <c r="N6" s="286" t="s">
        <v>12</v>
      </c>
      <c r="O6" s="277" t="s">
        <v>13</v>
      </c>
      <c r="P6" s="277" t="s">
        <v>34</v>
      </c>
      <c r="Q6" s="281"/>
      <c r="R6" s="281"/>
      <c r="S6" s="281"/>
      <c r="T6" s="240"/>
      <c r="U6" s="102"/>
      <c r="V6" s="27"/>
      <c r="W6" s="27"/>
      <c r="X6" s="5"/>
      <c r="Y6" s="5"/>
      <c r="Z6" s="5"/>
      <c r="AA6" s="4"/>
      <c r="AB6" s="4"/>
      <c r="AC6" s="4"/>
      <c r="AD6" s="4"/>
      <c r="AE6" s="4"/>
    </row>
    <row r="7" spans="1:31" s="26" customFormat="1" ht="35.25" customHeight="1">
      <c r="A7" s="276"/>
      <c r="B7" s="276"/>
      <c r="C7" s="277"/>
      <c r="D7" s="277"/>
      <c r="E7" s="241"/>
      <c r="F7" s="199" t="s">
        <v>40</v>
      </c>
      <c r="G7" s="197" t="s">
        <v>18</v>
      </c>
      <c r="H7" s="199" t="s">
        <v>40</v>
      </c>
      <c r="I7" s="126" t="s">
        <v>18</v>
      </c>
      <c r="J7" s="285"/>
      <c r="K7" s="281"/>
      <c r="L7" s="282"/>
      <c r="M7" s="282"/>
      <c r="N7" s="287"/>
      <c r="O7" s="281"/>
      <c r="P7" s="281"/>
      <c r="Q7" s="281"/>
      <c r="R7" s="281"/>
      <c r="S7" s="281"/>
      <c r="T7" s="240"/>
      <c r="U7" s="102"/>
      <c r="V7" s="27"/>
      <c r="W7" s="27"/>
      <c r="X7" s="5"/>
      <c r="Y7" s="5"/>
      <c r="Z7" s="5"/>
      <c r="AA7" s="4"/>
      <c r="AB7" s="4"/>
      <c r="AC7" s="4"/>
      <c r="AD7" s="4"/>
      <c r="AE7" s="4"/>
    </row>
    <row r="8" spans="1:31" s="83" customFormat="1" ht="12.75" customHeight="1">
      <c r="A8" s="82">
        <v>1</v>
      </c>
      <c r="B8" s="82">
        <v>2</v>
      </c>
      <c r="C8" s="82">
        <v>3</v>
      </c>
      <c r="D8" s="82">
        <v>4</v>
      </c>
      <c r="E8" s="82">
        <v>5</v>
      </c>
      <c r="F8" s="82">
        <v>7</v>
      </c>
      <c r="G8" s="82">
        <v>8</v>
      </c>
      <c r="H8" s="82">
        <v>9</v>
      </c>
      <c r="I8" s="82">
        <v>10</v>
      </c>
      <c r="J8" s="82">
        <v>13</v>
      </c>
      <c r="K8" s="82">
        <v>14</v>
      </c>
      <c r="L8" s="82">
        <v>16</v>
      </c>
      <c r="M8" s="82">
        <v>17</v>
      </c>
      <c r="N8" s="82">
        <v>18</v>
      </c>
      <c r="O8" s="82">
        <v>19</v>
      </c>
      <c r="P8" s="82">
        <v>20</v>
      </c>
      <c r="Q8" s="82">
        <v>21</v>
      </c>
      <c r="R8" s="82">
        <v>22</v>
      </c>
      <c r="S8" s="82">
        <v>23</v>
      </c>
      <c r="T8" s="82">
        <v>24</v>
      </c>
      <c r="U8" s="102"/>
      <c r="V8" s="84"/>
      <c r="W8" s="84"/>
      <c r="X8" s="85"/>
      <c r="Y8" s="85"/>
      <c r="Z8" s="85"/>
      <c r="AA8" s="86"/>
      <c r="AB8" s="86"/>
      <c r="AC8" s="86"/>
      <c r="AD8" s="86"/>
      <c r="AE8" s="86"/>
    </row>
    <row r="9" spans="1:31" s="83" customFormat="1" ht="24" customHeight="1">
      <c r="A9" s="186" t="s">
        <v>154</v>
      </c>
      <c r="B9" s="185" t="s">
        <v>171</v>
      </c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02"/>
      <c r="V9" s="84"/>
      <c r="W9" s="84"/>
      <c r="X9" s="85"/>
      <c r="Y9" s="85"/>
      <c r="Z9" s="85"/>
      <c r="AA9" s="86"/>
      <c r="AB9" s="86"/>
      <c r="AC9" s="86"/>
      <c r="AD9" s="86"/>
      <c r="AE9" s="86"/>
    </row>
    <row r="10" spans="1:31" s="35" customFormat="1" ht="24" customHeight="1">
      <c r="A10" s="37">
        <v>1</v>
      </c>
      <c r="B10" s="139" t="s">
        <v>159</v>
      </c>
      <c r="C10" s="87" t="str">
        <f t="shared" ref="C10:C12" si="0">VLOOKUP(B10,DS,2,0)</f>
        <v>Nguyễn Thị Thu Sương</v>
      </c>
      <c r="D10" s="114" t="str">
        <f t="shared" ref="D10:D12" si="1">VLOOKUP(B10,DS,3,0)</f>
        <v>Kinh Doanh</v>
      </c>
      <c r="E10" s="88">
        <f t="shared" ref="E10:E12" si="2">VLOOKUP(B10,DS,4,0)</f>
        <v>5000000</v>
      </c>
      <c r="F10" s="90">
        <f>VLOOKUP(B10,'CC -9'!$B$8:$AS$29,36,0)</f>
        <v>25</v>
      </c>
      <c r="G10" s="143">
        <f t="shared" ref="G10:G12" si="3">ROUND(E10/$U$2*F10,0)</f>
        <v>5000000</v>
      </c>
      <c r="H10" s="90">
        <f>(VLOOKUP(B10,'CC -9'!$B$8:$AS$29,37,0)+VLOOKUP(B10,'CC -9'!$B$8:$AS$29,38,0))</f>
        <v>0</v>
      </c>
      <c r="I10" s="143">
        <f t="shared" ref="I10:I12" si="4">ROUND(E10/$U$2*H10,0)</f>
        <v>0</v>
      </c>
      <c r="J10" s="91">
        <f t="shared" ref="J10:K12" si="5">F10+H10</f>
        <v>25</v>
      </c>
      <c r="K10" s="38">
        <f>G10+I10</f>
        <v>5000000</v>
      </c>
      <c r="L10" s="88">
        <f t="shared" ref="L10:L12" si="6">+F10*15000</f>
        <v>375000</v>
      </c>
      <c r="M10" s="39">
        <f t="shared" ref="M10:M12" si="7">K10+L10</f>
        <v>5375000</v>
      </c>
      <c r="N10" s="39">
        <f>IF(VLOOKUP(B10,DS,9,0)="x",E10*$N$4,0)</f>
        <v>0</v>
      </c>
      <c r="O10" s="39">
        <f>IF(VLOOKUP(B10,DS,9,0)="x",E10*$O$4,0)</f>
        <v>0</v>
      </c>
      <c r="P10" s="39">
        <f>IF(VLOOKUP(B10,DS,9,0)="x",E10*$P$4,0)</f>
        <v>0</v>
      </c>
      <c r="Q10" s="38">
        <f t="shared" ref="Q10:Q12" si="8">M10-SUM(N10:P10)</f>
        <v>5375000</v>
      </c>
      <c r="R10" s="38">
        <f>VLOOKUP(B10,DS,23,0)</f>
        <v>0</v>
      </c>
      <c r="S10" s="44">
        <f t="shared" ref="S10:S12" si="9">Q10-R10</f>
        <v>5375000</v>
      </c>
      <c r="T10" s="38"/>
      <c r="U10" s="102"/>
      <c r="V10" s="36"/>
      <c r="W10" s="27"/>
      <c r="X10" s="5"/>
      <c r="Y10" s="5"/>
      <c r="Z10" s="5"/>
      <c r="AA10" s="4"/>
      <c r="AB10" s="4"/>
      <c r="AC10" s="4"/>
      <c r="AD10" s="4"/>
      <c r="AE10" s="4"/>
    </row>
    <row r="11" spans="1:31" s="35" customFormat="1" ht="24" customHeight="1">
      <c r="A11" s="37">
        <v>2</v>
      </c>
      <c r="B11" s="139" t="s">
        <v>160</v>
      </c>
      <c r="C11" s="87" t="str">
        <f t="shared" ref="C11" si="10">VLOOKUP(B11,DS,2,0)</f>
        <v>Trần Anh Nhựt</v>
      </c>
      <c r="D11" s="114" t="str">
        <f t="shared" ref="D11" si="11">VLOOKUP(B11,DS,3,0)</f>
        <v>Thiết Kế</v>
      </c>
      <c r="E11" s="88">
        <f t="shared" ref="E11" si="12">VLOOKUP(B11,DS,4,0)</f>
        <v>5000000</v>
      </c>
      <c r="F11" s="90">
        <f>VLOOKUP(B11,'CC -9'!$B$8:$AS$29,36,0)</f>
        <v>25</v>
      </c>
      <c r="G11" s="143">
        <f t="shared" ref="G11" si="13">ROUND(E11/$U$2*F11,0)</f>
        <v>5000000</v>
      </c>
      <c r="H11" s="90">
        <f>(VLOOKUP(B11,'CC -9'!$B$8:$AS$29,37,0)+VLOOKUP(B11,'CC -9'!$B$8:$AS$29,38,0))</f>
        <v>0</v>
      </c>
      <c r="I11" s="143">
        <f t="shared" ref="I11" si="14">ROUND(E11/$U$2*H11,0)</f>
        <v>0</v>
      </c>
      <c r="J11" s="91">
        <f t="shared" ref="J11" si="15">F11+H11</f>
        <v>25</v>
      </c>
      <c r="K11" s="38">
        <f t="shared" ref="K11" si="16">G11+I11</f>
        <v>5000000</v>
      </c>
      <c r="L11" s="88">
        <f t="shared" ref="L11" si="17">+F11*15000</f>
        <v>375000</v>
      </c>
      <c r="M11" s="39">
        <f t="shared" ref="M11" si="18">K11+L11</f>
        <v>5375000</v>
      </c>
      <c r="N11" s="39">
        <f>IF(VLOOKUP(B11,DS,9,0)="x",E11*$N$4,0)</f>
        <v>0</v>
      </c>
      <c r="O11" s="39">
        <f>IF(VLOOKUP(B11,DS,9,0)="x",E11*$O$4,0)</f>
        <v>0</v>
      </c>
      <c r="P11" s="39">
        <f>IF(VLOOKUP(B11,DS,9,0)="x",E11*$P$4,0)</f>
        <v>0</v>
      </c>
      <c r="Q11" s="38">
        <f t="shared" ref="Q11" si="19">M11-SUM(N11:P11)</f>
        <v>5375000</v>
      </c>
      <c r="R11" s="38">
        <f>VLOOKUP(B11,DS,23,0)</f>
        <v>0</v>
      </c>
      <c r="S11" s="44">
        <f t="shared" ref="S11" si="20">Q11-R11</f>
        <v>5375000</v>
      </c>
      <c r="T11" s="38"/>
      <c r="U11" s="102"/>
      <c r="V11" s="36"/>
      <c r="W11" s="27"/>
      <c r="X11" s="5"/>
      <c r="Y11" s="5"/>
      <c r="Z11" s="5"/>
      <c r="AA11" s="4"/>
      <c r="AB11" s="4"/>
      <c r="AC11" s="4"/>
      <c r="AD11" s="4"/>
      <c r="AE11" s="4"/>
    </row>
    <row r="12" spans="1:31" s="35" customFormat="1" ht="24" customHeight="1">
      <c r="A12" s="37">
        <v>3</v>
      </c>
      <c r="B12" s="139" t="s">
        <v>168</v>
      </c>
      <c r="C12" s="87" t="str">
        <f t="shared" si="0"/>
        <v>Huỳnh Minh Toàn</v>
      </c>
      <c r="D12" s="114" t="str">
        <f t="shared" si="1"/>
        <v>Thủ Kho</v>
      </c>
      <c r="E12" s="88">
        <f t="shared" si="2"/>
        <v>5500000</v>
      </c>
      <c r="F12" s="90">
        <f>VLOOKUP(B12,'CC -9'!$B$8:$AS$29,36,0)</f>
        <v>25</v>
      </c>
      <c r="G12" s="143">
        <f t="shared" si="3"/>
        <v>5500000</v>
      </c>
      <c r="H12" s="90">
        <f>(VLOOKUP(B12,'CC -9'!$B$8:$AS$29,37,0)+VLOOKUP(B12,'CC -9'!$B$8:$AS$29,38,0))</f>
        <v>0</v>
      </c>
      <c r="I12" s="143">
        <f t="shared" si="4"/>
        <v>0</v>
      </c>
      <c r="J12" s="91">
        <f t="shared" si="5"/>
        <v>25</v>
      </c>
      <c r="K12" s="38">
        <f t="shared" si="5"/>
        <v>5500000</v>
      </c>
      <c r="L12" s="88">
        <f t="shared" si="6"/>
        <v>375000</v>
      </c>
      <c r="M12" s="39">
        <f t="shared" si="7"/>
        <v>5875000</v>
      </c>
      <c r="N12" s="39">
        <f>IF(VLOOKUP(B12,DS,9,0)="x",E12*$N$4,0)</f>
        <v>0</v>
      </c>
      <c r="O12" s="39">
        <f>IF(VLOOKUP(B12,DS,9,0)="x",E12*$O$4,0)</f>
        <v>0</v>
      </c>
      <c r="P12" s="39">
        <f>IF(VLOOKUP(B12,DS,9,0)="x",E12*$P$4,0)</f>
        <v>0</v>
      </c>
      <c r="Q12" s="38">
        <f t="shared" si="8"/>
        <v>5875000</v>
      </c>
      <c r="R12" s="38">
        <f>VLOOKUP(B12,DS,23,0)</f>
        <v>0</v>
      </c>
      <c r="S12" s="44">
        <f t="shared" si="9"/>
        <v>5875000</v>
      </c>
      <c r="T12" s="38"/>
      <c r="U12" s="102"/>
      <c r="V12" s="36"/>
      <c r="W12" s="27"/>
      <c r="X12" s="5"/>
      <c r="Y12" s="5"/>
      <c r="Z12" s="5"/>
      <c r="AA12" s="4"/>
      <c r="AB12" s="4"/>
      <c r="AC12" s="4"/>
      <c r="AD12" s="4"/>
      <c r="AE12" s="4"/>
    </row>
    <row r="13" spans="1:31" s="35" customFormat="1" ht="24" customHeight="1">
      <c r="A13" s="201"/>
      <c r="B13" s="202"/>
      <c r="C13" s="203"/>
      <c r="D13" s="204"/>
      <c r="E13" s="205"/>
      <c r="F13" s="206"/>
      <c r="G13" s="207"/>
      <c r="H13" s="206"/>
      <c r="I13" s="207"/>
      <c r="J13" s="208"/>
      <c r="K13" s="209"/>
      <c r="L13" s="205"/>
      <c r="M13" s="210"/>
      <c r="N13" s="210"/>
      <c r="O13" s="210"/>
      <c r="P13" s="210"/>
      <c r="Q13" s="209"/>
      <c r="R13" s="209"/>
      <c r="S13" s="211"/>
      <c r="T13" s="209"/>
      <c r="U13" s="102"/>
      <c r="V13" s="36"/>
      <c r="W13" s="27"/>
      <c r="X13" s="5"/>
      <c r="Y13" s="5"/>
      <c r="Z13" s="5"/>
      <c r="AA13" s="4"/>
      <c r="AB13" s="4"/>
      <c r="AC13" s="4"/>
      <c r="AD13" s="4"/>
      <c r="AE13" s="4"/>
    </row>
    <row r="14" spans="1:31" s="31" customFormat="1" ht="21" customHeight="1">
      <c r="A14" s="283" t="s">
        <v>25</v>
      </c>
      <c r="B14" s="283"/>
      <c r="C14" s="283"/>
      <c r="D14" s="283"/>
      <c r="E14" s="138">
        <f>SUM(E9:E12)</f>
        <v>15500000</v>
      </c>
      <c r="F14" s="138"/>
      <c r="G14" s="138">
        <f>SUM(G9:G12)</f>
        <v>15500000</v>
      </c>
      <c r="H14" s="138"/>
      <c r="I14" s="138">
        <f>SUM(I9:I12)</f>
        <v>0</v>
      </c>
      <c r="J14" s="138"/>
      <c r="K14" s="138">
        <f t="shared" ref="K14:S14" si="21">SUM(K9:K12)</f>
        <v>15500000</v>
      </c>
      <c r="L14" s="138">
        <f t="shared" si="21"/>
        <v>1125000</v>
      </c>
      <c r="M14" s="138">
        <f t="shared" si="21"/>
        <v>16625000</v>
      </c>
      <c r="N14" s="138">
        <f t="shared" si="21"/>
        <v>0</v>
      </c>
      <c r="O14" s="138">
        <f t="shared" si="21"/>
        <v>0</v>
      </c>
      <c r="P14" s="138">
        <f t="shared" si="21"/>
        <v>0</v>
      </c>
      <c r="Q14" s="138">
        <f t="shared" si="21"/>
        <v>16625000</v>
      </c>
      <c r="R14" s="138">
        <f t="shared" si="21"/>
        <v>0</v>
      </c>
      <c r="S14" s="138">
        <f t="shared" si="21"/>
        <v>16625000</v>
      </c>
      <c r="T14" s="25"/>
      <c r="U14" s="102"/>
      <c r="V14" s="32"/>
      <c r="W14" s="32"/>
      <c r="X14" s="32"/>
      <c r="Y14" s="32"/>
      <c r="Z14" s="32"/>
    </row>
    <row r="15" spans="1:31" s="83" customFormat="1" ht="24" customHeight="1">
      <c r="A15" s="186" t="s">
        <v>155</v>
      </c>
      <c r="B15" s="185" t="s">
        <v>156</v>
      </c>
      <c r="C15" s="184"/>
      <c r="D15" s="184"/>
      <c r="E15" s="184"/>
      <c r="F15" s="184"/>
      <c r="G15" s="184"/>
      <c r="H15" s="184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02"/>
      <c r="V15" s="84"/>
      <c r="W15" s="84"/>
      <c r="X15" s="85"/>
      <c r="Y15" s="85"/>
      <c r="Z15" s="85"/>
      <c r="AA15" s="86"/>
      <c r="AB15" s="86"/>
      <c r="AC15" s="86"/>
      <c r="AD15" s="86"/>
      <c r="AE15" s="86"/>
    </row>
    <row r="16" spans="1:31" s="35" customFormat="1" ht="24" customHeight="1">
      <c r="A16" s="37">
        <v>1</v>
      </c>
      <c r="B16" s="139" t="s">
        <v>161</v>
      </c>
      <c r="C16" s="87" t="str">
        <f t="shared" ref="C16:C20" si="22">VLOOKUP(B16,DS,2,0)</f>
        <v>Nguyễn Trường Giang</v>
      </c>
      <c r="D16" s="114" t="str">
        <f t="shared" ref="D16:D20" si="23">VLOOKUP(B16,DS,3,0)</f>
        <v>Thợ in</v>
      </c>
      <c r="E16" s="88">
        <f t="shared" ref="E16:E20" si="24">VLOOKUP(B16,DS,4,0)</f>
        <v>5000000</v>
      </c>
      <c r="F16" s="90">
        <f>VLOOKUP(B16,'CC -9'!$B$8:$AS$29,36,0)</f>
        <v>25</v>
      </c>
      <c r="G16" s="143">
        <f t="shared" ref="G16:G20" si="25">ROUND(E16/$U$2*F16,0)</f>
        <v>5000000</v>
      </c>
      <c r="H16" s="90">
        <f>(VLOOKUP(B16,'CC -9'!$B$8:$AS$29,37,0)+VLOOKUP(B16,'CC -9'!$B$8:$AS$29,38,0))</f>
        <v>0</v>
      </c>
      <c r="I16" s="143">
        <f t="shared" ref="I16:I20" si="26">ROUND(E16/$U$2*H16,0)</f>
        <v>0</v>
      </c>
      <c r="J16" s="144">
        <f t="shared" ref="J16:K20" si="27">F16+H16</f>
        <v>25</v>
      </c>
      <c r="K16" s="38">
        <f t="shared" si="27"/>
        <v>5000000</v>
      </c>
      <c r="L16" s="88">
        <f t="shared" ref="L16:L20" si="28">+F16*15000</f>
        <v>375000</v>
      </c>
      <c r="M16" s="39">
        <f t="shared" ref="M16:M20" si="29">K16+L16</f>
        <v>5375000</v>
      </c>
      <c r="N16" s="39">
        <f>IF(VLOOKUP(B16,DS,9,0)="x",'L - 9'!E16*$N$4,0)</f>
        <v>0</v>
      </c>
      <c r="O16" s="39">
        <f t="shared" ref="O16:O20" si="30">IF(VLOOKUP(B16,DS,9,0)="x",E16*0.015,0)</f>
        <v>0</v>
      </c>
      <c r="P16" s="39">
        <f t="shared" ref="P16:P20" si="31">IF(VLOOKUP(B16,DS,9,0)="x",E16*0.01,0)</f>
        <v>0</v>
      </c>
      <c r="Q16" s="38">
        <f>M16-SUM(N16:P16)</f>
        <v>5375000</v>
      </c>
      <c r="R16" s="38">
        <f t="shared" ref="R16:R20" si="32">VLOOKUP(B16,DS,23,0)</f>
        <v>0</v>
      </c>
      <c r="S16" s="44">
        <f>Q16-R16</f>
        <v>5375000</v>
      </c>
      <c r="T16" s="38"/>
      <c r="U16" s="102"/>
      <c r="V16" s="36"/>
      <c r="W16" s="27"/>
      <c r="X16" s="5"/>
      <c r="Y16" s="5"/>
      <c r="Z16" s="5"/>
      <c r="AA16" s="4"/>
      <c r="AB16" s="4"/>
      <c r="AC16" s="4"/>
      <c r="AD16" s="4"/>
      <c r="AE16" s="4"/>
    </row>
    <row r="17" spans="1:31" s="35" customFormat="1" ht="24" customHeight="1">
      <c r="A17" s="37">
        <v>2</v>
      </c>
      <c r="B17" s="139" t="s">
        <v>162</v>
      </c>
      <c r="C17" s="87" t="str">
        <f t="shared" ref="C17:C18" si="33">VLOOKUP(B17,DS,2,0)</f>
        <v>Võ Văn Kiệt</v>
      </c>
      <c r="D17" s="114" t="str">
        <f t="shared" ref="D17:D18" si="34">VLOOKUP(B17,DS,3,0)</f>
        <v>Công Đoạn 1</v>
      </c>
      <c r="E17" s="88">
        <f t="shared" ref="E17:E18" si="35">VLOOKUP(B17,DS,4,0)</f>
        <v>5000000</v>
      </c>
      <c r="F17" s="90">
        <f>VLOOKUP(B17,'CC -9'!$B$8:$AS$29,36,0)</f>
        <v>25</v>
      </c>
      <c r="G17" s="143">
        <f t="shared" ref="G17:G18" si="36">ROUND(E17/$U$2*F17,0)</f>
        <v>5000000</v>
      </c>
      <c r="H17" s="90">
        <f>(VLOOKUP(B17,'CC -9'!$B$8:$AS$29,37,0)+VLOOKUP(B17,'CC -9'!$B$8:$AS$29,38,0))</f>
        <v>0</v>
      </c>
      <c r="I17" s="143">
        <f t="shared" ref="I17:I18" si="37">ROUND(E17/$U$2*H17,0)</f>
        <v>0</v>
      </c>
      <c r="J17" s="144">
        <f t="shared" ref="J17:J18" si="38">F17+H17</f>
        <v>25</v>
      </c>
      <c r="K17" s="38">
        <f t="shared" ref="K17:K18" si="39">G17+I17</f>
        <v>5000000</v>
      </c>
      <c r="L17" s="88">
        <f t="shared" ref="L17:L18" si="40">+F17*15000</f>
        <v>375000</v>
      </c>
      <c r="M17" s="39">
        <f t="shared" ref="M17:M18" si="41">K17+L17</f>
        <v>5375000</v>
      </c>
      <c r="N17" s="39">
        <f>IF(VLOOKUP(B17,DS,9,0)="x",'L - 9'!E17*$N$4,0)</f>
        <v>0</v>
      </c>
      <c r="O17" s="39">
        <f t="shared" ref="O17:O18" si="42">IF(VLOOKUP(B17,DS,9,0)="x",E17*0.015,0)</f>
        <v>0</v>
      </c>
      <c r="P17" s="39">
        <f t="shared" ref="P17:P18" si="43">IF(VLOOKUP(B17,DS,9,0)="x",E17*0.01,0)</f>
        <v>0</v>
      </c>
      <c r="Q17" s="38">
        <f t="shared" ref="Q17:Q18" si="44">M17-SUM(N17:P17)</f>
        <v>5375000</v>
      </c>
      <c r="R17" s="38">
        <f t="shared" ref="R17:R18" si="45">VLOOKUP(B17,DS,23,0)</f>
        <v>0</v>
      </c>
      <c r="S17" s="44">
        <f t="shared" ref="S17:S18" si="46">Q17-R17</f>
        <v>5375000</v>
      </c>
      <c r="T17" s="38"/>
      <c r="U17" s="102"/>
      <c r="V17" s="36"/>
      <c r="W17" s="27"/>
      <c r="X17" s="5"/>
      <c r="Y17" s="5"/>
      <c r="Z17" s="5"/>
      <c r="AA17" s="4"/>
      <c r="AB17" s="4"/>
      <c r="AC17" s="4"/>
      <c r="AD17" s="4"/>
      <c r="AE17" s="4"/>
    </row>
    <row r="18" spans="1:31" s="35" customFormat="1" ht="24" customHeight="1">
      <c r="A18" s="37">
        <v>3</v>
      </c>
      <c r="B18" s="139" t="s">
        <v>163</v>
      </c>
      <c r="C18" s="87" t="str">
        <f t="shared" si="33"/>
        <v>Diệp Văn Lân</v>
      </c>
      <c r="D18" s="114" t="str">
        <f t="shared" si="34"/>
        <v>Công Đoạn 1</v>
      </c>
      <c r="E18" s="88">
        <f t="shared" si="35"/>
        <v>4200000</v>
      </c>
      <c r="F18" s="90">
        <f>VLOOKUP(B18,'CC -9'!$B$8:$AS$29,36,0)</f>
        <v>25</v>
      </c>
      <c r="G18" s="143">
        <f t="shared" si="36"/>
        <v>4200000</v>
      </c>
      <c r="H18" s="90">
        <f>(VLOOKUP(B18,'CC -9'!$B$8:$AS$29,37,0)+VLOOKUP(B18,'CC -9'!$B$8:$AS$29,38,0))</f>
        <v>0</v>
      </c>
      <c r="I18" s="143">
        <f t="shared" si="37"/>
        <v>0</v>
      </c>
      <c r="J18" s="144">
        <f t="shared" si="38"/>
        <v>25</v>
      </c>
      <c r="K18" s="38">
        <f t="shared" si="39"/>
        <v>4200000</v>
      </c>
      <c r="L18" s="88">
        <f t="shared" si="40"/>
        <v>375000</v>
      </c>
      <c r="M18" s="39">
        <f t="shared" si="41"/>
        <v>4575000</v>
      </c>
      <c r="N18" s="39">
        <f>IF(VLOOKUP(B18,DS,9,0)="x",'L - 9'!E18*$N$4,0)</f>
        <v>0</v>
      </c>
      <c r="O18" s="39">
        <f t="shared" si="42"/>
        <v>0</v>
      </c>
      <c r="P18" s="39">
        <f t="shared" si="43"/>
        <v>0</v>
      </c>
      <c r="Q18" s="38">
        <f t="shared" si="44"/>
        <v>4575000</v>
      </c>
      <c r="R18" s="38">
        <f t="shared" si="45"/>
        <v>0</v>
      </c>
      <c r="S18" s="44">
        <f t="shared" si="46"/>
        <v>4575000</v>
      </c>
      <c r="T18" s="38"/>
      <c r="U18" s="102"/>
      <c r="V18" s="36"/>
      <c r="W18" s="27"/>
      <c r="X18" s="5"/>
      <c r="Y18" s="5"/>
      <c r="Z18" s="5"/>
      <c r="AA18" s="4"/>
      <c r="AB18" s="4"/>
      <c r="AC18" s="4"/>
      <c r="AD18" s="4"/>
      <c r="AE18" s="4"/>
    </row>
    <row r="19" spans="1:31" s="35" customFormat="1" ht="24" customHeight="1">
      <c r="A19" s="37">
        <v>4</v>
      </c>
      <c r="B19" s="139" t="s">
        <v>176</v>
      </c>
      <c r="C19" s="87" t="str">
        <f t="shared" si="22"/>
        <v>Dương Thế Kiệt</v>
      </c>
      <c r="D19" s="114" t="str">
        <f t="shared" si="23"/>
        <v>Công Đoạn 1</v>
      </c>
      <c r="E19" s="88">
        <f t="shared" si="24"/>
        <v>4200000</v>
      </c>
      <c r="F19" s="90">
        <f>VLOOKUP(B19,'CC -9'!$B$8:$AS$29,36,0)</f>
        <v>25</v>
      </c>
      <c r="G19" s="143">
        <f t="shared" si="25"/>
        <v>4200000</v>
      </c>
      <c r="H19" s="90">
        <f>(VLOOKUP(B19,'CC -9'!$B$8:$AS$29,37,0)+VLOOKUP(B19,'CC -9'!$B$8:$AS$29,38,0))</f>
        <v>0</v>
      </c>
      <c r="I19" s="143">
        <f t="shared" si="26"/>
        <v>0</v>
      </c>
      <c r="J19" s="144">
        <f t="shared" si="27"/>
        <v>25</v>
      </c>
      <c r="K19" s="38">
        <f t="shared" si="27"/>
        <v>4200000</v>
      </c>
      <c r="L19" s="88">
        <f t="shared" si="28"/>
        <v>375000</v>
      </c>
      <c r="M19" s="39">
        <f t="shared" si="29"/>
        <v>4575000</v>
      </c>
      <c r="N19" s="39">
        <f>IF(VLOOKUP(B19,DS,9,0)="x",'L - 9'!E19*$N$4,0)</f>
        <v>0</v>
      </c>
      <c r="O19" s="39">
        <f t="shared" si="30"/>
        <v>0</v>
      </c>
      <c r="P19" s="39">
        <f t="shared" si="31"/>
        <v>0</v>
      </c>
      <c r="Q19" s="38">
        <f t="shared" ref="Q19:Q20" si="47">M19-SUM(N19:P19)</f>
        <v>4575000</v>
      </c>
      <c r="R19" s="38">
        <f t="shared" si="32"/>
        <v>0</v>
      </c>
      <c r="S19" s="44">
        <f t="shared" ref="S19:S20" si="48">Q19-R19</f>
        <v>4575000</v>
      </c>
      <c r="T19" s="38"/>
      <c r="U19" s="102"/>
      <c r="V19" s="36"/>
      <c r="W19" s="27"/>
      <c r="X19" s="5"/>
      <c r="Y19" s="5"/>
      <c r="Z19" s="5"/>
      <c r="AA19" s="4"/>
      <c r="AB19" s="4"/>
      <c r="AC19" s="4"/>
      <c r="AD19" s="4"/>
      <c r="AE19" s="4"/>
    </row>
    <row r="20" spans="1:31" s="35" customFormat="1" ht="24" customHeight="1">
      <c r="A20" s="37">
        <v>5</v>
      </c>
      <c r="B20" s="139" t="s">
        <v>177</v>
      </c>
      <c r="C20" s="87" t="str">
        <f t="shared" si="22"/>
        <v>Lê Văn Hữu</v>
      </c>
      <c r="D20" s="114" t="str">
        <f t="shared" si="23"/>
        <v>Công Đoạn 2</v>
      </c>
      <c r="E20" s="88">
        <f t="shared" si="24"/>
        <v>5000000</v>
      </c>
      <c r="F20" s="90">
        <f>VLOOKUP(B20,'CC -9'!$B$8:$AS$29,36,0)</f>
        <v>25</v>
      </c>
      <c r="G20" s="143">
        <f t="shared" si="25"/>
        <v>5000000</v>
      </c>
      <c r="H20" s="90">
        <f>(VLOOKUP(B20,'CC -9'!$B$8:$AS$29,37,0)+VLOOKUP(B20,'CC -9'!$B$8:$AS$29,38,0))</f>
        <v>0</v>
      </c>
      <c r="I20" s="143">
        <f t="shared" si="26"/>
        <v>0</v>
      </c>
      <c r="J20" s="144">
        <f t="shared" si="27"/>
        <v>25</v>
      </c>
      <c r="K20" s="38">
        <f t="shared" si="27"/>
        <v>5000000</v>
      </c>
      <c r="L20" s="88">
        <f t="shared" si="28"/>
        <v>375000</v>
      </c>
      <c r="M20" s="39">
        <f t="shared" si="29"/>
        <v>5375000</v>
      </c>
      <c r="N20" s="39">
        <f>IF(VLOOKUP(B20,DS,9,0)="x",'L - 9'!E20*$N$4,0)</f>
        <v>0</v>
      </c>
      <c r="O20" s="39">
        <f t="shared" si="30"/>
        <v>0</v>
      </c>
      <c r="P20" s="39">
        <f t="shared" si="31"/>
        <v>0</v>
      </c>
      <c r="Q20" s="38">
        <f t="shared" si="47"/>
        <v>5375000</v>
      </c>
      <c r="R20" s="38">
        <f t="shared" si="32"/>
        <v>0</v>
      </c>
      <c r="S20" s="44">
        <f t="shared" si="48"/>
        <v>5375000</v>
      </c>
      <c r="T20" s="38"/>
      <c r="U20" s="102"/>
      <c r="V20" s="36"/>
      <c r="W20" s="27"/>
      <c r="X20" s="5"/>
      <c r="Y20" s="5"/>
      <c r="Z20" s="5"/>
      <c r="AA20" s="4"/>
      <c r="AB20" s="4"/>
      <c r="AC20" s="4"/>
      <c r="AD20" s="4"/>
      <c r="AE20" s="4"/>
    </row>
    <row r="21" spans="1:31" s="35" customFormat="1" ht="24" customHeight="1">
      <c r="A21" s="37">
        <v>6</v>
      </c>
      <c r="B21" s="139" t="s">
        <v>178</v>
      </c>
      <c r="C21" s="87" t="str">
        <f t="shared" ref="C21:C22" si="49">VLOOKUP(B21,DS,2,0)</f>
        <v>Bùi Trường Giang</v>
      </c>
      <c r="D21" s="114" t="str">
        <f t="shared" ref="D21:D22" si="50">VLOOKUP(B21,DS,3,0)</f>
        <v>Công Đoạn 2</v>
      </c>
      <c r="E21" s="88">
        <f t="shared" ref="E21:E22" si="51">VLOOKUP(B21,DS,4,0)</f>
        <v>4200000</v>
      </c>
      <c r="F21" s="90">
        <f>VLOOKUP(B21,'CC -9'!$B$8:$AS$29,36,0)</f>
        <v>25</v>
      </c>
      <c r="G21" s="143">
        <f t="shared" ref="G21:G22" si="52">ROUND(E21/$U$2*F21,0)</f>
        <v>4200000</v>
      </c>
      <c r="H21" s="90">
        <f>(VLOOKUP(B21,'CC -9'!$B$8:$AS$29,37,0)+VLOOKUP(B21,'CC -9'!$B$8:$AS$29,38,0))</f>
        <v>0</v>
      </c>
      <c r="I21" s="143">
        <f t="shared" ref="I21:I22" si="53">ROUND(E21/$U$2*H21,0)</f>
        <v>0</v>
      </c>
      <c r="J21" s="144">
        <f t="shared" ref="J21:J22" si="54">F21+H21</f>
        <v>25</v>
      </c>
      <c r="K21" s="38">
        <f t="shared" ref="K21:K22" si="55">G21+I21</f>
        <v>4200000</v>
      </c>
      <c r="L21" s="88">
        <f t="shared" ref="L21:L22" si="56">+F21*15000</f>
        <v>375000</v>
      </c>
      <c r="M21" s="39">
        <f t="shared" ref="M21:M22" si="57">K21+L21</f>
        <v>4575000</v>
      </c>
      <c r="N21" s="39">
        <f>IF(VLOOKUP(B21,DS,9,0)="x",'L - 9'!E21*$N$4,0)</f>
        <v>0</v>
      </c>
      <c r="O21" s="39">
        <f t="shared" ref="O21:O22" si="58">IF(VLOOKUP(B21,DS,9,0)="x",E21*0.015,0)</f>
        <v>0</v>
      </c>
      <c r="P21" s="39">
        <f t="shared" ref="P21:P22" si="59">IF(VLOOKUP(B21,DS,9,0)="x",E21*0.01,0)</f>
        <v>0</v>
      </c>
      <c r="Q21" s="38">
        <f t="shared" ref="Q21:Q22" si="60">M21-SUM(N21:P21)</f>
        <v>4575000</v>
      </c>
      <c r="R21" s="38">
        <f t="shared" ref="R21:R22" si="61">VLOOKUP(B21,DS,23,0)</f>
        <v>0</v>
      </c>
      <c r="S21" s="44">
        <f t="shared" ref="S21:S22" si="62">Q21-R21</f>
        <v>4575000</v>
      </c>
      <c r="T21" s="38"/>
      <c r="U21" s="102"/>
      <c r="V21" s="36"/>
      <c r="W21" s="27"/>
      <c r="X21" s="5"/>
      <c r="Y21" s="5"/>
      <c r="Z21" s="5"/>
      <c r="AA21" s="4"/>
      <c r="AB21" s="4"/>
      <c r="AC21" s="4"/>
      <c r="AD21" s="4"/>
      <c r="AE21" s="4"/>
    </row>
    <row r="22" spans="1:31" s="35" customFormat="1" ht="24" customHeight="1">
      <c r="A22" s="37">
        <v>7</v>
      </c>
      <c r="B22" s="139" t="s">
        <v>179</v>
      </c>
      <c r="C22" s="87" t="str">
        <f t="shared" si="49"/>
        <v>Nguyễn T Bích Thủy</v>
      </c>
      <c r="D22" s="114" t="str">
        <f t="shared" si="50"/>
        <v>Công Đoạn 2</v>
      </c>
      <c r="E22" s="88">
        <f t="shared" si="51"/>
        <v>4200000</v>
      </c>
      <c r="F22" s="90">
        <f>VLOOKUP(B22,'CC -9'!$B$8:$AS$29,36,0)</f>
        <v>25</v>
      </c>
      <c r="G22" s="143">
        <f t="shared" si="52"/>
        <v>4200000</v>
      </c>
      <c r="H22" s="90">
        <f>(VLOOKUP(B22,'CC -9'!$B$8:$AS$29,37,0)+VLOOKUP(B22,'CC -9'!$B$8:$AS$29,38,0))</f>
        <v>0</v>
      </c>
      <c r="I22" s="143">
        <f t="shared" si="53"/>
        <v>0</v>
      </c>
      <c r="J22" s="144">
        <f t="shared" si="54"/>
        <v>25</v>
      </c>
      <c r="K22" s="38">
        <f t="shared" si="55"/>
        <v>4200000</v>
      </c>
      <c r="L22" s="88">
        <f t="shared" si="56"/>
        <v>375000</v>
      </c>
      <c r="M22" s="39">
        <f t="shared" si="57"/>
        <v>4575000</v>
      </c>
      <c r="N22" s="39">
        <f>IF(VLOOKUP(B22,DS,9,0)="x",'L - 9'!E22*$N$4,0)</f>
        <v>0</v>
      </c>
      <c r="O22" s="39">
        <f t="shared" si="58"/>
        <v>0</v>
      </c>
      <c r="P22" s="39">
        <f t="shared" si="59"/>
        <v>0</v>
      </c>
      <c r="Q22" s="38">
        <f t="shared" si="60"/>
        <v>4575000</v>
      </c>
      <c r="R22" s="38">
        <f t="shared" si="61"/>
        <v>0</v>
      </c>
      <c r="S22" s="44">
        <f t="shared" si="62"/>
        <v>4575000</v>
      </c>
      <c r="T22" s="38"/>
      <c r="U22" s="102"/>
      <c r="V22" s="36"/>
      <c r="W22" s="27"/>
      <c r="X22" s="5"/>
      <c r="Y22" s="5"/>
      <c r="Z22" s="5"/>
      <c r="AA22" s="4"/>
      <c r="AB22" s="4"/>
      <c r="AC22" s="4"/>
      <c r="AD22" s="4"/>
      <c r="AE22" s="4"/>
    </row>
    <row r="23" spans="1:31" s="35" customFormat="1" ht="22.5" customHeight="1">
      <c r="A23" s="40"/>
      <c r="B23" s="183"/>
      <c r="C23" s="41"/>
      <c r="D23" s="3"/>
      <c r="E23" s="42"/>
      <c r="F23" s="42"/>
      <c r="G23" s="42"/>
      <c r="H23" s="42"/>
      <c r="I23" s="42"/>
      <c r="J23" s="43"/>
      <c r="K23" s="42"/>
      <c r="L23" s="42"/>
      <c r="M23" s="182"/>
      <c r="N23" s="42"/>
      <c r="O23" s="42"/>
      <c r="P23" s="42"/>
      <c r="Q23" s="42"/>
      <c r="R23" s="42"/>
      <c r="S23" s="42"/>
      <c r="T23" s="38"/>
      <c r="U23" s="102"/>
      <c r="V23" s="36"/>
      <c r="W23" s="36"/>
      <c r="X23" s="36"/>
      <c r="Y23" s="36"/>
      <c r="Z23" s="36"/>
    </row>
    <row r="24" spans="1:31" s="31" customFormat="1" ht="21" customHeight="1">
      <c r="A24" s="283" t="s">
        <v>25</v>
      </c>
      <c r="B24" s="283"/>
      <c r="C24" s="283"/>
      <c r="D24" s="283"/>
      <c r="E24" s="138">
        <f>SUM(E15:E23)</f>
        <v>31800000</v>
      </c>
      <c r="F24" s="138"/>
      <c r="G24" s="138">
        <f>SUM(G15:G23)</f>
        <v>31800000</v>
      </c>
      <c r="H24" s="138"/>
      <c r="I24" s="138">
        <f>SUM(I15:I23)</f>
        <v>0</v>
      </c>
      <c r="J24" s="138"/>
      <c r="K24" s="138">
        <f t="shared" ref="K24:S24" si="63">SUM(K15:K23)</f>
        <v>31800000</v>
      </c>
      <c r="L24" s="138">
        <f t="shared" si="63"/>
        <v>2625000</v>
      </c>
      <c r="M24" s="138">
        <f t="shared" si="63"/>
        <v>34425000</v>
      </c>
      <c r="N24" s="138">
        <f t="shared" si="63"/>
        <v>0</v>
      </c>
      <c r="O24" s="138">
        <f t="shared" si="63"/>
        <v>0</v>
      </c>
      <c r="P24" s="138">
        <f t="shared" si="63"/>
        <v>0</v>
      </c>
      <c r="Q24" s="138">
        <f t="shared" si="63"/>
        <v>34425000</v>
      </c>
      <c r="R24" s="138">
        <f t="shared" si="63"/>
        <v>0</v>
      </c>
      <c r="S24" s="138">
        <f t="shared" si="63"/>
        <v>34425000</v>
      </c>
      <c r="T24" s="25"/>
      <c r="U24" s="102"/>
      <c r="V24" s="32"/>
      <c r="W24" s="32"/>
      <c r="X24" s="32"/>
      <c r="Y24" s="32"/>
      <c r="Z24" s="32"/>
    </row>
    <row r="25" spans="1:31" ht="11.25" customHeight="1">
      <c r="A25" s="8"/>
      <c r="B25" s="8"/>
      <c r="C25" s="9"/>
      <c r="D25" s="115"/>
      <c r="E25" s="92"/>
      <c r="F25" s="9"/>
      <c r="G25" s="9"/>
      <c r="H25" s="9"/>
      <c r="I25" s="9"/>
      <c r="K25" s="9"/>
      <c r="L25" s="9"/>
      <c r="M25" s="100"/>
      <c r="N25" s="9"/>
      <c r="O25" s="9"/>
      <c r="P25" s="9"/>
      <c r="Q25" s="9"/>
      <c r="R25" s="9"/>
      <c r="S25" s="9"/>
      <c r="T25" s="9"/>
      <c r="U25" s="102"/>
    </row>
    <row r="26" spans="1:31" s="35" customFormat="1" ht="11.25" customHeight="1">
      <c r="A26" s="76"/>
      <c r="B26" s="76"/>
      <c r="C26" s="76"/>
      <c r="D26" s="131"/>
      <c r="E26" s="132"/>
      <c r="F26" s="76"/>
      <c r="G26" s="76"/>
      <c r="H26" s="76"/>
      <c r="I26" s="76"/>
      <c r="J26" s="133"/>
      <c r="K26" s="132"/>
      <c r="L26" s="76"/>
      <c r="M26" s="76"/>
      <c r="N26" s="76"/>
      <c r="O26" s="76"/>
      <c r="P26" s="76"/>
      <c r="Q26" s="76"/>
      <c r="R26" s="76"/>
      <c r="S26" s="106" t="str">
        <f>"Long An, ngày  "&amp;$V$2&amp;"   tháng   "&amp;TEXT(E4,"mm")&amp;"   năm "&amp;TEXT(E4,"yyyy")</f>
        <v>Long An, ngày  31   tháng   09   năm 2015</v>
      </c>
      <c r="T26" s="76"/>
      <c r="U26" s="134"/>
      <c r="V26" s="36"/>
      <c r="W26" s="36"/>
      <c r="X26" s="36"/>
      <c r="Y26" s="36"/>
      <c r="Z26" s="36"/>
    </row>
    <row r="27" spans="1:31" s="35" customFormat="1" ht="12.75">
      <c r="A27" s="28"/>
      <c r="B27" s="28"/>
      <c r="C27" s="28" t="s">
        <v>60</v>
      </c>
      <c r="D27" s="135"/>
      <c r="E27" s="77"/>
      <c r="F27" s="134"/>
      <c r="G27" s="77"/>
      <c r="H27" s="77"/>
      <c r="I27" s="77"/>
      <c r="J27" s="136"/>
      <c r="K27" s="36"/>
      <c r="L27" s="28"/>
      <c r="M27" s="145"/>
      <c r="N27" s="19"/>
      <c r="O27" s="19"/>
      <c r="P27" s="19"/>
      <c r="Q27" s="19"/>
      <c r="S27" s="134" t="s">
        <v>22</v>
      </c>
      <c r="T27" s="134"/>
      <c r="U27" s="134"/>
      <c r="V27" s="36"/>
      <c r="W27" s="36"/>
      <c r="X27" s="36"/>
      <c r="Y27" s="36"/>
      <c r="Z27" s="36"/>
    </row>
    <row r="28" spans="1:31" ht="12">
      <c r="A28" s="8"/>
      <c r="B28" s="8"/>
      <c r="C28" s="15"/>
      <c r="E28" s="13"/>
      <c r="F28" s="12"/>
      <c r="G28" s="13"/>
      <c r="H28" s="13"/>
      <c r="I28" s="13"/>
      <c r="K28" s="7"/>
      <c r="L28" s="15"/>
      <c r="N28" s="11"/>
      <c r="O28" s="11"/>
      <c r="P28" s="11"/>
      <c r="Q28" s="11"/>
      <c r="S28" s="11"/>
      <c r="T28" s="12"/>
      <c r="U28" s="102"/>
    </row>
    <row r="29" spans="1:31" ht="12">
      <c r="C29" s="15"/>
      <c r="L29" s="15"/>
      <c r="T29" s="15"/>
      <c r="U29" s="102"/>
    </row>
    <row r="30" spans="1:31" ht="12">
      <c r="U30" s="102"/>
    </row>
    <row r="31" spans="1:31" ht="12">
      <c r="U31" s="102"/>
    </row>
    <row r="32" spans="1:31" ht="12">
      <c r="U32" s="102"/>
    </row>
    <row r="33" spans="21:21" ht="12">
      <c r="U33" s="102"/>
    </row>
    <row r="34" spans="21:21" ht="12">
      <c r="U34" s="102"/>
    </row>
    <row r="35" spans="21:21" ht="12">
      <c r="U35" s="102"/>
    </row>
  </sheetData>
  <protectedRanges>
    <protectedRange password="CC78" sqref="V23:IK24 C5:D7 B27:C27 V5:W9 A23:A28 B23:B26 B28 V15:W15 Q5:T7 E5:I6 D24 N5:P6 L5 L27 J6:K7 L7 A30:T63 U36:U63 N23:S23 V30:IK63 J23:L23 A64:IK65331 AF15:IK15 V14:IK14 D14 Q10:S13 W10:W13 AF5:IK13 A10:B14" name="Range1"/>
    <protectedRange password="CC78" sqref="F7:H7" name="Range1_4"/>
    <protectedRange password="CC78" sqref="V27:IK28 S27:T28 N27:Q28 E27:I28" name="Range1_1_1"/>
    <protectedRange password="CC78" sqref="U1 W1:IK3 V4:IK4 B4:T4 R2:S3 B1:Q3 U23:U35 X15:AE15 U4:U15 X5:AE13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6:W22 Q16:S22 AF16:IK22 A16:B22" name="Range1_5"/>
    <protectedRange password="CC78" sqref="U16:U22 X16:AE22" name="Range1_2_3"/>
    <protectedRange password="CC78" sqref="V16:V22" name="Range1_1_3"/>
    <protectedRange password="CC78" sqref="K10:K13 K16:K22" name="Range1_6"/>
    <protectedRange password="CC78" sqref="A2:A3" name="Range1_2_1_3"/>
    <protectedRange password="CC78" sqref="E14:T14" name="Range1_3"/>
    <protectedRange password="CC78" sqref="E24:T24" name="Range1_7"/>
    <protectedRange password="CC78" sqref="U2" name="Range1_2_2_1_1"/>
  </protectedRanges>
  <autoFilter ref="A7:AE10"/>
  <mergeCells count="24">
    <mergeCell ref="A14:D14"/>
    <mergeCell ref="A24:D24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6"/>
  <sheetViews>
    <sheetView zoomScaleNormal="115" workbookViewId="0">
      <pane xSplit="3" ySplit="6" topLeftCell="D13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16" sqref="A16:B2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2" customWidth="1"/>
    <col min="5" max="5" width="7.140625" style="2" customWidth="1"/>
    <col min="6" max="33" width="3.42578125" style="121" customWidth="1"/>
    <col min="34" max="36" width="3.42578125" style="122" customWidth="1"/>
    <col min="37" max="38" width="4.42578125" style="2" customWidth="1"/>
    <col min="39" max="39" width="5.5703125" style="98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7"/>
      <c r="B1" s="52"/>
      <c r="C1" s="52"/>
      <c r="D1" s="56"/>
      <c r="E1" s="52"/>
      <c r="F1" s="56"/>
      <c r="G1" s="56"/>
      <c r="H1" s="56"/>
      <c r="I1" s="56"/>
      <c r="J1" s="56"/>
      <c r="K1" s="117"/>
      <c r="L1" s="117"/>
      <c r="M1" s="117"/>
      <c r="N1" s="117"/>
      <c r="O1" s="117"/>
      <c r="P1" s="117"/>
      <c r="Q1" s="117"/>
      <c r="R1" s="117"/>
      <c r="S1" s="54" t="str">
        <f>CONCATENATE("BẢNG CHẤM CÔNG THÁNG ",TEXT($E$4,"mm")," NĂM ",TEXT($E$4,"yyyy"))</f>
        <v>BẢNG CHẤM CÔNG THÁNG 10 NĂM 2015</v>
      </c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K1" s="53"/>
      <c r="AL1" s="53"/>
      <c r="AM1" s="242" t="s">
        <v>170</v>
      </c>
      <c r="AN1" s="243"/>
      <c r="AO1" s="243"/>
      <c r="AP1" s="243"/>
      <c r="AQ1" s="243"/>
      <c r="AR1" s="243"/>
      <c r="AS1" s="244"/>
      <c r="AT1" s="55"/>
    </row>
    <row r="2" spans="1:91" ht="20.25">
      <c r="A2" s="137"/>
      <c r="B2" s="56"/>
      <c r="C2" s="56"/>
      <c r="D2" s="56"/>
      <c r="E2" s="56"/>
      <c r="F2" s="56"/>
      <c r="G2" s="56"/>
      <c r="H2" s="56"/>
      <c r="I2" s="56"/>
      <c r="J2" s="56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53"/>
      <c r="AL2" s="53"/>
      <c r="AM2" s="94"/>
      <c r="AN2" s="57"/>
      <c r="AO2" s="57"/>
      <c r="AP2" s="57"/>
      <c r="AQ2" s="57"/>
      <c r="AR2" s="57"/>
      <c r="AS2" s="93"/>
      <c r="AT2" s="93"/>
    </row>
    <row r="3" spans="1:91" ht="21" customHeight="1">
      <c r="A3" s="137"/>
      <c r="B3" s="58"/>
      <c r="C3" s="58"/>
      <c r="D3" s="59"/>
      <c r="E3" s="59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53"/>
      <c r="AL3" s="53"/>
      <c r="AM3" s="94"/>
      <c r="AN3" s="55"/>
      <c r="AO3" s="55"/>
      <c r="AP3" s="55"/>
      <c r="AQ3" s="55"/>
      <c r="AR3" s="55"/>
      <c r="AS3" s="60"/>
      <c r="AT3" s="60"/>
    </row>
    <row r="4" spans="1:91" ht="14.25" customHeight="1">
      <c r="A4" s="61"/>
      <c r="B4" s="61"/>
      <c r="C4" s="154"/>
      <c r="D4" s="153"/>
      <c r="E4" s="62">
        <v>42278</v>
      </c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4"/>
      <c r="AI4" s="64"/>
      <c r="AJ4" s="64"/>
      <c r="AK4" s="61"/>
      <c r="AL4" s="61"/>
      <c r="AM4" s="95"/>
      <c r="AN4" s="61"/>
      <c r="AO4" s="61"/>
      <c r="AP4" s="61"/>
      <c r="AQ4" s="61"/>
      <c r="AR4" s="61"/>
      <c r="AS4" s="61"/>
      <c r="AT4" s="99"/>
    </row>
    <row r="5" spans="1:91" s="65" customFormat="1" ht="18.75" customHeight="1">
      <c r="A5" s="245" t="s">
        <v>28</v>
      </c>
      <c r="B5" s="245" t="s">
        <v>3</v>
      </c>
      <c r="C5" s="245" t="s">
        <v>1</v>
      </c>
      <c r="D5" s="247" t="s">
        <v>29</v>
      </c>
      <c r="E5" s="245" t="s">
        <v>30</v>
      </c>
      <c r="F5" s="116">
        <f>+E4</f>
        <v>42278</v>
      </c>
      <c r="G5" s="116">
        <f t="shared" ref="G5:AJ5" si="0">F5+1</f>
        <v>42279</v>
      </c>
      <c r="H5" s="116">
        <f t="shared" si="0"/>
        <v>42280</v>
      </c>
      <c r="I5" s="116">
        <f t="shared" si="0"/>
        <v>42281</v>
      </c>
      <c r="J5" s="116">
        <f t="shared" si="0"/>
        <v>42282</v>
      </c>
      <c r="K5" s="116">
        <f t="shared" si="0"/>
        <v>42283</v>
      </c>
      <c r="L5" s="116">
        <f t="shared" si="0"/>
        <v>42284</v>
      </c>
      <c r="M5" s="116">
        <f t="shared" si="0"/>
        <v>42285</v>
      </c>
      <c r="N5" s="116">
        <f t="shared" si="0"/>
        <v>42286</v>
      </c>
      <c r="O5" s="116">
        <f t="shared" si="0"/>
        <v>42287</v>
      </c>
      <c r="P5" s="116">
        <f t="shared" si="0"/>
        <v>42288</v>
      </c>
      <c r="Q5" s="116">
        <f t="shared" si="0"/>
        <v>42289</v>
      </c>
      <c r="R5" s="116">
        <f t="shared" si="0"/>
        <v>42290</v>
      </c>
      <c r="S5" s="116">
        <f t="shared" si="0"/>
        <v>42291</v>
      </c>
      <c r="T5" s="116">
        <f t="shared" si="0"/>
        <v>42292</v>
      </c>
      <c r="U5" s="116">
        <f t="shared" si="0"/>
        <v>42293</v>
      </c>
      <c r="V5" s="116">
        <f t="shared" si="0"/>
        <v>42294</v>
      </c>
      <c r="W5" s="116">
        <f t="shared" si="0"/>
        <v>42295</v>
      </c>
      <c r="X5" s="116">
        <f t="shared" si="0"/>
        <v>42296</v>
      </c>
      <c r="Y5" s="116">
        <f t="shared" si="0"/>
        <v>42297</v>
      </c>
      <c r="Z5" s="116">
        <f t="shared" si="0"/>
        <v>42298</v>
      </c>
      <c r="AA5" s="116">
        <f t="shared" si="0"/>
        <v>42299</v>
      </c>
      <c r="AB5" s="116">
        <f t="shared" si="0"/>
        <v>42300</v>
      </c>
      <c r="AC5" s="116">
        <f t="shared" si="0"/>
        <v>42301</v>
      </c>
      <c r="AD5" s="116">
        <f t="shared" si="0"/>
        <v>42302</v>
      </c>
      <c r="AE5" s="116">
        <f t="shared" si="0"/>
        <v>42303</v>
      </c>
      <c r="AF5" s="116">
        <f t="shared" si="0"/>
        <v>42304</v>
      </c>
      <c r="AG5" s="116">
        <f t="shared" si="0"/>
        <v>42305</v>
      </c>
      <c r="AH5" s="116">
        <f>AG5+1</f>
        <v>42306</v>
      </c>
      <c r="AI5" s="116">
        <f t="shared" si="0"/>
        <v>42307</v>
      </c>
      <c r="AJ5" s="116">
        <f t="shared" si="0"/>
        <v>42308</v>
      </c>
      <c r="AK5" s="248" t="s">
        <v>15</v>
      </c>
      <c r="AL5" s="249"/>
      <c r="AM5" s="250"/>
      <c r="AN5" s="251" t="s">
        <v>45</v>
      </c>
      <c r="AO5" s="251" t="s">
        <v>41</v>
      </c>
      <c r="AP5" s="251" t="s">
        <v>42</v>
      </c>
      <c r="AQ5" s="251" t="s">
        <v>43</v>
      </c>
      <c r="AR5" s="251" t="s">
        <v>44</v>
      </c>
      <c r="AS5" s="247" t="s">
        <v>0</v>
      </c>
      <c r="AT5" s="26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5" customFormat="1" ht="39.75" customHeight="1">
      <c r="A6" s="246"/>
      <c r="B6" s="246"/>
      <c r="C6" s="246"/>
      <c r="D6" s="246"/>
      <c r="E6" s="246"/>
      <c r="F6" s="172" t="str">
        <f>CHOOSE(WEEKDAY(F5),"C.Nhật","T.Hai","T.Ba","T.Tư","T.Năm","T.Sáu","T.Bảy")</f>
        <v>T.Năm</v>
      </c>
      <c r="G6" s="172" t="str">
        <f t="shared" ref="G6:AJ6" si="1">CHOOSE(WEEKDAY(G5),"C.Nhật","T.Hai","T.Ba","T.Tư","T.Năm","T.Sáu","T.Bảy")</f>
        <v>T.Sáu</v>
      </c>
      <c r="H6" s="172" t="str">
        <f t="shared" si="1"/>
        <v>T.Bảy</v>
      </c>
      <c r="I6" s="172" t="str">
        <f t="shared" si="1"/>
        <v>C.Nhật</v>
      </c>
      <c r="J6" s="172" t="str">
        <f t="shared" si="1"/>
        <v>T.Hai</v>
      </c>
      <c r="K6" s="172" t="str">
        <f t="shared" si="1"/>
        <v>T.Ba</v>
      </c>
      <c r="L6" s="172" t="str">
        <f t="shared" si="1"/>
        <v>T.Tư</v>
      </c>
      <c r="M6" s="172" t="str">
        <f t="shared" si="1"/>
        <v>T.Năm</v>
      </c>
      <c r="N6" s="172" t="str">
        <f t="shared" si="1"/>
        <v>T.Sáu</v>
      </c>
      <c r="O6" s="172" t="str">
        <f t="shared" si="1"/>
        <v>T.Bảy</v>
      </c>
      <c r="P6" s="172" t="str">
        <f t="shared" si="1"/>
        <v>C.Nhật</v>
      </c>
      <c r="Q6" s="172" t="str">
        <f t="shared" si="1"/>
        <v>T.Hai</v>
      </c>
      <c r="R6" s="172" t="str">
        <f t="shared" si="1"/>
        <v>T.Ba</v>
      </c>
      <c r="S6" s="172" t="str">
        <f t="shared" si="1"/>
        <v>T.Tư</v>
      </c>
      <c r="T6" s="172" t="str">
        <f t="shared" si="1"/>
        <v>T.Năm</v>
      </c>
      <c r="U6" s="172" t="str">
        <f t="shared" si="1"/>
        <v>T.Sáu</v>
      </c>
      <c r="V6" s="172" t="str">
        <f t="shared" si="1"/>
        <v>T.Bảy</v>
      </c>
      <c r="W6" s="172" t="str">
        <f t="shared" si="1"/>
        <v>C.Nhật</v>
      </c>
      <c r="X6" s="172" t="str">
        <f t="shared" si="1"/>
        <v>T.Hai</v>
      </c>
      <c r="Y6" s="172" t="str">
        <f t="shared" si="1"/>
        <v>T.Ba</v>
      </c>
      <c r="Z6" s="172" t="str">
        <f t="shared" si="1"/>
        <v>T.Tư</v>
      </c>
      <c r="AA6" s="172" t="str">
        <f t="shared" si="1"/>
        <v>T.Năm</v>
      </c>
      <c r="AB6" s="172" t="str">
        <f t="shared" si="1"/>
        <v>T.Sáu</v>
      </c>
      <c r="AC6" s="172" t="str">
        <f t="shared" si="1"/>
        <v>T.Bảy</v>
      </c>
      <c r="AD6" s="172" t="str">
        <f t="shared" si="1"/>
        <v>C.Nhật</v>
      </c>
      <c r="AE6" s="172" t="str">
        <f t="shared" si="1"/>
        <v>T.Hai</v>
      </c>
      <c r="AF6" s="172" t="str">
        <f t="shared" si="1"/>
        <v>T.Ba</v>
      </c>
      <c r="AG6" s="172" t="str">
        <f t="shared" si="1"/>
        <v>T.Tư</v>
      </c>
      <c r="AH6" s="172" t="str">
        <f t="shared" si="1"/>
        <v>T.Năm</v>
      </c>
      <c r="AI6" s="172" t="str">
        <f t="shared" si="1"/>
        <v>T.Sáu</v>
      </c>
      <c r="AJ6" s="172" t="str">
        <f t="shared" si="1"/>
        <v>T.Bảy</v>
      </c>
      <c r="AK6" s="173" t="s">
        <v>16</v>
      </c>
      <c r="AL6" s="173" t="s">
        <v>31</v>
      </c>
      <c r="AM6" s="174" t="s">
        <v>17</v>
      </c>
      <c r="AN6" s="252"/>
      <c r="AO6" s="252"/>
      <c r="AP6" s="252"/>
      <c r="AQ6" s="252"/>
      <c r="AR6" s="252"/>
      <c r="AS6" s="246"/>
      <c r="AT6" s="26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5" customFormat="1" ht="12.75" customHeight="1">
      <c r="A7" s="175">
        <v>1</v>
      </c>
      <c r="B7" s="175">
        <v>1</v>
      </c>
      <c r="C7" s="175">
        <v>2</v>
      </c>
      <c r="D7" s="175">
        <v>3</v>
      </c>
      <c r="E7" s="175">
        <v>4</v>
      </c>
      <c r="F7" s="175">
        <v>5</v>
      </c>
      <c r="G7" s="175">
        <v>6</v>
      </c>
      <c r="H7" s="175">
        <v>7</v>
      </c>
      <c r="I7" s="175">
        <v>8</v>
      </c>
      <c r="J7" s="175">
        <v>9</v>
      </c>
      <c r="K7" s="175">
        <v>10</v>
      </c>
      <c r="L7" s="175">
        <v>11</v>
      </c>
      <c r="M7" s="175">
        <v>12</v>
      </c>
      <c r="N7" s="175">
        <v>13</v>
      </c>
      <c r="O7" s="175">
        <v>14</v>
      </c>
      <c r="P7" s="175">
        <v>15</v>
      </c>
      <c r="Q7" s="175">
        <v>16</v>
      </c>
      <c r="R7" s="175">
        <v>17</v>
      </c>
      <c r="S7" s="175">
        <v>18</v>
      </c>
      <c r="T7" s="175">
        <v>19</v>
      </c>
      <c r="U7" s="175">
        <v>20</v>
      </c>
      <c r="V7" s="175">
        <v>21</v>
      </c>
      <c r="W7" s="175">
        <v>22</v>
      </c>
      <c r="X7" s="175">
        <v>23</v>
      </c>
      <c r="Y7" s="175">
        <v>24</v>
      </c>
      <c r="Z7" s="175">
        <v>25</v>
      </c>
      <c r="AA7" s="175">
        <v>26</v>
      </c>
      <c r="AB7" s="175">
        <v>27</v>
      </c>
      <c r="AC7" s="175">
        <v>28</v>
      </c>
      <c r="AD7" s="175">
        <v>29</v>
      </c>
      <c r="AE7" s="175">
        <v>30</v>
      </c>
      <c r="AF7" s="175">
        <v>31</v>
      </c>
      <c r="AG7" s="175">
        <v>32</v>
      </c>
      <c r="AH7" s="175">
        <v>33</v>
      </c>
      <c r="AI7" s="175">
        <v>34</v>
      </c>
      <c r="AJ7" s="175">
        <v>35</v>
      </c>
      <c r="AK7" s="175">
        <v>36</v>
      </c>
      <c r="AL7" s="175">
        <v>37</v>
      </c>
      <c r="AM7" s="175">
        <v>38</v>
      </c>
      <c r="AN7" s="175">
        <v>39</v>
      </c>
      <c r="AO7" s="175">
        <v>40</v>
      </c>
      <c r="AP7" s="175">
        <v>41</v>
      </c>
      <c r="AQ7" s="175">
        <v>42</v>
      </c>
      <c r="AR7" s="175">
        <v>43</v>
      </c>
      <c r="AS7" s="175">
        <v>44</v>
      </c>
      <c r="AT7" s="214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8" customFormat="1" ht="21" customHeight="1">
      <c r="A8" s="176" t="s">
        <v>154</v>
      </c>
      <c r="B8" s="179" t="s">
        <v>171</v>
      </c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0"/>
      <c r="W8" s="180"/>
      <c r="X8" s="180"/>
      <c r="Y8" s="180"/>
      <c r="Z8" s="180"/>
      <c r="AA8" s="180"/>
      <c r="AB8" s="180"/>
      <c r="AC8" s="180"/>
      <c r="AD8" s="180"/>
      <c r="AE8" s="180"/>
      <c r="AF8" s="180"/>
      <c r="AG8" s="180"/>
      <c r="AH8" s="180"/>
      <c r="AI8" s="180"/>
      <c r="AJ8" s="180"/>
      <c r="AK8" s="180"/>
      <c r="AL8" s="180"/>
      <c r="AM8" s="180"/>
      <c r="AN8" s="180"/>
      <c r="AO8" s="180"/>
      <c r="AP8" s="180"/>
      <c r="AQ8" s="180"/>
      <c r="AR8" s="180"/>
      <c r="AS8" s="181"/>
      <c r="AT8" s="177"/>
    </row>
    <row r="9" spans="1:91" s="65" customFormat="1" ht="18" customHeight="1">
      <c r="A9" s="253">
        <v>1</v>
      </c>
      <c r="B9" s="253" t="s">
        <v>159</v>
      </c>
      <c r="C9" s="255" t="str">
        <f>VLOOKUP(B9,DS,2,0)</f>
        <v>Nguyễn Thị Thu Sương</v>
      </c>
      <c r="D9" s="257" t="str">
        <f>VLOOKUP(B9,DS,3,0)</f>
        <v>Kinh Doanh</v>
      </c>
      <c r="E9" s="66" t="s">
        <v>32</v>
      </c>
      <c r="F9" s="141">
        <v>8</v>
      </c>
      <c r="G9" s="141">
        <v>8</v>
      </c>
      <c r="H9" s="141">
        <v>8</v>
      </c>
      <c r="I9" s="141"/>
      <c r="J9" s="141">
        <v>8</v>
      </c>
      <c r="K9" s="141">
        <v>8</v>
      </c>
      <c r="L9" s="141">
        <v>8</v>
      </c>
      <c r="M9" s="141">
        <v>8</v>
      </c>
      <c r="N9" s="141">
        <v>8</v>
      </c>
      <c r="O9" s="141">
        <v>8</v>
      </c>
      <c r="P9" s="141"/>
      <c r="Q9" s="141">
        <v>8</v>
      </c>
      <c r="R9" s="141">
        <v>8</v>
      </c>
      <c r="S9" s="141">
        <v>8</v>
      </c>
      <c r="T9" s="141">
        <v>8</v>
      </c>
      <c r="U9" s="141">
        <v>8</v>
      </c>
      <c r="V9" s="141">
        <v>8</v>
      </c>
      <c r="W9" s="141"/>
      <c r="X9" s="141">
        <v>8</v>
      </c>
      <c r="Y9" s="141">
        <v>8</v>
      </c>
      <c r="Z9" s="141">
        <v>8</v>
      </c>
      <c r="AA9" s="141">
        <v>8</v>
      </c>
      <c r="AB9" s="141">
        <v>8</v>
      </c>
      <c r="AC9" s="141">
        <v>8</v>
      </c>
      <c r="AD9" s="141"/>
      <c r="AE9" s="141">
        <v>8</v>
      </c>
      <c r="AF9" s="141">
        <v>8</v>
      </c>
      <c r="AG9" s="141">
        <v>8</v>
      </c>
      <c r="AH9" s="141">
        <v>8</v>
      </c>
      <c r="AI9" s="141">
        <v>8</v>
      </c>
      <c r="AJ9" s="141">
        <v>8</v>
      </c>
      <c r="AK9" s="259">
        <f>((SUM(F9:AJ9))/8)-(SUMIF($F$6:$AJ$6,"C.Nhật",F9:AJ9)/8)</f>
        <v>27</v>
      </c>
      <c r="AL9" s="259">
        <f>SUM(F10:AJ10)/8*1.5</f>
        <v>0</v>
      </c>
      <c r="AM9" s="262">
        <f>SUMIF($F$6:$AJ$6,"C.Nhật",$F9:$AJ10)/8*2</f>
        <v>0</v>
      </c>
      <c r="AN9" s="264">
        <f>SUM(AK9:AM10)</f>
        <v>27</v>
      </c>
      <c r="AO9" s="266">
        <v>0</v>
      </c>
      <c r="AP9" s="264"/>
      <c r="AQ9" s="264"/>
      <c r="AR9" s="264"/>
      <c r="AS9" s="268"/>
      <c r="AT9" s="214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5" customFormat="1" ht="18" customHeight="1">
      <c r="A10" s="254"/>
      <c r="B10" s="254"/>
      <c r="C10" s="256"/>
      <c r="D10" s="258"/>
      <c r="E10" s="67" t="s">
        <v>31</v>
      </c>
      <c r="F10" s="142"/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260"/>
      <c r="AL10" s="260"/>
      <c r="AM10" s="263"/>
      <c r="AN10" s="265"/>
      <c r="AO10" s="267"/>
      <c r="AP10" s="265"/>
      <c r="AQ10" s="265"/>
      <c r="AR10" s="265"/>
      <c r="AS10" s="269"/>
      <c r="AT10" s="214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5" customFormat="1" ht="18" customHeight="1">
      <c r="A11" s="253">
        <v>2</v>
      </c>
      <c r="B11" s="253" t="s">
        <v>160</v>
      </c>
      <c r="C11" s="255" t="str">
        <f>VLOOKUP(B11,DS,2,0)</f>
        <v>Trần Anh Nhựt</v>
      </c>
      <c r="D11" s="257" t="str">
        <f>VLOOKUP(B11,DS,3,0)</f>
        <v>Thiết Kế</v>
      </c>
      <c r="E11" s="66" t="s">
        <v>32</v>
      </c>
      <c r="F11" s="141">
        <v>8</v>
      </c>
      <c r="G11" s="141">
        <v>8</v>
      </c>
      <c r="H11" s="141">
        <v>8</v>
      </c>
      <c r="I11" s="141"/>
      <c r="J11" s="141">
        <v>8</v>
      </c>
      <c r="K11" s="141">
        <v>8</v>
      </c>
      <c r="L11" s="141">
        <v>8</v>
      </c>
      <c r="M11" s="141">
        <v>8</v>
      </c>
      <c r="N11" s="141">
        <v>8</v>
      </c>
      <c r="O11" s="141">
        <v>8</v>
      </c>
      <c r="P11" s="141"/>
      <c r="Q11" s="141">
        <v>8</v>
      </c>
      <c r="R11" s="141">
        <v>8</v>
      </c>
      <c r="S11" s="141">
        <v>8</v>
      </c>
      <c r="T11" s="141">
        <v>8</v>
      </c>
      <c r="U11" s="141">
        <v>8</v>
      </c>
      <c r="V11" s="141">
        <v>8</v>
      </c>
      <c r="W11" s="141"/>
      <c r="X11" s="141">
        <v>8</v>
      </c>
      <c r="Y11" s="141">
        <v>8</v>
      </c>
      <c r="Z11" s="141">
        <v>8</v>
      </c>
      <c r="AA11" s="141">
        <v>8</v>
      </c>
      <c r="AB11" s="141">
        <v>8</v>
      </c>
      <c r="AC11" s="141">
        <v>8</v>
      </c>
      <c r="AD11" s="141"/>
      <c r="AE11" s="141">
        <v>8</v>
      </c>
      <c r="AF11" s="141">
        <v>8</v>
      </c>
      <c r="AG11" s="141">
        <v>8</v>
      </c>
      <c r="AH11" s="141">
        <v>8</v>
      </c>
      <c r="AI11" s="141">
        <v>8</v>
      </c>
      <c r="AJ11" s="141">
        <v>8</v>
      </c>
      <c r="AK11" s="259">
        <f t="shared" ref="AK11" si="2">((SUM(F11:AJ11))/8)-(SUMIF($F$6:$AJ$6,"C.Nhật",F11:AJ11)/8)</f>
        <v>27</v>
      </c>
      <c r="AL11" s="259">
        <f t="shared" ref="AL11" si="3">SUM(F12:AJ12)/8*1.5</f>
        <v>0</v>
      </c>
      <c r="AM11" s="262">
        <f t="shared" ref="AM11:AM13" si="4">SUMIF($F$6:$AJ$6,"C.Nhật",$F11:$AJ12)/8*2</f>
        <v>0</v>
      </c>
      <c r="AN11" s="264">
        <f t="shared" ref="AN11" si="5">SUM(AK11:AM12)</f>
        <v>27</v>
      </c>
      <c r="AO11" s="266">
        <v>0</v>
      </c>
      <c r="AP11" s="264"/>
      <c r="AQ11" s="264"/>
      <c r="AR11" s="264"/>
      <c r="AS11" s="268"/>
      <c r="AT11" s="22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5" customFormat="1" ht="18" customHeight="1">
      <c r="A12" s="254"/>
      <c r="B12" s="254"/>
      <c r="C12" s="256"/>
      <c r="D12" s="258"/>
      <c r="E12" s="67" t="s">
        <v>31</v>
      </c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260"/>
      <c r="AL12" s="260"/>
      <c r="AM12" s="263"/>
      <c r="AN12" s="265"/>
      <c r="AO12" s="267"/>
      <c r="AP12" s="265"/>
      <c r="AQ12" s="265"/>
      <c r="AR12" s="265"/>
      <c r="AS12" s="269"/>
      <c r="AT12" s="22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5" customFormat="1" ht="18" customHeight="1">
      <c r="A13" s="253">
        <v>3</v>
      </c>
      <c r="B13" s="253" t="s">
        <v>168</v>
      </c>
      <c r="C13" s="255" t="str">
        <f>VLOOKUP(B13,DS,2,0)</f>
        <v>Huỳnh Minh Toàn</v>
      </c>
      <c r="D13" s="257" t="str">
        <f>VLOOKUP(B13,DS,3,0)</f>
        <v>Thủ Kho</v>
      </c>
      <c r="E13" s="66" t="s">
        <v>32</v>
      </c>
      <c r="F13" s="141">
        <v>8</v>
      </c>
      <c r="G13" s="141">
        <v>8</v>
      </c>
      <c r="H13" s="141">
        <v>8</v>
      </c>
      <c r="I13" s="141"/>
      <c r="J13" s="141">
        <v>8</v>
      </c>
      <c r="K13" s="141">
        <v>8</v>
      </c>
      <c r="L13" s="141">
        <v>8</v>
      </c>
      <c r="M13" s="141">
        <v>8</v>
      </c>
      <c r="N13" s="141">
        <v>8</v>
      </c>
      <c r="O13" s="141">
        <v>8</v>
      </c>
      <c r="P13" s="141"/>
      <c r="Q13" s="141">
        <v>8</v>
      </c>
      <c r="R13" s="141">
        <v>8</v>
      </c>
      <c r="S13" s="141">
        <v>8</v>
      </c>
      <c r="T13" s="141">
        <v>8</v>
      </c>
      <c r="U13" s="141">
        <v>8</v>
      </c>
      <c r="V13" s="141">
        <v>8</v>
      </c>
      <c r="W13" s="141"/>
      <c r="X13" s="141">
        <v>8</v>
      </c>
      <c r="Y13" s="141">
        <v>8</v>
      </c>
      <c r="Z13" s="141">
        <v>8</v>
      </c>
      <c r="AA13" s="141">
        <v>8</v>
      </c>
      <c r="AB13" s="141">
        <v>8</v>
      </c>
      <c r="AC13" s="141">
        <v>8</v>
      </c>
      <c r="AD13" s="141"/>
      <c r="AE13" s="141">
        <v>8</v>
      </c>
      <c r="AF13" s="141">
        <v>8</v>
      </c>
      <c r="AG13" s="141">
        <v>8</v>
      </c>
      <c r="AH13" s="141">
        <v>8</v>
      </c>
      <c r="AI13" s="141">
        <v>8</v>
      </c>
      <c r="AJ13" s="141">
        <v>8</v>
      </c>
      <c r="AK13" s="259">
        <f t="shared" ref="AK13" si="6">((SUM(F13:AJ13))/8)-(SUMIF($F$6:$AJ$6,"C.Nhật",F13:AJ13)/8)</f>
        <v>27</v>
      </c>
      <c r="AL13" s="259">
        <f t="shared" ref="AL13" si="7">SUM(F14:AJ14)/8*1.5</f>
        <v>0</v>
      </c>
      <c r="AM13" s="262">
        <f t="shared" si="4"/>
        <v>0</v>
      </c>
      <c r="AN13" s="264">
        <f t="shared" ref="AN13" si="8">SUM(AK13:AM14)</f>
        <v>27</v>
      </c>
      <c r="AO13" s="266">
        <v>0</v>
      </c>
      <c r="AP13" s="264"/>
      <c r="AQ13" s="264"/>
      <c r="AR13" s="264"/>
      <c r="AS13" s="268"/>
      <c r="AT13" s="214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5" customFormat="1" ht="18" customHeight="1">
      <c r="A14" s="254"/>
      <c r="B14" s="254"/>
      <c r="C14" s="256"/>
      <c r="D14" s="258"/>
      <c r="E14" s="67" t="s">
        <v>31</v>
      </c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260"/>
      <c r="AL14" s="260"/>
      <c r="AM14" s="263"/>
      <c r="AN14" s="265"/>
      <c r="AO14" s="267"/>
      <c r="AP14" s="265"/>
      <c r="AQ14" s="265"/>
      <c r="AR14" s="265"/>
      <c r="AS14" s="269"/>
      <c r="AT14" s="214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78" customFormat="1" ht="21" customHeight="1">
      <c r="A15" s="176" t="s">
        <v>155</v>
      </c>
      <c r="B15" s="179" t="s">
        <v>158</v>
      </c>
      <c r="C15" s="180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0"/>
      <c r="U15" s="180"/>
      <c r="V15" s="180"/>
      <c r="W15" s="180"/>
      <c r="X15" s="180"/>
      <c r="Y15" s="180"/>
      <c r="Z15" s="180"/>
      <c r="AA15" s="180"/>
      <c r="AB15" s="180"/>
      <c r="AC15" s="180"/>
      <c r="AD15" s="180"/>
      <c r="AE15" s="180"/>
      <c r="AF15" s="180"/>
      <c r="AG15" s="180"/>
      <c r="AH15" s="180"/>
      <c r="AI15" s="180"/>
      <c r="AJ15" s="180"/>
      <c r="AK15" s="180"/>
      <c r="AL15" s="180"/>
      <c r="AM15" s="180"/>
      <c r="AN15" s="180"/>
      <c r="AO15" s="180"/>
      <c r="AP15" s="180"/>
      <c r="AQ15" s="180"/>
      <c r="AR15" s="180"/>
      <c r="AS15" s="181"/>
      <c r="AT15" s="177"/>
    </row>
    <row r="16" spans="1:91" s="65" customFormat="1" ht="18" customHeight="1">
      <c r="A16" s="253">
        <v>1</v>
      </c>
      <c r="B16" s="253" t="s">
        <v>161</v>
      </c>
      <c r="C16" s="255" t="str">
        <f>VLOOKUP(B16,DS,2,0)</f>
        <v>Nguyễn Trường Giang</v>
      </c>
      <c r="D16" s="257" t="str">
        <f>VLOOKUP(B16,DS,3,0)</f>
        <v>Thợ in</v>
      </c>
      <c r="E16" s="66" t="s">
        <v>32</v>
      </c>
      <c r="F16" s="141">
        <v>8</v>
      </c>
      <c r="G16" s="141">
        <v>8</v>
      </c>
      <c r="H16" s="141">
        <v>8</v>
      </c>
      <c r="I16" s="141"/>
      <c r="J16" s="141">
        <v>8</v>
      </c>
      <c r="K16" s="141">
        <v>8</v>
      </c>
      <c r="L16" s="141">
        <v>8</v>
      </c>
      <c r="M16" s="141">
        <v>8</v>
      </c>
      <c r="N16" s="141">
        <v>8</v>
      </c>
      <c r="O16" s="141">
        <v>8</v>
      </c>
      <c r="P16" s="141"/>
      <c r="Q16" s="141">
        <v>8</v>
      </c>
      <c r="R16" s="141">
        <v>8</v>
      </c>
      <c r="S16" s="141">
        <v>8</v>
      </c>
      <c r="T16" s="141">
        <v>8</v>
      </c>
      <c r="U16" s="141">
        <v>8</v>
      </c>
      <c r="V16" s="141">
        <v>8</v>
      </c>
      <c r="W16" s="141"/>
      <c r="X16" s="141">
        <v>8</v>
      </c>
      <c r="Y16" s="141">
        <v>8</v>
      </c>
      <c r="Z16" s="141">
        <v>8</v>
      </c>
      <c r="AA16" s="141">
        <v>8</v>
      </c>
      <c r="AB16" s="141">
        <v>8</v>
      </c>
      <c r="AC16" s="141">
        <v>8</v>
      </c>
      <c r="AD16" s="141"/>
      <c r="AE16" s="141">
        <v>8</v>
      </c>
      <c r="AF16" s="141">
        <v>8</v>
      </c>
      <c r="AG16" s="141">
        <v>8</v>
      </c>
      <c r="AH16" s="141">
        <v>8</v>
      </c>
      <c r="AI16" s="141">
        <v>8</v>
      </c>
      <c r="AJ16" s="141">
        <v>8</v>
      </c>
      <c r="AK16" s="259">
        <f t="shared" ref="AK16" si="9">((SUM(F16:AJ16))/8)-(SUMIF($F$6:$AJ$6,"C.Nhật",F16:AJ16)/8)</f>
        <v>27</v>
      </c>
      <c r="AL16" s="259">
        <f t="shared" ref="AL16" si="10">SUM(F17:AJ17)/8*1.5</f>
        <v>0</v>
      </c>
      <c r="AM16" s="262">
        <f>SUMIF($F$6:$AJ$6,"C.Nhật",$F16:$AJ17)/8*2</f>
        <v>0</v>
      </c>
      <c r="AN16" s="264">
        <f>SUM(AK16:AM17)</f>
        <v>27</v>
      </c>
      <c r="AO16" s="266">
        <v>0</v>
      </c>
      <c r="AP16" s="264"/>
      <c r="AQ16" s="264"/>
      <c r="AR16" s="264"/>
      <c r="AS16" s="268"/>
      <c r="AT16" s="21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5" customFormat="1" ht="18" customHeight="1">
      <c r="A17" s="254"/>
      <c r="B17" s="254"/>
      <c r="C17" s="256"/>
      <c r="D17" s="258"/>
      <c r="E17" s="67" t="s">
        <v>31</v>
      </c>
      <c r="F17" s="142"/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  <c r="AA17" s="142"/>
      <c r="AB17" s="142"/>
      <c r="AC17" s="142"/>
      <c r="AD17" s="142"/>
      <c r="AE17" s="142"/>
      <c r="AF17" s="142"/>
      <c r="AG17" s="142"/>
      <c r="AH17" s="142"/>
      <c r="AI17" s="142"/>
      <c r="AJ17" s="142"/>
      <c r="AK17" s="260"/>
      <c r="AL17" s="260"/>
      <c r="AM17" s="263"/>
      <c r="AN17" s="265"/>
      <c r="AO17" s="267"/>
      <c r="AP17" s="265"/>
      <c r="AQ17" s="265"/>
      <c r="AR17" s="265"/>
      <c r="AS17" s="269"/>
      <c r="AT17" s="21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5" customFormat="1" ht="18" customHeight="1">
      <c r="A18" s="253">
        <v>2</v>
      </c>
      <c r="B18" s="253" t="s">
        <v>162</v>
      </c>
      <c r="C18" s="255" t="str">
        <f>VLOOKUP(B18,DS,2,0)</f>
        <v>Võ Văn Kiệt</v>
      </c>
      <c r="D18" s="257" t="str">
        <f>VLOOKUP(B18,DS,3,0)</f>
        <v>Công Đoạn 1</v>
      </c>
      <c r="E18" s="66" t="s">
        <v>32</v>
      </c>
      <c r="F18" s="141">
        <v>8</v>
      </c>
      <c r="G18" s="141">
        <v>8</v>
      </c>
      <c r="H18" s="141">
        <v>8</v>
      </c>
      <c r="I18" s="141"/>
      <c r="J18" s="141">
        <v>8</v>
      </c>
      <c r="K18" s="141">
        <v>8</v>
      </c>
      <c r="L18" s="141">
        <v>8</v>
      </c>
      <c r="M18" s="141">
        <v>8</v>
      </c>
      <c r="N18" s="141">
        <v>8</v>
      </c>
      <c r="O18" s="141">
        <v>8</v>
      </c>
      <c r="P18" s="141"/>
      <c r="Q18" s="141">
        <v>8</v>
      </c>
      <c r="R18" s="141">
        <v>8</v>
      </c>
      <c r="S18" s="141">
        <v>8</v>
      </c>
      <c r="T18" s="141">
        <v>8</v>
      </c>
      <c r="U18" s="141">
        <v>8</v>
      </c>
      <c r="V18" s="141">
        <v>8</v>
      </c>
      <c r="W18" s="141"/>
      <c r="X18" s="141">
        <v>8</v>
      </c>
      <c r="Y18" s="141">
        <v>8</v>
      </c>
      <c r="Z18" s="141">
        <v>8</v>
      </c>
      <c r="AA18" s="141">
        <v>8</v>
      </c>
      <c r="AB18" s="141">
        <v>8</v>
      </c>
      <c r="AC18" s="141">
        <v>8</v>
      </c>
      <c r="AD18" s="141"/>
      <c r="AE18" s="141">
        <v>8</v>
      </c>
      <c r="AF18" s="141">
        <v>8</v>
      </c>
      <c r="AG18" s="141">
        <v>8</v>
      </c>
      <c r="AH18" s="141">
        <v>8</v>
      </c>
      <c r="AI18" s="141">
        <v>8</v>
      </c>
      <c r="AJ18" s="141">
        <v>8</v>
      </c>
      <c r="AK18" s="259">
        <f t="shared" ref="AK18" si="11">((SUM(F18:AJ18))/8)-(SUMIF($F$6:$AJ$6,"C.Nhật",F18:AJ18)/8)</f>
        <v>27</v>
      </c>
      <c r="AL18" s="259">
        <f t="shared" ref="AL18" si="12">SUM(F19:AJ19)/8*1.5</f>
        <v>0</v>
      </c>
      <c r="AM18" s="262">
        <f>SUMIF($F$6:$AJ$6,"C.Nhật",$F18:$AJ19)/8*2</f>
        <v>0</v>
      </c>
      <c r="AN18" s="264">
        <f t="shared" ref="AN18" si="13">SUM(AK18:AM19)</f>
        <v>27</v>
      </c>
      <c r="AO18" s="266">
        <v>0</v>
      </c>
      <c r="AP18" s="264"/>
      <c r="AQ18" s="264"/>
      <c r="AR18" s="264"/>
      <c r="AS18" s="268"/>
      <c r="AT18" s="22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5" customFormat="1" ht="18" customHeight="1">
      <c r="A19" s="254"/>
      <c r="B19" s="254"/>
      <c r="C19" s="256"/>
      <c r="D19" s="258"/>
      <c r="E19" s="67" t="s">
        <v>31</v>
      </c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  <c r="Y19" s="142"/>
      <c r="Z19" s="142"/>
      <c r="AA19" s="142"/>
      <c r="AB19" s="142"/>
      <c r="AC19" s="142"/>
      <c r="AD19" s="142"/>
      <c r="AE19" s="142"/>
      <c r="AF19" s="142"/>
      <c r="AG19" s="142"/>
      <c r="AH19" s="142"/>
      <c r="AI19" s="142"/>
      <c r="AJ19" s="142"/>
      <c r="AK19" s="260"/>
      <c r="AL19" s="260"/>
      <c r="AM19" s="263"/>
      <c r="AN19" s="265"/>
      <c r="AO19" s="267"/>
      <c r="AP19" s="265"/>
      <c r="AQ19" s="265"/>
      <c r="AR19" s="265"/>
      <c r="AS19" s="269"/>
      <c r="AT19" s="22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5" customFormat="1" ht="18" customHeight="1">
      <c r="A20" s="253">
        <v>3</v>
      </c>
      <c r="B20" s="253" t="s">
        <v>163</v>
      </c>
      <c r="C20" s="255" t="str">
        <f>VLOOKUP(B20,DS,2,0)</f>
        <v>Diệp Văn Lân</v>
      </c>
      <c r="D20" s="257" t="str">
        <f>VLOOKUP(B20,DS,3,0)</f>
        <v>Công Đoạn 1</v>
      </c>
      <c r="E20" s="66" t="s">
        <v>32</v>
      </c>
      <c r="F20" s="141">
        <v>8</v>
      </c>
      <c r="G20" s="141">
        <v>8</v>
      </c>
      <c r="H20" s="141">
        <v>8</v>
      </c>
      <c r="I20" s="141"/>
      <c r="J20" s="141">
        <v>8</v>
      </c>
      <c r="K20" s="141">
        <v>8</v>
      </c>
      <c r="L20" s="141">
        <v>8</v>
      </c>
      <c r="M20" s="141">
        <v>8</v>
      </c>
      <c r="N20" s="141">
        <v>8</v>
      </c>
      <c r="O20" s="141">
        <v>8</v>
      </c>
      <c r="P20" s="141"/>
      <c r="Q20" s="141">
        <v>8</v>
      </c>
      <c r="R20" s="141">
        <v>8</v>
      </c>
      <c r="S20" s="141">
        <v>8</v>
      </c>
      <c r="T20" s="141">
        <v>8</v>
      </c>
      <c r="U20" s="141">
        <v>8</v>
      </c>
      <c r="V20" s="141">
        <v>8</v>
      </c>
      <c r="W20" s="141"/>
      <c r="X20" s="141">
        <v>8</v>
      </c>
      <c r="Y20" s="141">
        <v>8</v>
      </c>
      <c r="Z20" s="141">
        <v>8</v>
      </c>
      <c r="AA20" s="141">
        <v>8</v>
      </c>
      <c r="AB20" s="141">
        <v>8</v>
      </c>
      <c r="AC20" s="141">
        <v>8</v>
      </c>
      <c r="AD20" s="141"/>
      <c r="AE20" s="141">
        <v>8</v>
      </c>
      <c r="AF20" s="141">
        <v>8</v>
      </c>
      <c r="AG20" s="141">
        <v>8</v>
      </c>
      <c r="AH20" s="141">
        <v>8</v>
      </c>
      <c r="AI20" s="141">
        <v>8</v>
      </c>
      <c r="AJ20" s="141">
        <v>8</v>
      </c>
      <c r="AK20" s="259">
        <f t="shared" ref="AK20" si="14">((SUM(F20:AJ20))/8)-(SUMIF($F$6:$AJ$6,"C.Nhật",F20:AJ20)/8)</f>
        <v>27</v>
      </c>
      <c r="AL20" s="259">
        <f t="shared" ref="AL20" si="15">SUM(F21:AJ21)/8*1.5</f>
        <v>0</v>
      </c>
      <c r="AM20" s="262">
        <f>SUMIF($F$6:$AJ$6,"C.Nhật",$F20:$AJ21)/8*2</f>
        <v>0</v>
      </c>
      <c r="AN20" s="264">
        <f t="shared" ref="AN20" si="16">SUM(AK20:AM21)</f>
        <v>27</v>
      </c>
      <c r="AO20" s="266">
        <v>0</v>
      </c>
      <c r="AP20" s="264"/>
      <c r="AQ20" s="264"/>
      <c r="AR20" s="264"/>
      <c r="AS20" s="268"/>
      <c r="AT20" s="22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5" customFormat="1" ht="18" customHeight="1">
      <c r="A21" s="254"/>
      <c r="B21" s="254"/>
      <c r="C21" s="256"/>
      <c r="D21" s="258"/>
      <c r="E21" s="67" t="s">
        <v>31</v>
      </c>
      <c r="F21" s="142"/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142"/>
      <c r="AA21" s="142"/>
      <c r="AB21" s="142"/>
      <c r="AC21" s="142"/>
      <c r="AD21" s="142"/>
      <c r="AE21" s="142"/>
      <c r="AF21" s="142"/>
      <c r="AG21" s="142"/>
      <c r="AH21" s="142"/>
      <c r="AI21" s="142"/>
      <c r="AJ21" s="142"/>
      <c r="AK21" s="260"/>
      <c r="AL21" s="260"/>
      <c r="AM21" s="263"/>
      <c r="AN21" s="265"/>
      <c r="AO21" s="267"/>
      <c r="AP21" s="265"/>
      <c r="AQ21" s="265"/>
      <c r="AR21" s="265"/>
      <c r="AS21" s="269"/>
      <c r="AT21" s="22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5" customFormat="1" ht="18" customHeight="1">
      <c r="A22" s="253">
        <v>4</v>
      </c>
      <c r="B22" s="253" t="s">
        <v>176</v>
      </c>
      <c r="C22" s="255" t="str">
        <f>VLOOKUP(B22,DS,2,0)</f>
        <v>Dương Thế Kiệt</v>
      </c>
      <c r="D22" s="257" t="str">
        <f>VLOOKUP(B22,DS,3,0)</f>
        <v>Công Đoạn 1</v>
      </c>
      <c r="E22" s="66" t="s">
        <v>32</v>
      </c>
      <c r="F22" s="141">
        <v>8</v>
      </c>
      <c r="G22" s="141">
        <v>8</v>
      </c>
      <c r="H22" s="141">
        <v>8</v>
      </c>
      <c r="I22" s="141"/>
      <c r="J22" s="141">
        <v>8</v>
      </c>
      <c r="K22" s="141">
        <v>8</v>
      </c>
      <c r="L22" s="141">
        <v>8</v>
      </c>
      <c r="M22" s="141">
        <v>8</v>
      </c>
      <c r="N22" s="141">
        <v>8</v>
      </c>
      <c r="O22" s="141">
        <v>8</v>
      </c>
      <c r="P22" s="141"/>
      <c r="Q22" s="141">
        <v>8</v>
      </c>
      <c r="R22" s="141">
        <v>8</v>
      </c>
      <c r="S22" s="141">
        <v>8</v>
      </c>
      <c r="T22" s="141">
        <v>8</v>
      </c>
      <c r="U22" s="141">
        <v>8</v>
      </c>
      <c r="V22" s="141">
        <v>8</v>
      </c>
      <c r="W22" s="141"/>
      <c r="X22" s="141">
        <v>8</v>
      </c>
      <c r="Y22" s="141">
        <v>8</v>
      </c>
      <c r="Z22" s="141">
        <v>8</v>
      </c>
      <c r="AA22" s="141">
        <v>8</v>
      </c>
      <c r="AB22" s="141">
        <v>8</v>
      </c>
      <c r="AC22" s="141">
        <v>8</v>
      </c>
      <c r="AD22" s="141"/>
      <c r="AE22" s="141">
        <v>8</v>
      </c>
      <c r="AF22" s="141">
        <v>8</v>
      </c>
      <c r="AG22" s="141">
        <v>8</v>
      </c>
      <c r="AH22" s="141">
        <v>8</v>
      </c>
      <c r="AI22" s="141">
        <v>8</v>
      </c>
      <c r="AJ22" s="141">
        <v>8</v>
      </c>
      <c r="AK22" s="259">
        <f t="shared" ref="AK22" si="17">((SUM(F22:AJ22))/8)-(SUMIF($F$6:$AJ$6,"C.Nhật",F22:AJ22)/8)</f>
        <v>27</v>
      </c>
      <c r="AL22" s="259">
        <f t="shared" ref="AL22" si="18">SUM(F23:AJ23)/8*1.5</f>
        <v>0</v>
      </c>
      <c r="AM22" s="262">
        <f>SUMIF($F$6:$AJ$6,"C.Nhật",$F22:$AJ23)/8*2</f>
        <v>0</v>
      </c>
      <c r="AN22" s="264">
        <f t="shared" ref="AN22" si="19">SUM(AK22:AM23)</f>
        <v>27</v>
      </c>
      <c r="AO22" s="266">
        <v>0</v>
      </c>
      <c r="AP22" s="264"/>
      <c r="AQ22" s="264"/>
      <c r="AR22" s="264"/>
      <c r="AS22" s="268"/>
      <c r="AT22" s="22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5" customFormat="1" ht="18" customHeight="1">
      <c r="A23" s="254"/>
      <c r="B23" s="254"/>
      <c r="C23" s="256"/>
      <c r="D23" s="258"/>
      <c r="E23" s="67" t="s">
        <v>31</v>
      </c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  <c r="AA23" s="142"/>
      <c r="AB23" s="142"/>
      <c r="AC23" s="142"/>
      <c r="AD23" s="142"/>
      <c r="AE23" s="142"/>
      <c r="AF23" s="142"/>
      <c r="AG23" s="142"/>
      <c r="AH23" s="142"/>
      <c r="AI23" s="142"/>
      <c r="AJ23" s="142"/>
      <c r="AK23" s="260"/>
      <c r="AL23" s="260"/>
      <c r="AM23" s="263"/>
      <c r="AN23" s="265"/>
      <c r="AO23" s="267"/>
      <c r="AP23" s="265"/>
      <c r="AQ23" s="265"/>
      <c r="AR23" s="265"/>
      <c r="AS23" s="269"/>
      <c r="AT23" s="22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5" customFormat="1" ht="18" customHeight="1">
      <c r="A24" s="253">
        <v>5</v>
      </c>
      <c r="B24" s="253" t="s">
        <v>177</v>
      </c>
      <c r="C24" s="255" t="str">
        <f>VLOOKUP(B24,DS,2,0)</f>
        <v>Lê Văn Hữu</v>
      </c>
      <c r="D24" s="257" t="str">
        <f>VLOOKUP(B24,DS,3,0)</f>
        <v>Công Đoạn 2</v>
      </c>
      <c r="E24" s="66" t="s">
        <v>32</v>
      </c>
      <c r="F24" s="141">
        <v>8</v>
      </c>
      <c r="G24" s="141">
        <v>8</v>
      </c>
      <c r="H24" s="141">
        <v>8</v>
      </c>
      <c r="I24" s="141"/>
      <c r="J24" s="141">
        <v>8</v>
      </c>
      <c r="K24" s="141">
        <v>8</v>
      </c>
      <c r="L24" s="141">
        <v>8</v>
      </c>
      <c r="M24" s="141">
        <v>8</v>
      </c>
      <c r="N24" s="141">
        <v>8</v>
      </c>
      <c r="O24" s="141">
        <v>8</v>
      </c>
      <c r="P24" s="141"/>
      <c r="Q24" s="141">
        <v>8</v>
      </c>
      <c r="R24" s="141">
        <v>8</v>
      </c>
      <c r="S24" s="141">
        <v>8</v>
      </c>
      <c r="T24" s="141">
        <v>8</v>
      </c>
      <c r="U24" s="141">
        <v>8</v>
      </c>
      <c r="V24" s="141">
        <v>8</v>
      </c>
      <c r="W24" s="141"/>
      <c r="X24" s="141">
        <v>8</v>
      </c>
      <c r="Y24" s="141">
        <v>8</v>
      </c>
      <c r="Z24" s="141">
        <v>8</v>
      </c>
      <c r="AA24" s="141">
        <v>8</v>
      </c>
      <c r="AB24" s="141">
        <v>8</v>
      </c>
      <c r="AC24" s="141">
        <v>8</v>
      </c>
      <c r="AD24" s="141"/>
      <c r="AE24" s="141">
        <v>8</v>
      </c>
      <c r="AF24" s="141">
        <v>8</v>
      </c>
      <c r="AG24" s="141">
        <v>8</v>
      </c>
      <c r="AH24" s="141">
        <v>8</v>
      </c>
      <c r="AI24" s="141">
        <v>8</v>
      </c>
      <c r="AJ24" s="141">
        <v>8</v>
      </c>
      <c r="AK24" s="259">
        <f t="shared" ref="AK24" si="20">((SUM(F24:AJ24))/8)-(SUMIF($F$6:$AJ$6,"C.Nhật",F24:AJ24)/8)</f>
        <v>27</v>
      </c>
      <c r="AL24" s="259">
        <f t="shared" ref="AL24" si="21">SUM(F25:AJ25)/8*1.5</f>
        <v>0</v>
      </c>
      <c r="AM24" s="262">
        <f>SUMIF($F$6:$AJ$6,"C.Nhật",$F24:$AJ25)/8*2</f>
        <v>0</v>
      </c>
      <c r="AN24" s="264">
        <f t="shared" ref="AN24" si="22">SUM(AK24:AM25)</f>
        <v>27</v>
      </c>
      <c r="AO24" s="266">
        <v>0</v>
      </c>
      <c r="AP24" s="264"/>
      <c r="AQ24" s="264"/>
      <c r="AR24" s="264"/>
      <c r="AS24" s="268"/>
      <c r="AT24" s="22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5" customFormat="1" ht="18" customHeight="1">
      <c r="A25" s="254"/>
      <c r="B25" s="254"/>
      <c r="C25" s="256"/>
      <c r="D25" s="258"/>
      <c r="E25" s="67" t="s">
        <v>31</v>
      </c>
      <c r="F25" s="142"/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  <c r="AA25" s="142"/>
      <c r="AB25" s="142"/>
      <c r="AC25" s="142"/>
      <c r="AD25" s="142"/>
      <c r="AE25" s="142"/>
      <c r="AF25" s="142"/>
      <c r="AG25" s="142"/>
      <c r="AH25" s="142"/>
      <c r="AI25" s="142"/>
      <c r="AJ25" s="142"/>
      <c r="AK25" s="260"/>
      <c r="AL25" s="260"/>
      <c r="AM25" s="263"/>
      <c r="AN25" s="265"/>
      <c r="AO25" s="267"/>
      <c r="AP25" s="265"/>
      <c r="AQ25" s="265"/>
      <c r="AR25" s="265"/>
      <c r="AS25" s="269"/>
      <c r="AT25" s="22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5" customFormat="1" ht="18" customHeight="1">
      <c r="A26" s="253">
        <v>6</v>
      </c>
      <c r="B26" s="253" t="s">
        <v>178</v>
      </c>
      <c r="C26" s="255" t="str">
        <f>VLOOKUP(B26,DS,2,0)</f>
        <v>Bùi Trường Giang</v>
      </c>
      <c r="D26" s="257" t="str">
        <f>VLOOKUP(B26,DS,3,0)</f>
        <v>Công Đoạn 2</v>
      </c>
      <c r="E26" s="66" t="s">
        <v>32</v>
      </c>
      <c r="F26" s="141">
        <v>8</v>
      </c>
      <c r="G26" s="141">
        <v>8</v>
      </c>
      <c r="H26" s="141">
        <v>8</v>
      </c>
      <c r="I26" s="141"/>
      <c r="J26" s="141">
        <v>8</v>
      </c>
      <c r="K26" s="141">
        <v>8</v>
      </c>
      <c r="L26" s="141">
        <v>8</v>
      </c>
      <c r="M26" s="141">
        <v>8</v>
      </c>
      <c r="N26" s="141">
        <v>8</v>
      </c>
      <c r="O26" s="141">
        <v>8</v>
      </c>
      <c r="P26" s="141"/>
      <c r="Q26" s="141">
        <v>8</v>
      </c>
      <c r="R26" s="141">
        <v>8</v>
      </c>
      <c r="S26" s="141">
        <v>8</v>
      </c>
      <c r="T26" s="141">
        <v>8</v>
      </c>
      <c r="U26" s="141">
        <v>8</v>
      </c>
      <c r="V26" s="141">
        <v>8</v>
      </c>
      <c r="W26" s="141"/>
      <c r="X26" s="141">
        <v>8</v>
      </c>
      <c r="Y26" s="141">
        <v>8</v>
      </c>
      <c r="Z26" s="141">
        <v>8</v>
      </c>
      <c r="AA26" s="141">
        <v>8</v>
      </c>
      <c r="AB26" s="141">
        <v>8</v>
      </c>
      <c r="AC26" s="141">
        <v>8</v>
      </c>
      <c r="AD26" s="141"/>
      <c r="AE26" s="141">
        <v>8</v>
      </c>
      <c r="AF26" s="141">
        <v>8</v>
      </c>
      <c r="AG26" s="141">
        <v>8</v>
      </c>
      <c r="AH26" s="141">
        <v>8</v>
      </c>
      <c r="AI26" s="141">
        <v>8</v>
      </c>
      <c r="AJ26" s="141">
        <v>8</v>
      </c>
      <c r="AK26" s="259">
        <f t="shared" ref="AK26" si="23">((SUM(F26:AJ26))/8)-(SUMIF($F$6:$AJ$6,"C.Nhật",F26:AJ26)/8)</f>
        <v>27</v>
      </c>
      <c r="AL26" s="259">
        <f t="shared" ref="AL26" si="24">SUM(F27:AJ27)/8*1.5</f>
        <v>0</v>
      </c>
      <c r="AM26" s="262">
        <f>SUMIF($F$6:$AJ$6,"C.Nhật",$F26:$AJ27)/8*2</f>
        <v>0</v>
      </c>
      <c r="AN26" s="264">
        <f t="shared" ref="AN26" si="25">SUM(AK26:AM27)</f>
        <v>27</v>
      </c>
      <c r="AO26" s="266">
        <v>0</v>
      </c>
      <c r="AP26" s="264"/>
      <c r="AQ26" s="264"/>
      <c r="AR26" s="264"/>
      <c r="AS26" s="268"/>
      <c r="AT26" s="219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5" customFormat="1" ht="18" customHeight="1">
      <c r="A27" s="254"/>
      <c r="B27" s="254"/>
      <c r="C27" s="256"/>
      <c r="D27" s="258"/>
      <c r="E27" s="67" t="s">
        <v>31</v>
      </c>
      <c r="F27" s="142"/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142"/>
      <c r="Z27" s="142"/>
      <c r="AA27" s="142"/>
      <c r="AB27" s="142"/>
      <c r="AC27" s="142"/>
      <c r="AD27" s="142"/>
      <c r="AE27" s="142"/>
      <c r="AF27" s="142"/>
      <c r="AG27" s="142"/>
      <c r="AH27" s="142"/>
      <c r="AI27" s="142"/>
      <c r="AJ27" s="142"/>
      <c r="AK27" s="260"/>
      <c r="AL27" s="260"/>
      <c r="AM27" s="263"/>
      <c r="AN27" s="265"/>
      <c r="AO27" s="267"/>
      <c r="AP27" s="265"/>
      <c r="AQ27" s="265"/>
      <c r="AR27" s="265"/>
      <c r="AS27" s="269"/>
      <c r="AT27" s="219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5" customFormat="1" ht="18" customHeight="1">
      <c r="A28" s="253">
        <v>7</v>
      </c>
      <c r="B28" s="253" t="s">
        <v>179</v>
      </c>
      <c r="C28" s="255" t="str">
        <f>VLOOKUP(B28,DS,2,0)</f>
        <v>Nguyễn T Bích Thủy</v>
      </c>
      <c r="D28" s="257" t="str">
        <f>VLOOKUP(B28,DS,3,0)</f>
        <v>Công Đoạn 2</v>
      </c>
      <c r="E28" s="66" t="s">
        <v>32</v>
      </c>
      <c r="F28" s="141">
        <v>8</v>
      </c>
      <c r="G28" s="141">
        <v>8</v>
      </c>
      <c r="H28" s="141">
        <v>8</v>
      </c>
      <c r="I28" s="141"/>
      <c r="J28" s="141">
        <v>8</v>
      </c>
      <c r="K28" s="141">
        <v>8</v>
      </c>
      <c r="L28" s="141">
        <v>8</v>
      </c>
      <c r="M28" s="141">
        <v>8</v>
      </c>
      <c r="N28" s="141">
        <v>8</v>
      </c>
      <c r="O28" s="141">
        <v>8</v>
      </c>
      <c r="P28" s="141"/>
      <c r="Q28" s="141">
        <v>8</v>
      </c>
      <c r="R28" s="141">
        <v>8</v>
      </c>
      <c r="S28" s="141">
        <v>8</v>
      </c>
      <c r="T28" s="141">
        <v>8</v>
      </c>
      <c r="U28" s="141">
        <v>8</v>
      </c>
      <c r="V28" s="141">
        <v>8</v>
      </c>
      <c r="W28" s="141"/>
      <c r="X28" s="141">
        <v>8</v>
      </c>
      <c r="Y28" s="141">
        <v>8</v>
      </c>
      <c r="Z28" s="141">
        <v>8</v>
      </c>
      <c r="AA28" s="141">
        <v>8</v>
      </c>
      <c r="AB28" s="141">
        <v>8</v>
      </c>
      <c r="AC28" s="141">
        <v>8</v>
      </c>
      <c r="AD28" s="141"/>
      <c r="AE28" s="141">
        <v>8</v>
      </c>
      <c r="AF28" s="141">
        <v>8</v>
      </c>
      <c r="AG28" s="141">
        <v>8</v>
      </c>
      <c r="AH28" s="141">
        <v>8</v>
      </c>
      <c r="AI28" s="141">
        <v>8</v>
      </c>
      <c r="AJ28" s="141">
        <v>8</v>
      </c>
      <c r="AK28" s="259">
        <f t="shared" ref="AK28" si="26">((SUM(F28:AJ28))/8)-(SUMIF($F$6:$AJ$6,"C.Nhật",F28:AJ28)/8)</f>
        <v>27</v>
      </c>
      <c r="AL28" s="259">
        <f t="shared" ref="AL28" si="27">SUM(F29:AJ29)/8*1.5</f>
        <v>0</v>
      </c>
      <c r="AM28" s="262">
        <f>SUMIF($F$6:$AJ$6,"C.Nhật",$F28:$AJ29)/8*2</f>
        <v>0</v>
      </c>
      <c r="AN28" s="264">
        <f t="shared" ref="AN28" si="28">SUM(AK28:AM29)</f>
        <v>27</v>
      </c>
      <c r="AO28" s="266">
        <v>0</v>
      </c>
      <c r="AP28" s="264"/>
      <c r="AQ28" s="264"/>
      <c r="AR28" s="264"/>
      <c r="AS28" s="268"/>
      <c r="AT28" s="219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5" customFormat="1" ht="18" customHeight="1">
      <c r="A29" s="254"/>
      <c r="B29" s="254"/>
      <c r="C29" s="256"/>
      <c r="D29" s="258"/>
      <c r="E29" s="67" t="s">
        <v>31</v>
      </c>
      <c r="F29" s="142"/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  <c r="Y29" s="142"/>
      <c r="Z29" s="142"/>
      <c r="AA29" s="142"/>
      <c r="AB29" s="142"/>
      <c r="AC29" s="142"/>
      <c r="AD29" s="142"/>
      <c r="AE29" s="142"/>
      <c r="AF29" s="142"/>
      <c r="AG29" s="142"/>
      <c r="AH29" s="142"/>
      <c r="AI29" s="142"/>
      <c r="AJ29" s="142"/>
      <c r="AK29" s="260"/>
      <c r="AL29" s="260"/>
      <c r="AM29" s="263"/>
      <c r="AN29" s="265"/>
      <c r="AO29" s="267"/>
      <c r="AP29" s="265"/>
      <c r="AQ29" s="265"/>
      <c r="AR29" s="265"/>
      <c r="AS29" s="269"/>
      <c r="AT29" s="219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8" customFormat="1" ht="12.75">
      <c r="A30" s="14"/>
      <c r="B30" s="69"/>
      <c r="C30" s="4"/>
      <c r="D30" s="111"/>
      <c r="E30" s="4"/>
      <c r="F30" s="73"/>
      <c r="G30" s="73"/>
      <c r="H30" s="70"/>
      <c r="I30" s="70"/>
      <c r="J30" s="118"/>
      <c r="K30" s="73"/>
      <c r="L30" s="70"/>
      <c r="M30" s="73"/>
      <c r="N30" s="73"/>
      <c r="O30" s="73"/>
      <c r="P30" s="73"/>
      <c r="Q30" s="70"/>
      <c r="R30" s="73"/>
      <c r="S30" s="73"/>
      <c r="T30" s="118"/>
      <c r="U30" s="73"/>
      <c r="V30" s="73"/>
      <c r="W30" s="73"/>
      <c r="X30" s="69"/>
      <c r="Y30" s="73"/>
      <c r="Z30" s="73"/>
      <c r="AA30" s="73"/>
      <c r="AB30" s="73"/>
      <c r="AC30" s="73"/>
      <c r="AD30" s="70"/>
      <c r="AE30" s="73"/>
      <c r="AF30" s="73"/>
      <c r="AG30" s="73"/>
      <c r="AH30" s="73"/>
      <c r="AI30" s="73"/>
      <c r="AJ30" s="73"/>
      <c r="AK30" s="4"/>
      <c r="AL30" s="4"/>
      <c r="AM30" s="96"/>
      <c r="AN30" s="72"/>
      <c r="AO30" s="72"/>
      <c r="AP30" s="72"/>
      <c r="AQ30" s="72"/>
      <c r="AR30" s="72"/>
      <c r="AS30" s="4"/>
      <c r="AT30" s="102"/>
    </row>
    <row r="31" spans="1:90" s="68" customFormat="1" ht="12.75">
      <c r="A31" s="14"/>
      <c r="B31" s="69"/>
      <c r="C31" s="14" t="s">
        <v>14</v>
      </c>
      <c r="D31" s="111"/>
      <c r="E31" s="4"/>
      <c r="F31" s="73"/>
      <c r="G31" s="73"/>
      <c r="H31" s="70"/>
      <c r="I31" s="70"/>
      <c r="J31" s="118"/>
      <c r="K31" s="73"/>
      <c r="L31" s="70"/>
      <c r="M31" s="73"/>
      <c r="N31" s="73"/>
      <c r="O31" s="73"/>
      <c r="P31" s="73"/>
      <c r="Q31" s="70"/>
      <c r="R31" s="73"/>
      <c r="S31" s="73"/>
      <c r="T31" s="118"/>
      <c r="U31" s="73"/>
      <c r="V31" s="73"/>
      <c r="W31" s="73"/>
      <c r="X31" s="69"/>
      <c r="Y31" s="73"/>
      <c r="Z31" s="73"/>
      <c r="AA31" s="73"/>
      <c r="AB31" s="73"/>
      <c r="AC31" s="73"/>
      <c r="AD31" s="70"/>
      <c r="AE31" s="73"/>
      <c r="AF31" s="73"/>
      <c r="AG31" s="73"/>
      <c r="AH31" s="73"/>
      <c r="AI31" s="73"/>
      <c r="AJ31" s="73"/>
      <c r="AK31" s="4"/>
      <c r="AL31" s="4"/>
      <c r="AM31" s="96"/>
      <c r="AN31" s="72"/>
      <c r="AO31" s="72"/>
      <c r="AP31" s="72"/>
      <c r="AQ31" s="72"/>
      <c r="AR31" s="72"/>
      <c r="AS31" s="4"/>
      <c r="AT31" s="102"/>
    </row>
    <row r="32" spans="1:90" s="68" customFormat="1" ht="12.75">
      <c r="A32" s="12"/>
      <c r="B32" s="12"/>
      <c r="C32" s="4"/>
      <c r="D32" s="111"/>
      <c r="E32" s="4"/>
      <c r="F32" s="73"/>
      <c r="G32" s="73"/>
      <c r="H32" s="119"/>
      <c r="I32" s="119"/>
      <c r="J32" s="119"/>
      <c r="K32" s="73"/>
      <c r="L32" s="119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119"/>
      <c r="AE32" s="73"/>
      <c r="AF32" s="73"/>
      <c r="AG32" s="73"/>
      <c r="AH32" s="73"/>
      <c r="AI32" s="73"/>
      <c r="AJ32" s="73"/>
      <c r="AK32" s="4"/>
      <c r="AL32" s="4"/>
      <c r="AM32" s="96"/>
      <c r="AN32" s="74"/>
      <c r="AO32" s="74"/>
      <c r="AP32" s="74"/>
      <c r="AQ32" s="74"/>
      <c r="AR32" s="74"/>
      <c r="AS32" s="4"/>
      <c r="AT32" s="102"/>
    </row>
    <row r="33" spans="1:91" s="71" customFormat="1" ht="15" customHeight="1">
      <c r="A33" s="12"/>
      <c r="B33" s="12"/>
      <c r="C33" s="4"/>
      <c r="D33" s="111"/>
      <c r="E33" s="4"/>
      <c r="F33" s="73"/>
      <c r="G33" s="73"/>
      <c r="H33" s="119"/>
      <c r="I33" s="119"/>
      <c r="J33" s="119"/>
      <c r="K33" s="73"/>
      <c r="L33" s="119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119"/>
      <c r="AE33" s="73"/>
      <c r="AF33" s="73"/>
      <c r="AG33" s="73"/>
      <c r="AH33" s="73"/>
      <c r="AI33" s="73"/>
      <c r="AJ33" s="73"/>
      <c r="AK33" s="4"/>
      <c r="AL33" s="4"/>
      <c r="AM33" s="96"/>
      <c r="AN33" s="74"/>
      <c r="AO33" s="74"/>
      <c r="AP33" s="74"/>
      <c r="AQ33" s="74"/>
      <c r="AR33" s="74"/>
      <c r="AS33" s="4"/>
      <c r="AT33" s="4"/>
    </row>
    <row r="34" spans="1:91" s="71" customFormat="1" ht="11.25">
      <c r="A34" s="12"/>
      <c r="B34" s="12"/>
      <c r="C34" s="4"/>
      <c r="D34" s="111"/>
      <c r="E34" s="4"/>
      <c r="F34" s="73"/>
      <c r="G34" s="73"/>
      <c r="H34" s="119"/>
      <c r="I34" s="119"/>
      <c r="J34" s="119"/>
      <c r="K34" s="73"/>
      <c r="L34" s="119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119"/>
      <c r="AE34" s="73"/>
      <c r="AF34" s="73"/>
      <c r="AG34" s="73"/>
      <c r="AH34" s="73"/>
      <c r="AI34" s="73"/>
      <c r="AJ34" s="73"/>
      <c r="AK34" s="4"/>
      <c r="AL34" s="4"/>
      <c r="AM34" s="96"/>
      <c r="AN34" s="74"/>
      <c r="AO34" s="74"/>
      <c r="AP34" s="74"/>
      <c r="AQ34" s="74"/>
      <c r="AR34" s="74"/>
      <c r="AS34" s="4"/>
      <c r="AT34" s="4"/>
    </row>
    <row r="35" spans="1:91" s="71" customFormat="1" ht="11.25">
      <c r="A35" s="12"/>
      <c r="B35" s="12"/>
      <c r="C35" s="4"/>
      <c r="D35" s="111"/>
      <c r="E35" s="4"/>
      <c r="F35" s="73"/>
      <c r="G35" s="73"/>
      <c r="H35" s="119"/>
      <c r="I35" s="119"/>
      <c r="J35" s="119"/>
      <c r="K35" s="73"/>
      <c r="L35" s="119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119"/>
      <c r="AE35" s="73"/>
      <c r="AF35" s="73"/>
      <c r="AG35" s="73"/>
      <c r="AH35" s="73"/>
      <c r="AI35" s="73"/>
      <c r="AJ35" s="73"/>
      <c r="AK35" s="4"/>
      <c r="AL35" s="4"/>
      <c r="AM35" s="96"/>
      <c r="AN35" s="74"/>
      <c r="AO35" s="74"/>
      <c r="AP35" s="74"/>
      <c r="AQ35" s="74"/>
      <c r="AR35" s="74"/>
      <c r="AS35" s="4"/>
      <c r="AT35" s="4"/>
    </row>
    <row r="36" spans="1:91" s="71" customFormat="1" ht="11.25">
      <c r="A36" s="10"/>
      <c r="B36" s="10"/>
      <c r="C36" s="14"/>
      <c r="D36" s="112"/>
      <c r="E36" s="75"/>
      <c r="F36" s="118"/>
      <c r="G36" s="120"/>
      <c r="H36" s="70"/>
      <c r="I36" s="70"/>
      <c r="J36" s="70"/>
      <c r="K36" s="120"/>
      <c r="L36" s="70"/>
      <c r="M36" s="120"/>
      <c r="N36" s="120"/>
      <c r="O36" s="120"/>
      <c r="P36" s="120"/>
      <c r="Q36" s="70"/>
      <c r="R36" s="118"/>
      <c r="S36" s="120"/>
      <c r="T36" s="120"/>
      <c r="U36" s="70"/>
      <c r="V36" s="120"/>
      <c r="W36" s="120"/>
      <c r="X36" s="70"/>
      <c r="Y36" s="120"/>
      <c r="Z36" s="120"/>
      <c r="AA36" s="120"/>
      <c r="AB36" s="120"/>
      <c r="AC36" s="120"/>
      <c r="AD36" s="70"/>
      <c r="AE36" s="120"/>
      <c r="AF36" s="120"/>
      <c r="AG36" s="120"/>
      <c r="AH36" s="120"/>
      <c r="AI36" s="120"/>
      <c r="AJ36" s="120"/>
      <c r="AK36" s="75"/>
      <c r="AM36" s="97"/>
      <c r="AN36" s="10"/>
      <c r="AO36" s="10"/>
      <c r="AP36" s="10"/>
      <c r="AQ36" s="10"/>
      <c r="AR36" s="10"/>
      <c r="AS36" s="14"/>
      <c r="AT36" s="4"/>
    </row>
    <row r="37" spans="1:91" s="71" customFormat="1" ht="12.75">
      <c r="A37" s="2"/>
      <c r="B37" s="2" t="s">
        <v>0</v>
      </c>
      <c r="C37" s="2"/>
      <c r="D37" s="212"/>
      <c r="E37" s="2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2"/>
      <c r="AI37" s="122"/>
      <c r="AJ37" s="122"/>
      <c r="AK37" s="2"/>
      <c r="AL37" s="2"/>
      <c r="AM37" s="98"/>
      <c r="AN37" s="2"/>
      <c r="AO37" s="2"/>
      <c r="AP37" s="2"/>
      <c r="AQ37" s="2"/>
      <c r="AR37" s="2"/>
      <c r="AS37" s="2"/>
      <c r="AT37" s="4"/>
    </row>
    <row r="38" spans="1:91" s="71" customFormat="1" ht="12.75">
      <c r="A38" s="2"/>
      <c r="B38" s="2"/>
      <c r="C38" s="2" t="s">
        <v>46</v>
      </c>
      <c r="D38" s="212"/>
      <c r="E38" s="2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1"/>
      <c r="AD38" s="121"/>
      <c r="AE38" s="121"/>
      <c r="AF38" s="121"/>
      <c r="AG38" s="121"/>
      <c r="AH38" s="122"/>
      <c r="AI38" s="122"/>
      <c r="AJ38" s="122"/>
      <c r="AK38" s="2"/>
      <c r="AL38" s="2"/>
      <c r="AM38" s="98"/>
      <c r="AN38" s="2"/>
      <c r="AO38" s="2"/>
      <c r="AP38" s="2"/>
      <c r="AQ38" s="2"/>
      <c r="AR38" s="2"/>
      <c r="AS38" s="2"/>
      <c r="AT38" s="14"/>
    </row>
    <row r="39" spans="1:91" ht="15" customHeight="1">
      <c r="C39" s="2" t="s">
        <v>47</v>
      </c>
    </row>
    <row r="40" spans="1:91" ht="15" customHeight="1">
      <c r="C40" s="2" t="s">
        <v>48</v>
      </c>
    </row>
    <row r="41" spans="1:91" s="212" customFormat="1" ht="15" customHeight="1">
      <c r="A41" s="2"/>
      <c r="B41" s="2"/>
      <c r="C41" s="2" t="s">
        <v>49</v>
      </c>
      <c r="E41" s="2"/>
      <c r="F41" s="121"/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121"/>
      <c r="AA41" s="121"/>
      <c r="AB41" s="121"/>
      <c r="AC41" s="121"/>
      <c r="AD41" s="121"/>
      <c r="AE41" s="121"/>
      <c r="AF41" s="121"/>
      <c r="AG41" s="121"/>
      <c r="AH41" s="122"/>
      <c r="AI41" s="122"/>
      <c r="AJ41" s="122"/>
      <c r="AK41" s="2"/>
      <c r="AL41" s="2"/>
      <c r="AM41" s="98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 s="212" customFormat="1" ht="15" customHeight="1">
      <c r="A42" s="2"/>
      <c r="B42" s="2"/>
      <c r="C42" s="2" t="s">
        <v>50</v>
      </c>
      <c r="E42" s="2"/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121"/>
      <c r="AA42" s="121"/>
      <c r="AB42" s="121"/>
      <c r="AC42" s="121"/>
      <c r="AD42" s="121"/>
      <c r="AE42" s="121"/>
      <c r="AF42" s="121"/>
      <c r="AG42" s="121"/>
      <c r="AH42" s="122"/>
      <c r="AI42" s="122"/>
      <c r="AJ42" s="122"/>
      <c r="AK42" s="2"/>
      <c r="AL42" s="2"/>
      <c r="AM42" s="98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 s="212" customFormat="1" ht="15" customHeight="1">
      <c r="A43" s="2"/>
      <c r="B43" s="2"/>
      <c r="C43" s="2" t="s">
        <v>51</v>
      </c>
      <c r="E43" s="2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121"/>
      <c r="AA43" s="121"/>
      <c r="AB43" s="121"/>
      <c r="AC43" s="121"/>
      <c r="AD43" s="121"/>
      <c r="AE43" s="121"/>
      <c r="AF43" s="121"/>
      <c r="AG43" s="121"/>
      <c r="AH43" s="122"/>
      <c r="AI43" s="122"/>
      <c r="AJ43" s="122"/>
      <c r="AK43" s="2"/>
      <c r="AL43" s="2"/>
      <c r="AM43" s="98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 s="212" customFormat="1" ht="15" customHeight="1">
      <c r="A44" s="2"/>
      <c r="B44" s="2"/>
      <c r="C44" s="2" t="s">
        <v>52</v>
      </c>
      <c r="E44" s="2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121"/>
      <c r="AA44" s="121"/>
      <c r="AB44" s="121"/>
      <c r="AC44" s="121"/>
      <c r="AD44" s="121"/>
      <c r="AE44" s="121"/>
      <c r="AF44" s="121"/>
      <c r="AG44" s="121"/>
      <c r="AH44" s="122"/>
      <c r="AI44" s="122"/>
      <c r="AJ44" s="122"/>
      <c r="AK44" s="2"/>
      <c r="AL44" s="2"/>
      <c r="AM44" s="98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  <row r="45" spans="1:91" s="212" customFormat="1" ht="15" customHeight="1">
      <c r="A45" s="2"/>
      <c r="B45" s="2"/>
      <c r="C45" s="2" t="s">
        <v>53</v>
      </c>
      <c r="E45" s="2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121"/>
      <c r="AA45" s="121"/>
      <c r="AB45" s="121"/>
      <c r="AC45" s="121"/>
      <c r="AD45" s="121"/>
      <c r="AE45" s="121"/>
      <c r="AF45" s="121"/>
      <c r="AG45" s="121"/>
      <c r="AH45" s="122"/>
      <c r="AI45" s="122"/>
      <c r="AJ45" s="122"/>
      <c r="AK45" s="2"/>
      <c r="AL45" s="2"/>
      <c r="AM45" s="98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</row>
    <row r="46" spans="1:91" s="212" customFormat="1" ht="15" customHeight="1">
      <c r="A46" s="2"/>
      <c r="B46" s="2"/>
      <c r="C46" s="2" t="s">
        <v>54</v>
      </c>
      <c r="E46" s="2"/>
      <c r="F46" s="121"/>
      <c r="G46" s="121"/>
      <c r="H46" s="121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121"/>
      <c r="AA46" s="121"/>
      <c r="AB46" s="121"/>
      <c r="AC46" s="121"/>
      <c r="AD46" s="121"/>
      <c r="AE46" s="121"/>
      <c r="AF46" s="121"/>
      <c r="AG46" s="121"/>
      <c r="AH46" s="122"/>
      <c r="AI46" s="122"/>
      <c r="AJ46" s="122"/>
      <c r="AK46" s="2"/>
      <c r="AL46" s="2"/>
      <c r="AM46" s="98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2:J35 Q30:Q31" name="Range1_1_1_1"/>
    <protectedRange password="CC78" sqref="J36" name="Range1_3_1_1"/>
    <protectedRange password="CC78" sqref="A16:A29" name="Range1_1_2"/>
    <protectedRange password="CC78" sqref="C16:E29 A16:A29" name="Range1_6_2"/>
    <protectedRange password="CC78" sqref="B16:B29" name="Range1_4_2"/>
  </protectedRanges>
  <mergeCells count="144">
    <mergeCell ref="A20:A21"/>
    <mergeCell ref="B20:B21"/>
    <mergeCell ref="AN24:AN25"/>
    <mergeCell ref="AO24:AO25"/>
    <mergeCell ref="AP24:AP25"/>
    <mergeCell ref="AQ24:AQ25"/>
    <mergeCell ref="AR24:AR25"/>
    <mergeCell ref="A24:A25"/>
    <mergeCell ref="B24:B25"/>
    <mergeCell ref="C24:C25"/>
    <mergeCell ref="AN20:AN21"/>
    <mergeCell ref="AO20:AO21"/>
    <mergeCell ref="AP20:AP21"/>
    <mergeCell ref="AQ20:AQ21"/>
    <mergeCell ref="AR20:AR21"/>
    <mergeCell ref="C20:C21"/>
    <mergeCell ref="D20:D21"/>
    <mergeCell ref="AK20:AK21"/>
    <mergeCell ref="AL20:AL21"/>
    <mergeCell ref="AM20:AM21"/>
    <mergeCell ref="C18:C19"/>
    <mergeCell ref="D18:D19"/>
    <mergeCell ref="AK18:AK19"/>
    <mergeCell ref="AL18:AL19"/>
    <mergeCell ref="AM18:AM19"/>
    <mergeCell ref="AN18:AN19"/>
    <mergeCell ref="AO18:AO19"/>
    <mergeCell ref="AP18:AP19"/>
    <mergeCell ref="AQ18:AQ19"/>
    <mergeCell ref="AQ11:AQ12"/>
    <mergeCell ref="AR11:AR12"/>
    <mergeCell ref="AS11:AS12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P22:AP23"/>
    <mergeCell ref="AQ22:AQ23"/>
    <mergeCell ref="AR22:AR23"/>
    <mergeCell ref="AS22:AS23"/>
    <mergeCell ref="AL11:AL12"/>
    <mergeCell ref="AM11:AM12"/>
    <mergeCell ref="AN11:AN12"/>
    <mergeCell ref="AO11:AO12"/>
    <mergeCell ref="AP11:AP12"/>
    <mergeCell ref="A11:A12"/>
    <mergeCell ref="A18:A19"/>
    <mergeCell ref="B18:B19"/>
    <mergeCell ref="D11:D12"/>
    <mergeCell ref="AK11:AK12"/>
    <mergeCell ref="B16:B17"/>
    <mergeCell ref="C16:C17"/>
    <mergeCell ref="AQ28:AQ29"/>
    <mergeCell ref="AR28:AR29"/>
    <mergeCell ref="A26:A27"/>
    <mergeCell ref="B26:B27"/>
    <mergeCell ref="C26:C27"/>
    <mergeCell ref="D26:D27"/>
    <mergeCell ref="AK26:AK27"/>
    <mergeCell ref="AO16:AO17"/>
    <mergeCell ref="A28:A29"/>
    <mergeCell ref="B28:B29"/>
    <mergeCell ref="C28:C29"/>
    <mergeCell ref="D28:D29"/>
    <mergeCell ref="AK28:AK29"/>
    <mergeCell ref="A16:A17"/>
    <mergeCell ref="AK13:AK14"/>
    <mergeCell ref="AO13:AO14"/>
    <mergeCell ref="AP13:AP14"/>
    <mergeCell ref="AQ13:AQ14"/>
    <mergeCell ref="D24:D25"/>
    <mergeCell ref="AK24:AK25"/>
    <mergeCell ref="AL26:AL27"/>
    <mergeCell ref="AM26:AM27"/>
    <mergeCell ref="AN26:AN27"/>
    <mergeCell ref="AO26:AO27"/>
    <mergeCell ref="AP26:AP27"/>
    <mergeCell ref="AQ26:AQ27"/>
    <mergeCell ref="AR26:AR27"/>
    <mergeCell ref="AS26:AS27"/>
    <mergeCell ref="AL16:AL17"/>
    <mergeCell ref="AM16:AM17"/>
    <mergeCell ref="AN16:AN17"/>
    <mergeCell ref="AQ16:AQ17"/>
    <mergeCell ref="AR16:AR17"/>
    <mergeCell ref="AL24:AL25"/>
    <mergeCell ref="AM24:AM25"/>
    <mergeCell ref="AS24:AS25"/>
    <mergeCell ref="AR18:AR19"/>
    <mergeCell ref="AS18:AS19"/>
    <mergeCell ref="AS20:AS21"/>
    <mergeCell ref="AS28:AS29"/>
    <mergeCell ref="AL28:AL29"/>
    <mergeCell ref="AM28:AM29"/>
    <mergeCell ref="AN28:AN29"/>
    <mergeCell ref="AO28:AO29"/>
    <mergeCell ref="AP28:AP29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S13:AS14"/>
    <mergeCell ref="A13:A14"/>
    <mergeCell ref="B13:B14"/>
    <mergeCell ref="C13:C14"/>
    <mergeCell ref="D13:D14"/>
    <mergeCell ref="AR13:AR14"/>
    <mergeCell ref="D16:D17"/>
    <mergeCell ref="AK16:AK17"/>
    <mergeCell ref="AP16:AP17"/>
    <mergeCell ref="AL13:AL14"/>
    <mergeCell ref="AM13:AM14"/>
    <mergeCell ref="AN13:AN14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S16:AS17"/>
    <mergeCell ref="B11:B12"/>
    <mergeCell ref="C11:C12"/>
  </mergeCells>
  <conditionalFormatting sqref="F5:AJ6 F9:AJ10 F13:AJ14">
    <cfRule type="expression" dxfId="35" priority="36" stopIfTrue="1">
      <formula>IF(WEEKDAY(F$5)=1,TRUE,FALSE)</formula>
    </cfRule>
  </conditionalFormatting>
  <conditionalFormatting sqref="F9:AJ10 F13:AJ14">
    <cfRule type="expression" dxfId="34" priority="35" stopIfTrue="1">
      <formula>IF(WEEKDAY(F$5)=1,TRUE,FALSE)</formula>
    </cfRule>
  </conditionalFormatting>
  <conditionalFormatting sqref="F16:AJ17 F26:AJ29">
    <cfRule type="expression" dxfId="33" priority="8" stopIfTrue="1">
      <formula>IF(WEEKDAY(F$5)=1,TRUE,FALSE)</formula>
    </cfRule>
  </conditionalFormatting>
  <conditionalFormatting sqref="F16:AJ17 F26:AJ29">
    <cfRule type="expression" dxfId="32" priority="7" stopIfTrue="1">
      <formula>IF(WEEKDAY(F$5)=1,TRUE,FALSE)</formula>
    </cfRule>
  </conditionalFormatting>
  <conditionalFormatting sqref="F11:AJ12">
    <cfRule type="expression" dxfId="31" priority="6" stopIfTrue="1">
      <formula>IF(WEEKDAY(F$5)=1,TRUE,FALSE)</formula>
    </cfRule>
  </conditionalFormatting>
  <conditionalFormatting sqref="F11:AJ12">
    <cfRule type="expression" dxfId="30" priority="5" stopIfTrue="1">
      <formula>IF(WEEKDAY(F$5)=1,TRUE,FALSE)</formula>
    </cfRule>
  </conditionalFormatting>
  <conditionalFormatting sqref="F22:AJ25">
    <cfRule type="expression" dxfId="29" priority="4" stopIfTrue="1">
      <formula>IF(WEEKDAY(F$5)=1,TRUE,FALSE)</formula>
    </cfRule>
  </conditionalFormatting>
  <conditionalFormatting sqref="F22:AJ25">
    <cfRule type="expression" dxfId="28" priority="3" stopIfTrue="1">
      <formula>IF(WEEKDAY(F$5)=1,TRUE,FALSE)</formula>
    </cfRule>
  </conditionalFormatting>
  <conditionalFormatting sqref="F18:AJ21">
    <cfRule type="expression" dxfId="27" priority="2" stopIfTrue="1">
      <formula>IF(WEEKDAY(F$5)=1,TRUE,FALSE)</formula>
    </cfRule>
  </conditionalFormatting>
  <conditionalFormatting sqref="F18:AJ21">
    <cfRule type="expression" dxfId="2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5"/>
  <sheetViews>
    <sheetView zoomScaleNormal="70" workbookViewId="0">
      <pane xSplit="3" ySplit="8" topLeftCell="D18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S24" activeCellId="1" sqref="S14 S24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9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7"/>
      <c r="B1" s="215"/>
      <c r="C1" s="215"/>
      <c r="D1" s="270" t="str">
        <f>"BẢNG THANH TOÁN LƯƠNG THÁNG"&amp;" "&amp;TEXT($E$4,"mm")&amp;" / "&amp;TEXT($E$4,"yyyy")</f>
        <v>BẢNG THANH TOÁN LƯƠNG THÁNG 10 / 2015</v>
      </c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1"/>
      <c r="R1" s="272" t="s">
        <v>170</v>
      </c>
      <c r="S1" s="273"/>
      <c r="T1" s="274"/>
      <c r="U1" s="128" t="s">
        <v>58</v>
      </c>
      <c r="V1" s="108" t="s">
        <v>37</v>
      </c>
      <c r="W1" s="81"/>
      <c r="X1" s="81"/>
      <c r="Y1" s="5"/>
      <c r="Z1" s="5"/>
    </row>
    <row r="2" spans="1:31" s="4" customFormat="1" ht="15" customHeight="1">
      <c r="A2" s="137"/>
      <c r="B2" s="215"/>
      <c r="C2" s="215"/>
      <c r="D2" s="215"/>
      <c r="E2" s="79"/>
      <c r="F2" s="215"/>
      <c r="G2" s="215"/>
      <c r="H2" s="215"/>
      <c r="I2" s="215"/>
      <c r="J2" s="80"/>
      <c r="K2" s="215"/>
      <c r="L2" s="215"/>
      <c r="M2" s="215"/>
      <c r="N2" s="215"/>
      <c r="O2" s="215"/>
      <c r="P2" s="215"/>
      <c r="Q2" s="215"/>
      <c r="R2" s="215"/>
      <c r="S2" s="215"/>
      <c r="T2" s="57"/>
      <c r="U2" s="78">
        <f>MAX(F10:F24)</f>
        <v>27</v>
      </c>
      <c r="V2" s="109">
        <v>31</v>
      </c>
      <c r="W2" s="81"/>
      <c r="X2" s="81"/>
      <c r="Y2" s="5"/>
      <c r="Z2" s="5"/>
    </row>
    <row r="3" spans="1:31" s="4" customFormat="1" ht="15" customHeight="1">
      <c r="A3" s="137"/>
      <c r="B3" s="215"/>
      <c r="C3" s="215"/>
      <c r="D3" s="215"/>
      <c r="E3" s="79"/>
      <c r="F3" s="215"/>
      <c r="G3" s="215"/>
      <c r="H3" s="215"/>
      <c r="I3" s="215"/>
      <c r="J3" s="80"/>
      <c r="K3" s="215"/>
      <c r="L3" s="215"/>
      <c r="M3" s="215"/>
      <c r="N3" s="215"/>
      <c r="O3" s="215"/>
      <c r="P3" s="215"/>
      <c r="Q3" s="215"/>
      <c r="R3" s="215"/>
      <c r="S3" s="215"/>
      <c r="T3" s="57"/>
      <c r="U3" s="129"/>
      <c r="V3" s="130"/>
      <c r="W3" s="81"/>
      <c r="X3" s="81"/>
      <c r="Y3" s="5"/>
      <c r="Z3" s="5"/>
    </row>
    <row r="4" spans="1:31" s="103" customFormat="1" ht="14.25" customHeight="1">
      <c r="A4" s="101"/>
      <c r="B4" s="102"/>
      <c r="C4" s="102"/>
      <c r="D4" s="102"/>
      <c r="E4" s="187">
        <f>'CC -10'!$E$4</f>
        <v>42278</v>
      </c>
      <c r="F4" s="102"/>
      <c r="G4" s="102"/>
      <c r="H4" s="102"/>
      <c r="I4" s="102"/>
      <c r="J4" s="102"/>
      <c r="K4" s="102"/>
      <c r="L4" s="102"/>
      <c r="M4" s="102"/>
      <c r="N4" s="160">
        <v>0.08</v>
      </c>
      <c r="O4" s="160">
        <v>1.4999999999999999E-2</v>
      </c>
      <c r="P4" s="160">
        <v>0.01</v>
      </c>
      <c r="Q4" s="102"/>
      <c r="R4" s="102"/>
      <c r="S4" s="102"/>
      <c r="T4" s="102"/>
      <c r="U4" s="102"/>
      <c r="V4" s="104"/>
      <c r="W4" s="104"/>
      <c r="X4" s="104"/>
      <c r="Y4" s="104"/>
      <c r="Z4" s="104"/>
    </row>
    <row r="5" spans="1:31" s="26" customFormat="1" ht="24" customHeight="1">
      <c r="A5" s="275" t="s">
        <v>19</v>
      </c>
      <c r="B5" s="275" t="s">
        <v>20</v>
      </c>
      <c r="C5" s="238" t="s">
        <v>1</v>
      </c>
      <c r="D5" s="238" t="s">
        <v>2</v>
      </c>
      <c r="E5" s="241" t="s">
        <v>56</v>
      </c>
      <c r="F5" s="278" t="s">
        <v>26</v>
      </c>
      <c r="G5" s="279"/>
      <c r="H5" s="279"/>
      <c r="I5" s="279"/>
      <c r="J5" s="279"/>
      <c r="K5" s="280"/>
      <c r="L5" s="277" t="s">
        <v>57</v>
      </c>
      <c r="M5" s="277" t="s">
        <v>5</v>
      </c>
      <c r="N5" s="238" t="s">
        <v>6</v>
      </c>
      <c r="O5" s="238"/>
      <c r="P5" s="238"/>
      <c r="Q5" s="277" t="s">
        <v>7</v>
      </c>
      <c r="R5" s="277" t="s">
        <v>8</v>
      </c>
      <c r="S5" s="277" t="s">
        <v>9</v>
      </c>
      <c r="T5" s="239" t="s">
        <v>10</v>
      </c>
      <c r="U5" s="102"/>
      <c r="V5" s="27"/>
      <c r="W5" s="27"/>
      <c r="X5" s="5"/>
      <c r="Y5" s="5"/>
      <c r="Z5" s="5"/>
      <c r="AA5" s="4"/>
      <c r="AB5" s="4"/>
      <c r="AC5" s="4"/>
      <c r="AD5" s="4"/>
      <c r="AE5" s="4"/>
    </row>
    <row r="6" spans="1:31" s="26" customFormat="1" ht="33.75" customHeight="1">
      <c r="A6" s="276"/>
      <c r="B6" s="276"/>
      <c r="C6" s="238"/>
      <c r="D6" s="238"/>
      <c r="E6" s="241"/>
      <c r="F6" s="278" t="s">
        <v>59</v>
      </c>
      <c r="G6" s="280"/>
      <c r="H6" s="278" t="s">
        <v>157</v>
      </c>
      <c r="I6" s="279"/>
      <c r="J6" s="284" t="s">
        <v>27</v>
      </c>
      <c r="K6" s="277" t="s">
        <v>4</v>
      </c>
      <c r="L6" s="281"/>
      <c r="M6" s="281"/>
      <c r="N6" s="286" t="s">
        <v>12</v>
      </c>
      <c r="O6" s="277" t="s">
        <v>13</v>
      </c>
      <c r="P6" s="277" t="s">
        <v>34</v>
      </c>
      <c r="Q6" s="281"/>
      <c r="R6" s="281"/>
      <c r="S6" s="281"/>
      <c r="T6" s="240"/>
      <c r="U6" s="102"/>
      <c r="V6" s="27"/>
      <c r="W6" s="27"/>
      <c r="X6" s="5"/>
      <c r="Y6" s="5"/>
      <c r="Z6" s="5"/>
      <c r="AA6" s="4"/>
      <c r="AB6" s="4"/>
      <c r="AC6" s="4"/>
      <c r="AD6" s="4"/>
      <c r="AE6" s="4"/>
    </row>
    <row r="7" spans="1:31" s="26" customFormat="1" ht="35.25" customHeight="1">
      <c r="A7" s="276"/>
      <c r="B7" s="276"/>
      <c r="C7" s="277"/>
      <c r="D7" s="277"/>
      <c r="E7" s="241"/>
      <c r="F7" s="216" t="s">
        <v>40</v>
      </c>
      <c r="G7" s="213" t="s">
        <v>18</v>
      </c>
      <c r="H7" s="216" t="s">
        <v>40</v>
      </c>
      <c r="I7" s="126" t="s">
        <v>18</v>
      </c>
      <c r="J7" s="285"/>
      <c r="K7" s="281"/>
      <c r="L7" s="282"/>
      <c r="M7" s="282"/>
      <c r="N7" s="287"/>
      <c r="O7" s="281"/>
      <c r="P7" s="281"/>
      <c r="Q7" s="281"/>
      <c r="R7" s="281"/>
      <c r="S7" s="281"/>
      <c r="T7" s="240"/>
      <c r="U7" s="102"/>
      <c r="V7" s="27"/>
      <c r="W7" s="27"/>
      <c r="X7" s="5"/>
      <c r="Y7" s="5"/>
      <c r="Z7" s="5"/>
      <c r="AA7" s="4"/>
      <c r="AB7" s="4"/>
      <c r="AC7" s="4"/>
      <c r="AD7" s="4"/>
      <c r="AE7" s="4"/>
    </row>
    <row r="8" spans="1:31" s="83" customFormat="1" ht="12.75" customHeight="1">
      <c r="A8" s="82">
        <v>1</v>
      </c>
      <c r="B8" s="82">
        <v>2</v>
      </c>
      <c r="C8" s="82">
        <v>3</v>
      </c>
      <c r="D8" s="82">
        <v>4</v>
      </c>
      <c r="E8" s="82">
        <v>5</v>
      </c>
      <c r="F8" s="82">
        <v>7</v>
      </c>
      <c r="G8" s="82">
        <v>8</v>
      </c>
      <c r="H8" s="82">
        <v>9</v>
      </c>
      <c r="I8" s="82">
        <v>10</v>
      </c>
      <c r="J8" s="82">
        <v>13</v>
      </c>
      <c r="K8" s="82">
        <v>14</v>
      </c>
      <c r="L8" s="82">
        <v>16</v>
      </c>
      <c r="M8" s="82">
        <v>17</v>
      </c>
      <c r="N8" s="82">
        <v>18</v>
      </c>
      <c r="O8" s="82">
        <v>19</v>
      </c>
      <c r="P8" s="82">
        <v>20</v>
      </c>
      <c r="Q8" s="82">
        <v>21</v>
      </c>
      <c r="R8" s="82">
        <v>22</v>
      </c>
      <c r="S8" s="82">
        <v>23</v>
      </c>
      <c r="T8" s="82">
        <v>24</v>
      </c>
      <c r="U8" s="102"/>
      <c r="V8" s="84"/>
      <c r="W8" s="84"/>
      <c r="X8" s="85"/>
      <c r="Y8" s="85"/>
      <c r="Z8" s="85"/>
      <c r="AA8" s="86"/>
      <c r="AB8" s="86"/>
      <c r="AC8" s="86"/>
      <c r="AD8" s="86"/>
      <c r="AE8" s="86"/>
    </row>
    <row r="9" spans="1:31" s="83" customFormat="1" ht="24" customHeight="1">
      <c r="A9" s="186" t="s">
        <v>154</v>
      </c>
      <c r="B9" s="185" t="s">
        <v>171</v>
      </c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02"/>
      <c r="V9" s="84"/>
      <c r="W9" s="84"/>
      <c r="X9" s="85"/>
      <c r="Y9" s="85"/>
      <c r="Z9" s="85"/>
      <c r="AA9" s="86"/>
      <c r="AB9" s="86"/>
      <c r="AC9" s="86"/>
      <c r="AD9" s="86"/>
      <c r="AE9" s="86"/>
    </row>
    <row r="10" spans="1:31" s="35" customFormat="1" ht="24" customHeight="1">
      <c r="A10" s="37">
        <v>1</v>
      </c>
      <c r="B10" s="139" t="s">
        <v>159</v>
      </c>
      <c r="C10" s="87" t="str">
        <f t="shared" ref="C10:C12" si="0">VLOOKUP(B10,DS,2,0)</f>
        <v>Nguyễn Thị Thu Sương</v>
      </c>
      <c r="D10" s="114" t="str">
        <f t="shared" ref="D10:D12" si="1">VLOOKUP(B10,DS,3,0)</f>
        <v>Kinh Doanh</v>
      </c>
      <c r="E10" s="88">
        <f t="shared" ref="E10:E12" si="2">VLOOKUP(B10,DS,4,0)</f>
        <v>5000000</v>
      </c>
      <c r="F10" s="90">
        <f>VLOOKUP(B10,'CC -10'!$B$8:$AS$29,36,0)</f>
        <v>27</v>
      </c>
      <c r="G10" s="143">
        <f t="shared" ref="G10:G12" si="3">ROUND(E10/$U$2*F10,0)</f>
        <v>5000000</v>
      </c>
      <c r="H10" s="90">
        <f>(VLOOKUP(B10,'CC -10'!$B$8:$AS$29,37,0)+VLOOKUP(B10,'CC -10'!$B$8:$AS$29,38,0))</f>
        <v>0</v>
      </c>
      <c r="I10" s="143">
        <f t="shared" ref="I10:I12" si="4">ROUND(E10/$U$2*H10,0)</f>
        <v>0</v>
      </c>
      <c r="J10" s="91">
        <f t="shared" ref="J10:K12" si="5">F10+H10</f>
        <v>27</v>
      </c>
      <c r="K10" s="38">
        <f>G10+I10</f>
        <v>5000000</v>
      </c>
      <c r="L10" s="88">
        <f t="shared" ref="L10:L12" si="6">+F10*15000</f>
        <v>405000</v>
      </c>
      <c r="M10" s="39">
        <f t="shared" ref="M10:M12" si="7">K10+L10</f>
        <v>5405000</v>
      </c>
      <c r="N10" s="39">
        <f>IF(VLOOKUP(B10,DS,9,0)="x",E10*$N$4,0)</f>
        <v>0</v>
      </c>
      <c r="O10" s="39">
        <f>IF(VLOOKUP(B10,DS,9,0)="x",E10*$O$4,0)</f>
        <v>0</v>
      </c>
      <c r="P10" s="39">
        <f>IF(VLOOKUP(B10,DS,9,0)="x",E10*$P$4,0)</f>
        <v>0</v>
      </c>
      <c r="Q10" s="38">
        <f t="shared" ref="Q10:Q12" si="8">M10-SUM(N10:P10)</f>
        <v>5405000</v>
      </c>
      <c r="R10" s="38">
        <f>VLOOKUP(B10,DS,23,0)</f>
        <v>0</v>
      </c>
      <c r="S10" s="44">
        <f t="shared" ref="S10:S12" si="9">Q10-R10</f>
        <v>5405000</v>
      </c>
      <c r="T10" s="38"/>
      <c r="U10" s="102"/>
      <c r="V10" s="36"/>
      <c r="W10" s="27"/>
      <c r="X10" s="5"/>
      <c r="Y10" s="5"/>
      <c r="Z10" s="5"/>
      <c r="AA10" s="4"/>
      <c r="AB10" s="4"/>
      <c r="AC10" s="4"/>
      <c r="AD10" s="4"/>
      <c r="AE10" s="4"/>
    </row>
    <row r="11" spans="1:31" s="35" customFormat="1" ht="24" customHeight="1">
      <c r="A11" s="37">
        <v>2</v>
      </c>
      <c r="B11" s="139" t="s">
        <v>160</v>
      </c>
      <c r="C11" s="87" t="str">
        <f t="shared" ref="C11" si="10">VLOOKUP(B11,DS,2,0)</f>
        <v>Trần Anh Nhựt</v>
      </c>
      <c r="D11" s="114" t="str">
        <f t="shared" ref="D11" si="11">VLOOKUP(B11,DS,3,0)</f>
        <v>Thiết Kế</v>
      </c>
      <c r="E11" s="88">
        <f t="shared" ref="E11" si="12">VLOOKUP(B11,DS,4,0)</f>
        <v>5000000</v>
      </c>
      <c r="F11" s="90">
        <f>VLOOKUP(B11,'CC -10'!$B$8:$AS$29,36,0)</f>
        <v>27</v>
      </c>
      <c r="G11" s="143">
        <f t="shared" ref="G11" si="13">ROUND(E11/$U$2*F11,0)</f>
        <v>5000000</v>
      </c>
      <c r="H11" s="90">
        <f>(VLOOKUP(B11,'CC -10'!$B$8:$AS$29,37,0)+VLOOKUP(B11,'CC -10'!$B$8:$AS$29,38,0))</f>
        <v>0</v>
      </c>
      <c r="I11" s="143">
        <f t="shared" ref="I11" si="14">ROUND(E11/$U$2*H11,0)</f>
        <v>0</v>
      </c>
      <c r="J11" s="91">
        <f t="shared" ref="J11" si="15">F11+H11</f>
        <v>27</v>
      </c>
      <c r="K11" s="38">
        <f t="shared" ref="K11" si="16">G11+I11</f>
        <v>5000000</v>
      </c>
      <c r="L11" s="88">
        <f t="shared" ref="L11" si="17">+F11*15000</f>
        <v>405000</v>
      </c>
      <c r="M11" s="39">
        <f t="shared" ref="M11" si="18">K11+L11</f>
        <v>5405000</v>
      </c>
      <c r="N11" s="39">
        <f>IF(VLOOKUP(B11,DS,9,0)="x",E11*$N$4,0)</f>
        <v>0</v>
      </c>
      <c r="O11" s="39">
        <f>IF(VLOOKUP(B11,DS,9,0)="x",E11*$O$4,0)</f>
        <v>0</v>
      </c>
      <c r="P11" s="39">
        <f>IF(VLOOKUP(B11,DS,9,0)="x",E11*$P$4,0)</f>
        <v>0</v>
      </c>
      <c r="Q11" s="38">
        <f t="shared" ref="Q11" si="19">M11-SUM(N11:P11)</f>
        <v>5405000</v>
      </c>
      <c r="R11" s="38">
        <f>VLOOKUP(B11,DS,23,0)</f>
        <v>0</v>
      </c>
      <c r="S11" s="44">
        <f t="shared" ref="S11" si="20">Q11-R11</f>
        <v>5405000</v>
      </c>
      <c r="T11" s="38"/>
      <c r="U11" s="102"/>
      <c r="V11" s="36"/>
      <c r="W11" s="27"/>
      <c r="X11" s="5"/>
      <c r="Y11" s="5"/>
      <c r="Z11" s="5"/>
      <c r="AA11" s="4"/>
      <c r="AB11" s="4"/>
      <c r="AC11" s="4"/>
      <c r="AD11" s="4"/>
      <c r="AE11" s="4"/>
    </row>
    <row r="12" spans="1:31" s="35" customFormat="1" ht="24" customHeight="1">
      <c r="A12" s="37">
        <v>3</v>
      </c>
      <c r="B12" s="139" t="s">
        <v>168</v>
      </c>
      <c r="C12" s="87" t="str">
        <f t="shared" si="0"/>
        <v>Huỳnh Minh Toàn</v>
      </c>
      <c r="D12" s="114" t="str">
        <f t="shared" si="1"/>
        <v>Thủ Kho</v>
      </c>
      <c r="E12" s="88">
        <f t="shared" si="2"/>
        <v>5500000</v>
      </c>
      <c r="F12" s="90">
        <f>VLOOKUP(B12,'CC -10'!$B$8:$AS$29,36,0)</f>
        <v>27</v>
      </c>
      <c r="G12" s="143">
        <f t="shared" si="3"/>
        <v>5500000</v>
      </c>
      <c r="H12" s="90">
        <f>(VLOOKUP(B12,'CC -10'!$B$8:$AS$29,37,0)+VLOOKUP(B12,'CC -10'!$B$8:$AS$29,38,0))</f>
        <v>0</v>
      </c>
      <c r="I12" s="143">
        <f t="shared" si="4"/>
        <v>0</v>
      </c>
      <c r="J12" s="91">
        <f t="shared" si="5"/>
        <v>27</v>
      </c>
      <c r="K12" s="38">
        <f t="shared" si="5"/>
        <v>5500000</v>
      </c>
      <c r="L12" s="88">
        <f t="shared" si="6"/>
        <v>405000</v>
      </c>
      <c r="M12" s="39">
        <f t="shared" si="7"/>
        <v>5905000</v>
      </c>
      <c r="N12" s="39">
        <f>IF(VLOOKUP(B12,DS,9,0)="x",E12*$N$4,0)</f>
        <v>0</v>
      </c>
      <c r="O12" s="39">
        <f>IF(VLOOKUP(B12,DS,9,0)="x",E12*$O$4,0)</f>
        <v>0</v>
      </c>
      <c r="P12" s="39">
        <f>IF(VLOOKUP(B12,DS,9,0)="x",E12*$P$4,0)</f>
        <v>0</v>
      </c>
      <c r="Q12" s="38">
        <f t="shared" si="8"/>
        <v>5905000</v>
      </c>
      <c r="R12" s="38">
        <f>VLOOKUP(B12,DS,23,0)</f>
        <v>0</v>
      </c>
      <c r="S12" s="44">
        <f t="shared" si="9"/>
        <v>5905000</v>
      </c>
      <c r="T12" s="38"/>
      <c r="U12" s="102"/>
      <c r="V12" s="36"/>
      <c r="W12" s="27"/>
      <c r="X12" s="5"/>
      <c r="Y12" s="5"/>
      <c r="Z12" s="5"/>
      <c r="AA12" s="4"/>
      <c r="AB12" s="4"/>
      <c r="AC12" s="4"/>
      <c r="AD12" s="4"/>
      <c r="AE12" s="4"/>
    </row>
    <row r="13" spans="1:31" s="35" customFormat="1" ht="24" customHeight="1">
      <c r="A13" s="201"/>
      <c r="B13" s="202"/>
      <c r="C13" s="203"/>
      <c r="D13" s="204"/>
      <c r="E13" s="205"/>
      <c r="F13" s="206"/>
      <c r="G13" s="207"/>
      <c r="H13" s="206"/>
      <c r="I13" s="207"/>
      <c r="J13" s="208"/>
      <c r="K13" s="209"/>
      <c r="L13" s="205"/>
      <c r="M13" s="210"/>
      <c r="N13" s="210"/>
      <c r="O13" s="210"/>
      <c r="P13" s="210"/>
      <c r="Q13" s="209"/>
      <c r="R13" s="209"/>
      <c r="S13" s="211"/>
      <c r="T13" s="209"/>
      <c r="U13" s="102"/>
      <c r="V13" s="36"/>
      <c r="W13" s="27"/>
      <c r="X13" s="5"/>
      <c r="Y13" s="5"/>
      <c r="Z13" s="5"/>
      <c r="AA13" s="4"/>
      <c r="AB13" s="4"/>
      <c r="AC13" s="4"/>
      <c r="AD13" s="4"/>
      <c r="AE13" s="4"/>
    </row>
    <row r="14" spans="1:31" s="31" customFormat="1" ht="21" customHeight="1">
      <c r="A14" s="283" t="s">
        <v>25</v>
      </c>
      <c r="B14" s="283"/>
      <c r="C14" s="283"/>
      <c r="D14" s="283"/>
      <c r="E14" s="138">
        <f>SUM(E9:E12)</f>
        <v>15500000</v>
      </c>
      <c r="F14" s="138"/>
      <c r="G14" s="138">
        <f>SUM(G9:G12)</f>
        <v>15500000</v>
      </c>
      <c r="H14" s="138"/>
      <c r="I14" s="138">
        <f>SUM(I9:I12)</f>
        <v>0</v>
      </c>
      <c r="J14" s="138"/>
      <c r="K14" s="138">
        <f t="shared" ref="K14:S14" si="21">SUM(K9:K12)</f>
        <v>15500000</v>
      </c>
      <c r="L14" s="138">
        <f t="shared" si="21"/>
        <v>1215000</v>
      </c>
      <c r="M14" s="138">
        <f t="shared" si="21"/>
        <v>16715000</v>
      </c>
      <c r="N14" s="138">
        <f t="shared" si="21"/>
        <v>0</v>
      </c>
      <c r="O14" s="138">
        <f t="shared" si="21"/>
        <v>0</v>
      </c>
      <c r="P14" s="138">
        <f t="shared" si="21"/>
        <v>0</v>
      </c>
      <c r="Q14" s="138">
        <f t="shared" si="21"/>
        <v>16715000</v>
      </c>
      <c r="R14" s="138">
        <f t="shared" si="21"/>
        <v>0</v>
      </c>
      <c r="S14" s="138">
        <f t="shared" si="21"/>
        <v>16715000</v>
      </c>
      <c r="T14" s="25"/>
      <c r="U14" s="102"/>
      <c r="V14" s="32"/>
      <c r="W14" s="32"/>
      <c r="X14" s="32"/>
      <c r="Y14" s="32"/>
      <c r="Z14" s="32"/>
    </row>
    <row r="15" spans="1:31" s="83" customFormat="1" ht="24" customHeight="1">
      <c r="A15" s="186" t="s">
        <v>155</v>
      </c>
      <c r="B15" s="185" t="s">
        <v>156</v>
      </c>
      <c r="C15" s="184"/>
      <c r="D15" s="184"/>
      <c r="E15" s="184"/>
      <c r="F15" s="184"/>
      <c r="G15" s="184"/>
      <c r="H15" s="184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02"/>
      <c r="V15" s="84"/>
      <c r="W15" s="84"/>
      <c r="X15" s="85"/>
      <c r="Y15" s="85"/>
      <c r="Z15" s="85"/>
      <c r="AA15" s="86"/>
      <c r="AB15" s="86"/>
      <c r="AC15" s="86"/>
      <c r="AD15" s="86"/>
      <c r="AE15" s="86"/>
    </row>
    <row r="16" spans="1:31" s="35" customFormat="1" ht="24" customHeight="1">
      <c r="A16" s="37">
        <v>1</v>
      </c>
      <c r="B16" s="139" t="s">
        <v>161</v>
      </c>
      <c r="C16" s="87" t="str">
        <f t="shared" ref="C16:C20" si="22">VLOOKUP(B16,DS,2,0)</f>
        <v>Nguyễn Trường Giang</v>
      </c>
      <c r="D16" s="114" t="str">
        <f t="shared" ref="D16:D20" si="23">VLOOKUP(B16,DS,3,0)</f>
        <v>Thợ in</v>
      </c>
      <c r="E16" s="88">
        <f t="shared" ref="E16:E20" si="24">VLOOKUP(B16,DS,4,0)</f>
        <v>5000000</v>
      </c>
      <c r="F16" s="90">
        <f>VLOOKUP(B16,'CC -10'!$B$8:$AS$29,36,0)</f>
        <v>27</v>
      </c>
      <c r="G16" s="143">
        <f t="shared" ref="G16:G20" si="25">ROUND(E16/$U$2*F16,0)</f>
        <v>5000000</v>
      </c>
      <c r="H16" s="90">
        <f>(VLOOKUP(B16,'CC -10'!$B$8:$AS$29,37,0)+VLOOKUP(B16,'CC -10'!$B$8:$AS$29,38,0))</f>
        <v>0</v>
      </c>
      <c r="I16" s="143">
        <f t="shared" ref="I16:I20" si="26">ROUND(E16/$U$2*H16,0)</f>
        <v>0</v>
      </c>
      <c r="J16" s="144">
        <f t="shared" ref="J16:K20" si="27">F16+H16</f>
        <v>27</v>
      </c>
      <c r="K16" s="38">
        <f t="shared" si="27"/>
        <v>5000000</v>
      </c>
      <c r="L16" s="88">
        <f t="shared" ref="L16:L20" si="28">+F16*15000</f>
        <v>405000</v>
      </c>
      <c r="M16" s="39">
        <f t="shared" ref="M16:M20" si="29">K16+L16</f>
        <v>5405000</v>
      </c>
      <c r="N16" s="39">
        <f>IF(VLOOKUP(B16,DS,9,0)="x",'L - 10'!E16*$N$4,0)</f>
        <v>0</v>
      </c>
      <c r="O16" s="39">
        <f t="shared" ref="O16:O20" si="30">IF(VLOOKUP(B16,DS,9,0)="x",E16*0.015,0)</f>
        <v>0</v>
      </c>
      <c r="P16" s="39">
        <f t="shared" ref="P16:P20" si="31">IF(VLOOKUP(B16,DS,9,0)="x",E16*0.01,0)</f>
        <v>0</v>
      </c>
      <c r="Q16" s="38">
        <f>M16-SUM(N16:P16)</f>
        <v>5405000</v>
      </c>
      <c r="R16" s="38">
        <f t="shared" ref="R16:R20" si="32">VLOOKUP(B16,DS,23,0)</f>
        <v>0</v>
      </c>
      <c r="S16" s="44">
        <f>Q16-R16</f>
        <v>5405000</v>
      </c>
      <c r="T16" s="38"/>
      <c r="U16" s="102"/>
      <c r="V16" s="36"/>
      <c r="W16" s="27"/>
      <c r="X16" s="5"/>
      <c r="Y16" s="5"/>
      <c r="Z16" s="5"/>
      <c r="AA16" s="4"/>
      <c r="AB16" s="4"/>
      <c r="AC16" s="4"/>
      <c r="AD16" s="4"/>
      <c r="AE16" s="4"/>
    </row>
    <row r="17" spans="1:31" s="35" customFormat="1" ht="24" customHeight="1">
      <c r="A17" s="37">
        <v>2</v>
      </c>
      <c r="B17" s="139" t="s">
        <v>162</v>
      </c>
      <c r="C17" s="87" t="str">
        <f t="shared" ref="C17:C18" si="33">VLOOKUP(B17,DS,2,0)</f>
        <v>Võ Văn Kiệt</v>
      </c>
      <c r="D17" s="114" t="str">
        <f t="shared" ref="D17:D18" si="34">VLOOKUP(B17,DS,3,0)</f>
        <v>Công Đoạn 1</v>
      </c>
      <c r="E17" s="88">
        <f t="shared" ref="E17:E18" si="35">VLOOKUP(B17,DS,4,0)</f>
        <v>5000000</v>
      </c>
      <c r="F17" s="90">
        <f>VLOOKUP(B17,'CC -10'!$B$8:$AS$29,36,0)</f>
        <v>27</v>
      </c>
      <c r="G17" s="143">
        <f t="shared" ref="G17:G18" si="36">ROUND(E17/$U$2*F17,0)</f>
        <v>5000000</v>
      </c>
      <c r="H17" s="90">
        <f>(VLOOKUP(B17,'CC -10'!$B$8:$AS$29,37,0)+VLOOKUP(B17,'CC -10'!$B$8:$AS$29,38,0))</f>
        <v>0</v>
      </c>
      <c r="I17" s="143">
        <f t="shared" ref="I17:I18" si="37">ROUND(E17/$U$2*H17,0)</f>
        <v>0</v>
      </c>
      <c r="J17" s="144">
        <f t="shared" ref="J17:J18" si="38">F17+H17</f>
        <v>27</v>
      </c>
      <c r="K17" s="38">
        <f t="shared" ref="K17:K18" si="39">G17+I17</f>
        <v>5000000</v>
      </c>
      <c r="L17" s="88">
        <f t="shared" ref="L17:L18" si="40">+F17*15000</f>
        <v>405000</v>
      </c>
      <c r="M17" s="39">
        <f t="shared" ref="M17:M18" si="41">K17+L17</f>
        <v>5405000</v>
      </c>
      <c r="N17" s="39">
        <f>IF(VLOOKUP(B17,DS,9,0)="x",'L - 10'!E17*$N$4,0)</f>
        <v>0</v>
      </c>
      <c r="O17" s="39">
        <f t="shared" ref="O17:O18" si="42">IF(VLOOKUP(B17,DS,9,0)="x",E17*0.015,0)</f>
        <v>0</v>
      </c>
      <c r="P17" s="39">
        <f t="shared" ref="P17:P18" si="43">IF(VLOOKUP(B17,DS,9,0)="x",E17*0.01,0)</f>
        <v>0</v>
      </c>
      <c r="Q17" s="38">
        <f t="shared" ref="Q17:Q18" si="44">M17-SUM(N17:P17)</f>
        <v>5405000</v>
      </c>
      <c r="R17" s="38">
        <f t="shared" ref="R17:R18" si="45">VLOOKUP(B17,DS,23,0)</f>
        <v>0</v>
      </c>
      <c r="S17" s="44">
        <f t="shared" ref="S17:S18" si="46">Q17-R17</f>
        <v>5405000</v>
      </c>
      <c r="T17" s="38"/>
      <c r="U17" s="102"/>
      <c r="V17" s="36"/>
      <c r="W17" s="27"/>
      <c r="X17" s="5"/>
      <c r="Y17" s="5"/>
      <c r="Z17" s="5"/>
      <c r="AA17" s="4"/>
      <c r="AB17" s="4"/>
      <c r="AC17" s="4"/>
      <c r="AD17" s="4"/>
      <c r="AE17" s="4"/>
    </row>
    <row r="18" spans="1:31" s="35" customFormat="1" ht="24" customHeight="1">
      <c r="A18" s="37">
        <v>3</v>
      </c>
      <c r="B18" s="139" t="s">
        <v>163</v>
      </c>
      <c r="C18" s="87" t="str">
        <f t="shared" si="33"/>
        <v>Diệp Văn Lân</v>
      </c>
      <c r="D18" s="114" t="str">
        <f t="shared" si="34"/>
        <v>Công Đoạn 1</v>
      </c>
      <c r="E18" s="88">
        <f t="shared" si="35"/>
        <v>4200000</v>
      </c>
      <c r="F18" s="90">
        <f>VLOOKUP(B18,'CC -10'!$B$8:$AS$29,36,0)</f>
        <v>27</v>
      </c>
      <c r="G18" s="143">
        <f t="shared" si="36"/>
        <v>4200000</v>
      </c>
      <c r="H18" s="90">
        <f>(VLOOKUP(B18,'CC -10'!$B$8:$AS$29,37,0)+VLOOKUP(B18,'CC -10'!$B$8:$AS$29,38,0))</f>
        <v>0</v>
      </c>
      <c r="I18" s="143">
        <f t="shared" si="37"/>
        <v>0</v>
      </c>
      <c r="J18" s="144">
        <f t="shared" si="38"/>
        <v>27</v>
      </c>
      <c r="K18" s="38">
        <f t="shared" si="39"/>
        <v>4200000</v>
      </c>
      <c r="L18" s="88">
        <f t="shared" si="40"/>
        <v>405000</v>
      </c>
      <c r="M18" s="39">
        <f t="shared" si="41"/>
        <v>4605000</v>
      </c>
      <c r="N18" s="39">
        <f>IF(VLOOKUP(B18,DS,9,0)="x",'L - 10'!E18*$N$4,0)</f>
        <v>0</v>
      </c>
      <c r="O18" s="39">
        <f t="shared" si="42"/>
        <v>0</v>
      </c>
      <c r="P18" s="39">
        <f t="shared" si="43"/>
        <v>0</v>
      </c>
      <c r="Q18" s="38">
        <f t="shared" si="44"/>
        <v>4605000</v>
      </c>
      <c r="R18" s="38">
        <f t="shared" si="45"/>
        <v>0</v>
      </c>
      <c r="S18" s="44">
        <f t="shared" si="46"/>
        <v>4605000</v>
      </c>
      <c r="T18" s="38"/>
      <c r="U18" s="102"/>
      <c r="V18" s="36"/>
      <c r="W18" s="27"/>
      <c r="X18" s="5"/>
      <c r="Y18" s="5"/>
      <c r="Z18" s="5"/>
      <c r="AA18" s="4"/>
      <c r="AB18" s="4"/>
      <c r="AC18" s="4"/>
      <c r="AD18" s="4"/>
      <c r="AE18" s="4"/>
    </row>
    <row r="19" spans="1:31" s="35" customFormat="1" ht="24" customHeight="1">
      <c r="A19" s="37">
        <v>4</v>
      </c>
      <c r="B19" s="139" t="s">
        <v>176</v>
      </c>
      <c r="C19" s="87" t="str">
        <f t="shared" si="22"/>
        <v>Dương Thế Kiệt</v>
      </c>
      <c r="D19" s="114" t="str">
        <f t="shared" si="23"/>
        <v>Công Đoạn 1</v>
      </c>
      <c r="E19" s="88">
        <f t="shared" si="24"/>
        <v>4200000</v>
      </c>
      <c r="F19" s="90">
        <f>VLOOKUP(B19,'CC -10'!$B$8:$AS$29,36,0)</f>
        <v>27</v>
      </c>
      <c r="G19" s="143">
        <f t="shared" si="25"/>
        <v>4200000</v>
      </c>
      <c r="H19" s="90">
        <f>(VLOOKUP(B19,'CC -10'!$B$8:$AS$29,37,0)+VLOOKUP(B19,'CC -10'!$B$8:$AS$29,38,0))</f>
        <v>0</v>
      </c>
      <c r="I19" s="143">
        <f t="shared" si="26"/>
        <v>0</v>
      </c>
      <c r="J19" s="144">
        <f t="shared" si="27"/>
        <v>27</v>
      </c>
      <c r="K19" s="38">
        <f t="shared" si="27"/>
        <v>4200000</v>
      </c>
      <c r="L19" s="88">
        <f t="shared" si="28"/>
        <v>405000</v>
      </c>
      <c r="M19" s="39">
        <f t="shared" si="29"/>
        <v>4605000</v>
      </c>
      <c r="N19" s="39">
        <f>IF(VLOOKUP(B19,DS,9,0)="x",'L - 10'!E19*$N$4,0)</f>
        <v>0</v>
      </c>
      <c r="O19" s="39">
        <f t="shared" si="30"/>
        <v>0</v>
      </c>
      <c r="P19" s="39">
        <f t="shared" si="31"/>
        <v>0</v>
      </c>
      <c r="Q19" s="38">
        <f t="shared" ref="Q19:Q20" si="47">M19-SUM(N19:P19)</f>
        <v>4605000</v>
      </c>
      <c r="R19" s="38">
        <f t="shared" si="32"/>
        <v>0</v>
      </c>
      <c r="S19" s="44">
        <f t="shared" ref="S19:S20" si="48">Q19-R19</f>
        <v>4605000</v>
      </c>
      <c r="T19" s="38"/>
      <c r="U19" s="102"/>
      <c r="V19" s="36"/>
      <c r="W19" s="27"/>
      <c r="X19" s="5"/>
      <c r="Y19" s="5"/>
      <c r="Z19" s="5"/>
      <c r="AA19" s="4"/>
      <c r="AB19" s="4"/>
      <c r="AC19" s="4"/>
      <c r="AD19" s="4"/>
      <c r="AE19" s="4"/>
    </row>
    <row r="20" spans="1:31" s="35" customFormat="1" ht="24" customHeight="1">
      <c r="A20" s="37">
        <v>5</v>
      </c>
      <c r="B20" s="139" t="s">
        <v>177</v>
      </c>
      <c r="C20" s="87" t="str">
        <f t="shared" si="22"/>
        <v>Lê Văn Hữu</v>
      </c>
      <c r="D20" s="114" t="str">
        <f t="shared" si="23"/>
        <v>Công Đoạn 2</v>
      </c>
      <c r="E20" s="88">
        <f t="shared" si="24"/>
        <v>5000000</v>
      </c>
      <c r="F20" s="90">
        <f>VLOOKUP(B20,'CC -10'!$B$8:$AS$29,36,0)</f>
        <v>27</v>
      </c>
      <c r="G20" s="143">
        <f t="shared" si="25"/>
        <v>5000000</v>
      </c>
      <c r="H20" s="90">
        <f>(VLOOKUP(B20,'CC -10'!$B$8:$AS$29,37,0)+VLOOKUP(B20,'CC -10'!$B$8:$AS$29,38,0))</f>
        <v>0</v>
      </c>
      <c r="I20" s="143">
        <f t="shared" si="26"/>
        <v>0</v>
      </c>
      <c r="J20" s="144">
        <f t="shared" si="27"/>
        <v>27</v>
      </c>
      <c r="K20" s="38">
        <f t="shared" si="27"/>
        <v>5000000</v>
      </c>
      <c r="L20" s="88">
        <f t="shared" si="28"/>
        <v>405000</v>
      </c>
      <c r="M20" s="39">
        <f t="shared" si="29"/>
        <v>5405000</v>
      </c>
      <c r="N20" s="39">
        <f>IF(VLOOKUP(B20,DS,9,0)="x",'L - 10'!E20*$N$4,0)</f>
        <v>0</v>
      </c>
      <c r="O20" s="39">
        <f t="shared" si="30"/>
        <v>0</v>
      </c>
      <c r="P20" s="39">
        <f t="shared" si="31"/>
        <v>0</v>
      </c>
      <c r="Q20" s="38">
        <f t="shared" si="47"/>
        <v>5405000</v>
      </c>
      <c r="R20" s="38">
        <f t="shared" si="32"/>
        <v>0</v>
      </c>
      <c r="S20" s="44">
        <f t="shared" si="48"/>
        <v>5405000</v>
      </c>
      <c r="T20" s="38"/>
      <c r="U20" s="102"/>
      <c r="V20" s="36"/>
      <c r="W20" s="27"/>
      <c r="X20" s="5"/>
      <c r="Y20" s="5"/>
      <c r="Z20" s="5"/>
      <c r="AA20" s="4"/>
      <c r="AB20" s="4"/>
      <c r="AC20" s="4"/>
      <c r="AD20" s="4"/>
      <c r="AE20" s="4"/>
    </row>
    <row r="21" spans="1:31" s="35" customFormat="1" ht="24" customHeight="1">
      <c r="A21" s="37">
        <v>6</v>
      </c>
      <c r="B21" s="139" t="s">
        <v>178</v>
      </c>
      <c r="C21" s="87" t="str">
        <f t="shared" ref="C21:C22" si="49">VLOOKUP(B21,DS,2,0)</f>
        <v>Bùi Trường Giang</v>
      </c>
      <c r="D21" s="114" t="str">
        <f t="shared" ref="D21:D22" si="50">VLOOKUP(B21,DS,3,0)</f>
        <v>Công Đoạn 2</v>
      </c>
      <c r="E21" s="88">
        <f t="shared" ref="E21:E22" si="51">VLOOKUP(B21,DS,4,0)</f>
        <v>4200000</v>
      </c>
      <c r="F21" s="90">
        <f>VLOOKUP(B21,'CC -10'!$B$8:$AS$29,36,0)</f>
        <v>27</v>
      </c>
      <c r="G21" s="143">
        <f t="shared" ref="G21:G22" si="52">ROUND(E21/$U$2*F21,0)</f>
        <v>4200000</v>
      </c>
      <c r="H21" s="90">
        <f>(VLOOKUP(B21,'CC -10'!$B$8:$AS$29,37,0)+VLOOKUP(B21,'CC -10'!$B$8:$AS$29,38,0))</f>
        <v>0</v>
      </c>
      <c r="I21" s="143">
        <f t="shared" ref="I21:I22" si="53">ROUND(E21/$U$2*H21,0)</f>
        <v>0</v>
      </c>
      <c r="J21" s="144">
        <f t="shared" ref="J21:J22" si="54">F21+H21</f>
        <v>27</v>
      </c>
      <c r="K21" s="38">
        <f t="shared" ref="K21:K22" si="55">G21+I21</f>
        <v>4200000</v>
      </c>
      <c r="L21" s="88">
        <f t="shared" ref="L21:L22" si="56">+F21*15000</f>
        <v>405000</v>
      </c>
      <c r="M21" s="39">
        <f t="shared" ref="M21:M22" si="57">K21+L21</f>
        <v>4605000</v>
      </c>
      <c r="N21" s="39">
        <f>IF(VLOOKUP(B21,DS,9,0)="x",'L - 10'!E21*$N$4,0)</f>
        <v>0</v>
      </c>
      <c r="O21" s="39">
        <f t="shared" ref="O21:O22" si="58">IF(VLOOKUP(B21,DS,9,0)="x",E21*0.015,0)</f>
        <v>0</v>
      </c>
      <c r="P21" s="39">
        <f t="shared" ref="P21:P22" si="59">IF(VLOOKUP(B21,DS,9,0)="x",E21*0.01,0)</f>
        <v>0</v>
      </c>
      <c r="Q21" s="38">
        <f t="shared" ref="Q21:Q22" si="60">M21-SUM(N21:P21)</f>
        <v>4605000</v>
      </c>
      <c r="R21" s="38">
        <f t="shared" ref="R21:R22" si="61">VLOOKUP(B21,DS,23,0)</f>
        <v>0</v>
      </c>
      <c r="S21" s="44">
        <f t="shared" ref="S21:S22" si="62">Q21-R21</f>
        <v>4605000</v>
      </c>
      <c r="T21" s="38"/>
      <c r="U21" s="102"/>
      <c r="V21" s="36"/>
      <c r="W21" s="27"/>
      <c r="X21" s="5"/>
      <c r="Y21" s="5"/>
      <c r="Z21" s="5"/>
      <c r="AA21" s="4"/>
      <c r="AB21" s="4"/>
      <c r="AC21" s="4"/>
      <c r="AD21" s="4"/>
      <c r="AE21" s="4"/>
    </row>
    <row r="22" spans="1:31" s="35" customFormat="1" ht="24" customHeight="1">
      <c r="A22" s="37">
        <v>7</v>
      </c>
      <c r="B22" s="139" t="s">
        <v>179</v>
      </c>
      <c r="C22" s="87" t="str">
        <f t="shared" si="49"/>
        <v>Nguyễn T Bích Thủy</v>
      </c>
      <c r="D22" s="114" t="str">
        <f t="shared" si="50"/>
        <v>Công Đoạn 2</v>
      </c>
      <c r="E22" s="88">
        <f t="shared" si="51"/>
        <v>4200000</v>
      </c>
      <c r="F22" s="90">
        <f>VLOOKUP(B22,'CC -10'!$B$8:$AS$29,36,0)</f>
        <v>27</v>
      </c>
      <c r="G22" s="143">
        <f t="shared" si="52"/>
        <v>4200000</v>
      </c>
      <c r="H22" s="90">
        <f>(VLOOKUP(B22,'CC -10'!$B$8:$AS$29,37,0)+VLOOKUP(B22,'CC -10'!$B$8:$AS$29,38,0))</f>
        <v>0</v>
      </c>
      <c r="I22" s="143">
        <f t="shared" si="53"/>
        <v>0</v>
      </c>
      <c r="J22" s="144">
        <f t="shared" si="54"/>
        <v>27</v>
      </c>
      <c r="K22" s="38">
        <f t="shared" si="55"/>
        <v>4200000</v>
      </c>
      <c r="L22" s="88">
        <f t="shared" si="56"/>
        <v>405000</v>
      </c>
      <c r="M22" s="39">
        <f t="shared" si="57"/>
        <v>4605000</v>
      </c>
      <c r="N22" s="39">
        <f>IF(VLOOKUP(B22,DS,9,0)="x",'L - 10'!E22*$N$4,0)</f>
        <v>0</v>
      </c>
      <c r="O22" s="39">
        <f t="shared" si="58"/>
        <v>0</v>
      </c>
      <c r="P22" s="39">
        <f t="shared" si="59"/>
        <v>0</v>
      </c>
      <c r="Q22" s="38">
        <f t="shared" si="60"/>
        <v>4605000</v>
      </c>
      <c r="R22" s="38">
        <f t="shared" si="61"/>
        <v>0</v>
      </c>
      <c r="S22" s="44">
        <f t="shared" si="62"/>
        <v>4605000</v>
      </c>
      <c r="T22" s="38"/>
      <c r="U22" s="102"/>
      <c r="V22" s="36"/>
      <c r="W22" s="27"/>
      <c r="X22" s="5"/>
      <c r="Y22" s="5"/>
      <c r="Z22" s="5"/>
      <c r="AA22" s="4"/>
      <c r="AB22" s="4"/>
      <c r="AC22" s="4"/>
      <c r="AD22" s="4"/>
      <c r="AE22" s="4"/>
    </row>
    <row r="23" spans="1:31" s="35" customFormat="1" ht="22.5" customHeight="1">
      <c r="A23" s="40"/>
      <c r="B23" s="183"/>
      <c r="C23" s="41"/>
      <c r="D23" s="3"/>
      <c r="E23" s="42"/>
      <c r="F23" s="42"/>
      <c r="G23" s="42"/>
      <c r="H23" s="42"/>
      <c r="I23" s="42"/>
      <c r="J23" s="43"/>
      <c r="K23" s="42"/>
      <c r="L23" s="42"/>
      <c r="M23" s="182"/>
      <c r="N23" s="42"/>
      <c r="O23" s="42"/>
      <c r="P23" s="42"/>
      <c r="Q23" s="42"/>
      <c r="R23" s="42"/>
      <c r="S23" s="42"/>
      <c r="T23" s="38"/>
      <c r="U23" s="102"/>
      <c r="V23" s="36"/>
      <c r="W23" s="36"/>
      <c r="X23" s="36"/>
      <c r="Y23" s="36"/>
      <c r="Z23" s="36"/>
    </row>
    <row r="24" spans="1:31" s="31" customFormat="1" ht="21" customHeight="1">
      <c r="A24" s="283" t="s">
        <v>25</v>
      </c>
      <c r="B24" s="283"/>
      <c r="C24" s="283"/>
      <c r="D24" s="283"/>
      <c r="E24" s="138">
        <f>SUM(E15:E23)</f>
        <v>31800000</v>
      </c>
      <c r="F24" s="138"/>
      <c r="G24" s="138">
        <f>SUM(G15:G23)</f>
        <v>31800000</v>
      </c>
      <c r="H24" s="138"/>
      <c r="I24" s="138">
        <f>SUM(I15:I23)</f>
        <v>0</v>
      </c>
      <c r="J24" s="138"/>
      <c r="K24" s="138">
        <f t="shared" ref="K24:S24" si="63">SUM(K15:K23)</f>
        <v>31800000</v>
      </c>
      <c r="L24" s="138">
        <f t="shared" si="63"/>
        <v>2835000</v>
      </c>
      <c r="M24" s="138">
        <f t="shared" si="63"/>
        <v>34635000</v>
      </c>
      <c r="N24" s="138">
        <f t="shared" si="63"/>
        <v>0</v>
      </c>
      <c r="O24" s="138">
        <f t="shared" si="63"/>
        <v>0</v>
      </c>
      <c r="P24" s="138">
        <f t="shared" si="63"/>
        <v>0</v>
      </c>
      <c r="Q24" s="138">
        <f t="shared" si="63"/>
        <v>34635000</v>
      </c>
      <c r="R24" s="138">
        <f t="shared" si="63"/>
        <v>0</v>
      </c>
      <c r="S24" s="138">
        <f t="shared" si="63"/>
        <v>34635000</v>
      </c>
      <c r="T24" s="25"/>
      <c r="U24" s="102"/>
      <c r="V24" s="32"/>
      <c r="W24" s="32"/>
      <c r="X24" s="32"/>
      <c r="Y24" s="32"/>
      <c r="Z24" s="32"/>
    </row>
    <row r="25" spans="1:31" ht="11.25" customHeight="1">
      <c r="A25" s="8"/>
      <c r="B25" s="8"/>
      <c r="C25" s="9"/>
      <c r="D25" s="115"/>
      <c r="E25" s="92"/>
      <c r="F25" s="9"/>
      <c r="G25" s="9"/>
      <c r="H25" s="9"/>
      <c r="I25" s="9"/>
      <c r="K25" s="9"/>
      <c r="L25" s="9"/>
      <c r="M25" s="100"/>
      <c r="N25" s="9"/>
      <c r="O25" s="9"/>
      <c r="P25" s="9"/>
      <c r="Q25" s="9"/>
      <c r="R25" s="9"/>
      <c r="S25" s="9"/>
      <c r="T25" s="9"/>
      <c r="U25" s="102"/>
    </row>
    <row r="26" spans="1:31" s="35" customFormat="1" ht="11.25" customHeight="1">
      <c r="A26" s="76"/>
      <c r="B26" s="76"/>
      <c r="C26" s="76"/>
      <c r="D26" s="131"/>
      <c r="E26" s="132"/>
      <c r="F26" s="76"/>
      <c r="G26" s="76"/>
      <c r="H26" s="76"/>
      <c r="I26" s="76"/>
      <c r="J26" s="133"/>
      <c r="K26" s="132"/>
      <c r="L26" s="76"/>
      <c r="M26" s="76"/>
      <c r="N26" s="76"/>
      <c r="O26" s="76"/>
      <c r="P26" s="76"/>
      <c r="Q26" s="76"/>
      <c r="R26" s="76"/>
      <c r="S26" s="106" t="str">
        <f>"Long An, ngày  "&amp;$V$2&amp;"   tháng   "&amp;TEXT(E4,"mm")&amp;"   năm "&amp;TEXT(E4,"yyyy")</f>
        <v>Long An, ngày  31   tháng   10   năm 2015</v>
      </c>
      <c r="T26" s="76"/>
      <c r="U26" s="134"/>
      <c r="V26" s="36"/>
      <c r="W26" s="36"/>
      <c r="X26" s="36"/>
      <c r="Y26" s="36"/>
      <c r="Z26" s="36"/>
    </row>
    <row r="27" spans="1:31" s="35" customFormat="1" ht="12.75">
      <c r="A27" s="28"/>
      <c r="B27" s="28"/>
      <c r="C27" s="28" t="s">
        <v>60</v>
      </c>
      <c r="D27" s="135"/>
      <c r="E27" s="77"/>
      <c r="F27" s="134"/>
      <c r="G27" s="77"/>
      <c r="H27" s="77"/>
      <c r="I27" s="77"/>
      <c r="J27" s="136"/>
      <c r="K27" s="36"/>
      <c r="L27" s="28"/>
      <c r="M27" s="145"/>
      <c r="N27" s="19"/>
      <c r="O27" s="19"/>
      <c r="P27" s="19"/>
      <c r="Q27" s="19"/>
      <c r="S27" s="134" t="s">
        <v>22</v>
      </c>
      <c r="T27" s="134"/>
      <c r="U27" s="134"/>
      <c r="V27" s="36"/>
      <c r="W27" s="36"/>
      <c r="X27" s="36"/>
      <c r="Y27" s="36"/>
      <c r="Z27" s="36"/>
    </row>
    <row r="28" spans="1:31" ht="12">
      <c r="A28" s="8"/>
      <c r="B28" s="8"/>
      <c r="C28" s="15"/>
      <c r="E28" s="13"/>
      <c r="F28" s="12"/>
      <c r="G28" s="13"/>
      <c r="H28" s="13"/>
      <c r="I28" s="13"/>
      <c r="K28" s="7"/>
      <c r="L28" s="15"/>
      <c r="N28" s="11"/>
      <c r="O28" s="11"/>
      <c r="P28" s="11"/>
      <c r="Q28" s="11"/>
      <c r="S28" s="11"/>
      <c r="T28" s="12"/>
      <c r="U28" s="102"/>
    </row>
    <row r="29" spans="1:31" ht="12">
      <c r="C29" s="15"/>
      <c r="L29" s="15"/>
      <c r="T29" s="15"/>
      <c r="U29" s="102"/>
    </row>
    <row r="30" spans="1:31" ht="12">
      <c r="U30" s="102"/>
    </row>
    <row r="31" spans="1:31" ht="12">
      <c r="U31" s="102"/>
    </row>
    <row r="32" spans="1:31" ht="12">
      <c r="U32" s="102"/>
    </row>
    <row r="33" spans="21:21" ht="12">
      <c r="U33" s="102"/>
    </row>
    <row r="34" spans="21:21" ht="12">
      <c r="U34" s="102"/>
    </row>
    <row r="35" spans="21:21" ht="12">
      <c r="U35" s="102"/>
    </row>
  </sheetData>
  <protectedRanges>
    <protectedRange password="CC78" sqref="V23:IK24 C5:D7 B27:C27 V5:W9 A23:A28 B23:B26 B28 V15:W15 Q5:T7 E5:I6 D24 N5:P6 L5 L27 J6:K7 L7 A30:T63 U36:U63 N23:S23 V30:IK63 J23:L23 A64:IK65331 AF15:IK15 V14:IK14 D14 Q10:S13 W10:W13 AF5:IK13 A10:B14" name="Range1"/>
    <protectedRange password="CC78" sqref="F7:H7" name="Range1_4"/>
    <protectedRange password="CC78" sqref="V27:IK28 S27:T28 N27:Q28 E27:I28" name="Range1_1_1"/>
    <protectedRange password="CC78" sqref="U1 W1:IK3 V4:IK4 B4:T4 R2:S3 B1:Q3 U23:U35 X15:AE15 U4:U15 X5:AE13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6:IK22 Q16:S22 W16:W22 A16:B22" name="Range1_5"/>
    <protectedRange password="CC78" sqref="X16:AE22 U16:U22" name="Range1_2_3"/>
    <protectedRange password="CC78" sqref="V16:V22" name="Range1_1_3"/>
    <protectedRange password="CC78" sqref="K10:K13 K16:K22" name="Range1_6"/>
    <protectedRange password="CC78" sqref="A2:A3" name="Range1_2_1_3"/>
    <protectedRange password="CC78" sqref="E14:T14" name="Range1_3"/>
    <protectedRange password="CC78" sqref="E24:T24" name="Range1_7"/>
    <protectedRange password="CC78" sqref="U2" name="Range1_2_2_1_1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4:D14"/>
    <mergeCell ref="A24:D24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6"/>
  <sheetViews>
    <sheetView zoomScaleNormal="115" workbookViewId="0">
      <pane xSplit="3" ySplit="6" topLeftCell="D1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16" sqref="A16:B2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2" customWidth="1"/>
    <col min="5" max="5" width="7.140625" style="2" customWidth="1"/>
    <col min="6" max="33" width="3.42578125" style="121" customWidth="1"/>
    <col min="34" max="35" width="3.42578125" style="122" customWidth="1"/>
    <col min="36" max="36" width="3.42578125" style="122" hidden="1" customWidth="1"/>
    <col min="37" max="38" width="4.42578125" style="2" customWidth="1"/>
    <col min="39" max="39" width="5.5703125" style="98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7"/>
      <c r="B1" s="52"/>
      <c r="C1" s="52"/>
      <c r="D1" s="56"/>
      <c r="E1" s="52"/>
      <c r="F1" s="56"/>
      <c r="G1" s="56"/>
      <c r="H1" s="56"/>
      <c r="I1" s="56"/>
      <c r="J1" s="56"/>
      <c r="K1" s="117"/>
      <c r="L1" s="117"/>
      <c r="M1" s="117"/>
      <c r="N1" s="117"/>
      <c r="O1" s="117"/>
      <c r="P1" s="117"/>
      <c r="Q1" s="117"/>
      <c r="R1" s="117"/>
      <c r="S1" s="54" t="str">
        <f>CONCATENATE("BẢNG CHẤM CÔNG THÁNG ",TEXT($E$4,"mm")," NĂM ",TEXT($E$4,"yyyy"))</f>
        <v>BẢNG CHẤM CÔNG THÁNG 11 NĂM 2015</v>
      </c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K1" s="53"/>
      <c r="AL1" s="53"/>
      <c r="AM1" s="242" t="s">
        <v>170</v>
      </c>
      <c r="AN1" s="243"/>
      <c r="AO1" s="243"/>
      <c r="AP1" s="243"/>
      <c r="AQ1" s="243"/>
      <c r="AR1" s="243"/>
      <c r="AS1" s="244"/>
      <c r="AT1" s="55"/>
    </row>
    <row r="2" spans="1:91" ht="20.25">
      <c r="A2" s="137"/>
      <c r="B2" s="56"/>
      <c r="C2" s="56"/>
      <c r="D2" s="56"/>
      <c r="E2" s="56"/>
      <c r="F2" s="56"/>
      <c r="G2" s="56"/>
      <c r="H2" s="56"/>
      <c r="I2" s="56"/>
      <c r="J2" s="56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53"/>
      <c r="AL2" s="53"/>
      <c r="AM2" s="94"/>
      <c r="AN2" s="57"/>
      <c r="AO2" s="57"/>
      <c r="AP2" s="57"/>
      <c r="AQ2" s="57"/>
      <c r="AR2" s="57"/>
      <c r="AS2" s="93"/>
      <c r="AT2" s="93"/>
    </row>
    <row r="3" spans="1:91" ht="21" customHeight="1">
      <c r="A3" s="137"/>
      <c r="B3" s="58"/>
      <c r="C3" s="58"/>
      <c r="D3" s="59"/>
      <c r="E3" s="59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53"/>
      <c r="AL3" s="53"/>
      <c r="AM3" s="94"/>
      <c r="AN3" s="55"/>
      <c r="AO3" s="55"/>
      <c r="AP3" s="55"/>
      <c r="AQ3" s="55"/>
      <c r="AR3" s="55"/>
      <c r="AS3" s="60"/>
      <c r="AT3" s="60"/>
    </row>
    <row r="4" spans="1:91" ht="14.25" customHeight="1">
      <c r="A4" s="61"/>
      <c r="B4" s="61"/>
      <c r="C4" s="154"/>
      <c r="D4" s="153"/>
      <c r="E4" s="62">
        <v>42309</v>
      </c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4"/>
      <c r="AI4" s="64"/>
      <c r="AJ4" s="64"/>
      <c r="AK4" s="61"/>
      <c r="AL4" s="61"/>
      <c r="AM4" s="95"/>
      <c r="AN4" s="61"/>
      <c r="AO4" s="61"/>
      <c r="AP4" s="61"/>
      <c r="AQ4" s="61"/>
      <c r="AR4" s="61"/>
      <c r="AS4" s="61"/>
      <c r="AT4" s="99"/>
    </row>
    <row r="5" spans="1:91" s="65" customFormat="1" ht="18.75" customHeight="1">
      <c r="A5" s="245" t="s">
        <v>28</v>
      </c>
      <c r="B5" s="245" t="s">
        <v>3</v>
      </c>
      <c r="C5" s="245" t="s">
        <v>1</v>
      </c>
      <c r="D5" s="247" t="s">
        <v>29</v>
      </c>
      <c r="E5" s="245" t="s">
        <v>30</v>
      </c>
      <c r="F5" s="116">
        <f>+E4</f>
        <v>42309</v>
      </c>
      <c r="G5" s="116">
        <f t="shared" ref="G5:AI5" si="0">F5+1</f>
        <v>42310</v>
      </c>
      <c r="H5" s="116">
        <f t="shared" si="0"/>
        <v>42311</v>
      </c>
      <c r="I5" s="116">
        <f t="shared" si="0"/>
        <v>42312</v>
      </c>
      <c r="J5" s="116">
        <f t="shared" si="0"/>
        <v>42313</v>
      </c>
      <c r="K5" s="116">
        <f t="shared" si="0"/>
        <v>42314</v>
      </c>
      <c r="L5" s="116">
        <f t="shared" si="0"/>
        <v>42315</v>
      </c>
      <c r="M5" s="116">
        <f t="shared" si="0"/>
        <v>42316</v>
      </c>
      <c r="N5" s="116">
        <f t="shared" si="0"/>
        <v>42317</v>
      </c>
      <c r="O5" s="116">
        <f t="shared" si="0"/>
        <v>42318</v>
      </c>
      <c r="P5" s="116">
        <f t="shared" si="0"/>
        <v>42319</v>
      </c>
      <c r="Q5" s="116">
        <f t="shared" si="0"/>
        <v>42320</v>
      </c>
      <c r="R5" s="116">
        <f t="shared" si="0"/>
        <v>42321</v>
      </c>
      <c r="S5" s="116">
        <f t="shared" si="0"/>
        <v>42322</v>
      </c>
      <c r="T5" s="116">
        <f t="shared" si="0"/>
        <v>42323</v>
      </c>
      <c r="U5" s="116">
        <f t="shared" si="0"/>
        <v>42324</v>
      </c>
      <c r="V5" s="116">
        <f t="shared" si="0"/>
        <v>42325</v>
      </c>
      <c r="W5" s="116">
        <f t="shared" si="0"/>
        <v>42326</v>
      </c>
      <c r="X5" s="116">
        <f t="shared" si="0"/>
        <v>42327</v>
      </c>
      <c r="Y5" s="116">
        <f t="shared" si="0"/>
        <v>42328</v>
      </c>
      <c r="Z5" s="116">
        <f t="shared" si="0"/>
        <v>42329</v>
      </c>
      <c r="AA5" s="116">
        <f t="shared" si="0"/>
        <v>42330</v>
      </c>
      <c r="AB5" s="116">
        <f t="shared" si="0"/>
        <v>42331</v>
      </c>
      <c r="AC5" s="116">
        <f t="shared" si="0"/>
        <v>42332</v>
      </c>
      <c r="AD5" s="116">
        <f t="shared" si="0"/>
        <v>42333</v>
      </c>
      <c r="AE5" s="116">
        <f t="shared" si="0"/>
        <v>42334</v>
      </c>
      <c r="AF5" s="116">
        <f t="shared" si="0"/>
        <v>42335</v>
      </c>
      <c r="AG5" s="116">
        <f t="shared" si="0"/>
        <v>42336</v>
      </c>
      <c r="AH5" s="116">
        <f>AG5+1</f>
        <v>42337</v>
      </c>
      <c r="AI5" s="116">
        <f t="shared" si="0"/>
        <v>42338</v>
      </c>
      <c r="AJ5" s="224"/>
      <c r="AK5" s="248" t="s">
        <v>15</v>
      </c>
      <c r="AL5" s="249"/>
      <c r="AM5" s="250"/>
      <c r="AN5" s="251" t="s">
        <v>45</v>
      </c>
      <c r="AO5" s="251" t="s">
        <v>41</v>
      </c>
      <c r="AP5" s="251" t="s">
        <v>42</v>
      </c>
      <c r="AQ5" s="251" t="s">
        <v>43</v>
      </c>
      <c r="AR5" s="251" t="s">
        <v>44</v>
      </c>
      <c r="AS5" s="247" t="s">
        <v>0</v>
      </c>
      <c r="AT5" s="26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5" customFormat="1" ht="39.75" customHeight="1">
      <c r="A6" s="246"/>
      <c r="B6" s="246"/>
      <c r="C6" s="246"/>
      <c r="D6" s="246"/>
      <c r="E6" s="246"/>
      <c r="F6" s="172" t="str">
        <f>CHOOSE(WEEKDAY(F5),"C.Nhật","T.Hai","T.Ba","T.Tư","T.Năm","T.Sáu","T.Bảy")</f>
        <v>C.Nhật</v>
      </c>
      <c r="G6" s="172" t="str">
        <f t="shared" ref="G6:AI6" si="1">CHOOSE(WEEKDAY(G5),"C.Nhật","T.Hai","T.Ba","T.Tư","T.Năm","T.Sáu","T.Bảy")</f>
        <v>T.Hai</v>
      </c>
      <c r="H6" s="172" t="str">
        <f t="shared" si="1"/>
        <v>T.Ba</v>
      </c>
      <c r="I6" s="172" t="str">
        <f t="shared" si="1"/>
        <v>T.Tư</v>
      </c>
      <c r="J6" s="172" t="str">
        <f t="shared" si="1"/>
        <v>T.Năm</v>
      </c>
      <c r="K6" s="172" t="str">
        <f t="shared" si="1"/>
        <v>T.Sáu</v>
      </c>
      <c r="L6" s="172" t="str">
        <f t="shared" si="1"/>
        <v>T.Bảy</v>
      </c>
      <c r="M6" s="172" t="str">
        <f t="shared" si="1"/>
        <v>C.Nhật</v>
      </c>
      <c r="N6" s="172" t="str">
        <f t="shared" si="1"/>
        <v>T.Hai</v>
      </c>
      <c r="O6" s="172" t="str">
        <f t="shared" si="1"/>
        <v>T.Ba</v>
      </c>
      <c r="P6" s="172" t="str">
        <f t="shared" si="1"/>
        <v>T.Tư</v>
      </c>
      <c r="Q6" s="172" t="str">
        <f t="shared" si="1"/>
        <v>T.Năm</v>
      </c>
      <c r="R6" s="172" t="str">
        <f t="shared" si="1"/>
        <v>T.Sáu</v>
      </c>
      <c r="S6" s="172" t="str">
        <f t="shared" si="1"/>
        <v>T.Bảy</v>
      </c>
      <c r="T6" s="172" t="str">
        <f t="shared" si="1"/>
        <v>C.Nhật</v>
      </c>
      <c r="U6" s="172" t="str">
        <f t="shared" si="1"/>
        <v>T.Hai</v>
      </c>
      <c r="V6" s="172" t="str">
        <f t="shared" si="1"/>
        <v>T.Ba</v>
      </c>
      <c r="W6" s="172" t="str">
        <f t="shared" si="1"/>
        <v>T.Tư</v>
      </c>
      <c r="X6" s="172" t="str">
        <f t="shared" si="1"/>
        <v>T.Năm</v>
      </c>
      <c r="Y6" s="172" t="str">
        <f t="shared" si="1"/>
        <v>T.Sáu</v>
      </c>
      <c r="Z6" s="172" t="str">
        <f t="shared" si="1"/>
        <v>T.Bảy</v>
      </c>
      <c r="AA6" s="172" t="str">
        <f t="shared" si="1"/>
        <v>C.Nhật</v>
      </c>
      <c r="AB6" s="172" t="str">
        <f t="shared" si="1"/>
        <v>T.Hai</v>
      </c>
      <c r="AC6" s="172" t="str">
        <f t="shared" si="1"/>
        <v>T.Ba</v>
      </c>
      <c r="AD6" s="172" t="str">
        <f t="shared" si="1"/>
        <v>T.Tư</v>
      </c>
      <c r="AE6" s="172" t="str">
        <f t="shared" si="1"/>
        <v>T.Năm</v>
      </c>
      <c r="AF6" s="172" t="str">
        <f t="shared" si="1"/>
        <v>T.Sáu</v>
      </c>
      <c r="AG6" s="172" t="str">
        <f t="shared" si="1"/>
        <v>T.Bảy</v>
      </c>
      <c r="AH6" s="172" t="str">
        <f t="shared" si="1"/>
        <v>C.Nhật</v>
      </c>
      <c r="AI6" s="172" t="str">
        <f t="shared" si="1"/>
        <v>T.Hai</v>
      </c>
      <c r="AJ6" s="172"/>
      <c r="AK6" s="173" t="s">
        <v>16</v>
      </c>
      <c r="AL6" s="173" t="s">
        <v>31</v>
      </c>
      <c r="AM6" s="174" t="s">
        <v>17</v>
      </c>
      <c r="AN6" s="252"/>
      <c r="AO6" s="252"/>
      <c r="AP6" s="252"/>
      <c r="AQ6" s="252"/>
      <c r="AR6" s="252"/>
      <c r="AS6" s="246"/>
      <c r="AT6" s="26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5" customFormat="1" ht="12.75" customHeight="1">
      <c r="A7" s="175">
        <v>1</v>
      </c>
      <c r="B7" s="175">
        <v>1</v>
      </c>
      <c r="C7" s="175">
        <v>2</v>
      </c>
      <c r="D7" s="175">
        <v>3</v>
      </c>
      <c r="E7" s="175">
        <v>4</v>
      </c>
      <c r="F7" s="175">
        <v>5</v>
      </c>
      <c r="G7" s="175">
        <v>6</v>
      </c>
      <c r="H7" s="175">
        <v>7</v>
      </c>
      <c r="I7" s="175">
        <v>8</v>
      </c>
      <c r="J7" s="175">
        <v>9</v>
      </c>
      <c r="K7" s="175">
        <v>10</v>
      </c>
      <c r="L7" s="175">
        <v>11</v>
      </c>
      <c r="M7" s="175">
        <v>12</v>
      </c>
      <c r="N7" s="175">
        <v>13</v>
      </c>
      <c r="O7" s="175">
        <v>14</v>
      </c>
      <c r="P7" s="175">
        <v>15</v>
      </c>
      <c r="Q7" s="175">
        <v>16</v>
      </c>
      <c r="R7" s="175">
        <v>17</v>
      </c>
      <c r="S7" s="175">
        <v>18</v>
      </c>
      <c r="T7" s="175">
        <v>19</v>
      </c>
      <c r="U7" s="175">
        <v>20</v>
      </c>
      <c r="V7" s="175">
        <v>21</v>
      </c>
      <c r="W7" s="175">
        <v>22</v>
      </c>
      <c r="X7" s="175">
        <v>23</v>
      </c>
      <c r="Y7" s="175">
        <v>24</v>
      </c>
      <c r="Z7" s="175">
        <v>25</v>
      </c>
      <c r="AA7" s="175">
        <v>26</v>
      </c>
      <c r="AB7" s="175">
        <v>27</v>
      </c>
      <c r="AC7" s="175">
        <v>28</v>
      </c>
      <c r="AD7" s="175">
        <v>29</v>
      </c>
      <c r="AE7" s="175">
        <v>30</v>
      </c>
      <c r="AF7" s="175">
        <v>31</v>
      </c>
      <c r="AG7" s="175">
        <v>32</v>
      </c>
      <c r="AH7" s="175">
        <v>33</v>
      </c>
      <c r="AI7" s="175">
        <v>34</v>
      </c>
      <c r="AJ7" s="175"/>
      <c r="AK7" s="175">
        <v>36</v>
      </c>
      <c r="AL7" s="175">
        <v>37</v>
      </c>
      <c r="AM7" s="175">
        <v>38</v>
      </c>
      <c r="AN7" s="175">
        <v>39</v>
      </c>
      <c r="AO7" s="175">
        <v>40</v>
      </c>
      <c r="AP7" s="175">
        <v>41</v>
      </c>
      <c r="AQ7" s="175">
        <v>42</v>
      </c>
      <c r="AR7" s="175">
        <v>43</v>
      </c>
      <c r="AS7" s="175">
        <v>44</v>
      </c>
      <c r="AT7" s="214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8" customFormat="1" ht="21" customHeight="1">
      <c r="A8" s="176" t="s">
        <v>154</v>
      </c>
      <c r="B8" s="179" t="s">
        <v>171</v>
      </c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0"/>
      <c r="W8" s="180"/>
      <c r="X8" s="180"/>
      <c r="Y8" s="180"/>
      <c r="Z8" s="180"/>
      <c r="AA8" s="180"/>
      <c r="AB8" s="180"/>
      <c r="AC8" s="180"/>
      <c r="AD8" s="180"/>
      <c r="AE8" s="180"/>
      <c r="AF8" s="180"/>
      <c r="AG8" s="180"/>
      <c r="AH8" s="180"/>
      <c r="AI8" s="180"/>
      <c r="AJ8" s="180"/>
      <c r="AK8" s="180"/>
      <c r="AL8" s="180"/>
      <c r="AM8" s="180"/>
      <c r="AN8" s="180"/>
      <c r="AO8" s="180"/>
      <c r="AP8" s="180"/>
      <c r="AQ8" s="180"/>
      <c r="AR8" s="180"/>
      <c r="AS8" s="181"/>
      <c r="AT8" s="177"/>
    </row>
    <row r="9" spans="1:91" s="65" customFormat="1" ht="18" customHeight="1">
      <c r="A9" s="253">
        <v>1</v>
      </c>
      <c r="B9" s="253" t="s">
        <v>159</v>
      </c>
      <c r="C9" s="255" t="str">
        <f>VLOOKUP(B9,DS,2,0)</f>
        <v>Nguyễn Thị Thu Sương</v>
      </c>
      <c r="D9" s="257" t="str">
        <f>VLOOKUP(B9,DS,3,0)</f>
        <v>Kinh Doanh</v>
      </c>
      <c r="E9" s="66" t="s">
        <v>32</v>
      </c>
      <c r="F9" s="141"/>
      <c r="G9" s="141">
        <v>8</v>
      </c>
      <c r="H9" s="141">
        <v>8</v>
      </c>
      <c r="I9" s="141">
        <v>8</v>
      </c>
      <c r="J9" s="141">
        <v>8</v>
      </c>
      <c r="K9" s="141">
        <v>8</v>
      </c>
      <c r="L9" s="141">
        <v>8</v>
      </c>
      <c r="M9" s="141"/>
      <c r="N9" s="141">
        <v>8</v>
      </c>
      <c r="O9" s="141">
        <v>8</v>
      </c>
      <c r="P9" s="141">
        <v>8</v>
      </c>
      <c r="Q9" s="141">
        <v>8</v>
      </c>
      <c r="R9" s="141">
        <v>8</v>
      </c>
      <c r="S9" s="141">
        <v>8</v>
      </c>
      <c r="T9" s="141"/>
      <c r="U9" s="141">
        <v>8</v>
      </c>
      <c r="V9" s="141">
        <v>8</v>
      </c>
      <c r="W9" s="141">
        <v>8</v>
      </c>
      <c r="X9" s="141">
        <v>8</v>
      </c>
      <c r="Y9" s="141">
        <v>8</v>
      </c>
      <c r="Z9" s="141">
        <v>8</v>
      </c>
      <c r="AA9" s="141"/>
      <c r="AB9" s="141">
        <v>8</v>
      </c>
      <c r="AC9" s="141">
        <v>8</v>
      </c>
      <c r="AD9" s="141">
        <v>8</v>
      </c>
      <c r="AE9" s="141">
        <v>8</v>
      </c>
      <c r="AF9" s="141">
        <v>8</v>
      </c>
      <c r="AG9" s="141">
        <v>8</v>
      </c>
      <c r="AH9" s="141"/>
      <c r="AI9" s="141">
        <v>8</v>
      </c>
      <c r="AJ9" s="225"/>
      <c r="AK9" s="259">
        <f>((SUM(F9:AI9))/8)-(SUMIF($F$6:$AI$6,"C.Nhật",F9:AI9)/8)</f>
        <v>25</v>
      </c>
      <c r="AL9" s="259">
        <f>SUM(F10:AI10)/8*1.5</f>
        <v>0</v>
      </c>
      <c r="AM9" s="262">
        <f>SUMIF($F$6:$AI$6,"C.Nhật",$F9:$AI10)/8*2</f>
        <v>0</v>
      </c>
      <c r="AN9" s="264">
        <f>SUM(AK9:AM10)</f>
        <v>25</v>
      </c>
      <c r="AO9" s="266">
        <v>0</v>
      </c>
      <c r="AP9" s="264"/>
      <c r="AQ9" s="264"/>
      <c r="AR9" s="264"/>
      <c r="AS9" s="268"/>
      <c r="AT9" s="214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5" customFormat="1" ht="18" customHeight="1">
      <c r="A10" s="254"/>
      <c r="B10" s="254"/>
      <c r="C10" s="256"/>
      <c r="D10" s="258"/>
      <c r="E10" s="67" t="s">
        <v>31</v>
      </c>
      <c r="F10" s="142"/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J10" s="226"/>
      <c r="AK10" s="260"/>
      <c r="AL10" s="260"/>
      <c r="AM10" s="263"/>
      <c r="AN10" s="265"/>
      <c r="AO10" s="267"/>
      <c r="AP10" s="265"/>
      <c r="AQ10" s="265"/>
      <c r="AR10" s="265"/>
      <c r="AS10" s="269"/>
      <c r="AT10" s="214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5" customFormat="1" ht="18" customHeight="1">
      <c r="A11" s="253">
        <v>2</v>
      </c>
      <c r="B11" s="253" t="s">
        <v>160</v>
      </c>
      <c r="C11" s="255" t="str">
        <f>VLOOKUP(B11,DS,2,0)</f>
        <v>Trần Anh Nhựt</v>
      </c>
      <c r="D11" s="257" t="str">
        <f>VLOOKUP(B11,DS,3,0)</f>
        <v>Thiết Kế</v>
      </c>
      <c r="E11" s="66" t="s">
        <v>32</v>
      </c>
      <c r="F11" s="141"/>
      <c r="G11" s="141">
        <v>8</v>
      </c>
      <c r="H11" s="141">
        <v>8</v>
      </c>
      <c r="I11" s="141">
        <v>8</v>
      </c>
      <c r="J11" s="141">
        <v>8</v>
      </c>
      <c r="K11" s="141">
        <v>8</v>
      </c>
      <c r="L11" s="141">
        <v>8</v>
      </c>
      <c r="M11" s="141"/>
      <c r="N11" s="141">
        <v>8</v>
      </c>
      <c r="O11" s="141">
        <v>8</v>
      </c>
      <c r="P11" s="141">
        <v>8</v>
      </c>
      <c r="Q11" s="141">
        <v>8</v>
      </c>
      <c r="R11" s="141">
        <v>8</v>
      </c>
      <c r="S11" s="141">
        <v>8</v>
      </c>
      <c r="T11" s="141"/>
      <c r="U11" s="141">
        <v>8</v>
      </c>
      <c r="V11" s="141">
        <v>8</v>
      </c>
      <c r="W11" s="141">
        <v>8</v>
      </c>
      <c r="X11" s="141">
        <v>8</v>
      </c>
      <c r="Y11" s="141">
        <v>8</v>
      </c>
      <c r="Z11" s="141">
        <v>8</v>
      </c>
      <c r="AA11" s="141"/>
      <c r="AB11" s="141">
        <v>8</v>
      </c>
      <c r="AC11" s="141">
        <v>8</v>
      </c>
      <c r="AD11" s="141">
        <v>8</v>
      </c>
      <c r="AE11" s="141">
        <v>8</v>
      </c>
      <c r="AF11" s="141">
        <v>8</v>
      </c>
      <c r="AG11" s="141">
        <v>8</v>
      </c>
      <c r="AH11" s="141"/>
      <c r="AI11" s="141">
        <v>8</v>
      </c>
      <c r="AJ11" s="225"/>
      <c r="AK11" s="259">
        <f>((SUM(F11:AI11))/8)-(SUMIF($F$6:$AI$6,"C.Nhật",F11:AI11)/8)</f>
        <v>25</v>
      </c>
      <c r="AL11" s="259">
        <f>SUM(F12:AI12)/8*1.5</f>
        <v>0</v>
      </c>
      <c r="AM11" s="262">
        <f>SUMIF($F$6:$AI$6,"C.Nhật",$F11:$AI12)/8*2</f>
        <v>0</v>
      </c>
      <c r="AN11" s="264">
        <f t="shared" ref="AN11" si="2">SUM(AK11:AM12)</f>
        <v>25</v>
      </c>
      <c r="AO11" s="266">
        <v>0</v>
      </c>
      <c r="AP11" s="264"/>
      <c r="AQ11" s="264"/>
      <c r="AR11" s="264"/>
      <c r="AS11" s="268"/>
      <c r="AT11" s="22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5" customFormat="1" ht="18" customHeight="1">
      <c r="A12" s="254"/>
      <c r="B12" s="254"/>
      <c r="C12" s="256"/>
      <c r="D12" s="258"/>
      <c r="E12" s="67" t="s">
        <v>31</v>
      </c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226"/>
      <c r="AK12" s="260"/>
      <c r="AL12" s="260"/>
      <c r="AM12" s="263"/>
      <c r="AN12" s="265"/>
      <c r="AO12" s="267"/>
      <c r="AP12" s="265"/>
      <c r="AQ12" s="265"/>
      <c r="AR12" s="265"/>
      <c r="AS12" s="269"/>
      <c r="AT12" s="22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5" customFormat="1" ht="18" customHeight="1">
      <c r="A13" s="253">
        <v>3</v>
      </c>
      <c r="B13" s="253" t="s">
        <v>168</v>
      </c>
      <c r="C13" s="255" t="str">
        <f>VLOOKUP(B13,DS,2,0)</f>
        <v>Huỳnh Minh Toàn</v>
      </c>
      <c r="D13" s="257" t="str">
        <f>VLOOKUP(B13,DS,3,0)</f>
        <v>Thủ Kho</v>
      </c>
      <c r="E13" s="66" t="s">
        <v>32</v>
      </c>
      <c r="F13" s="141"/>
      <c r="G13" s="141">
        <v>8</v>
      </c>
      <c r="H13" s="141">
        <v>8</v>
      </c>
      <c r="I13" s="141">
        <v>8</v>
      </c>
      <c r="J13" s="141">
        <v>8</v>
      </c>
      <c r="K13" s="141">
        <v>8</v>
      </c>
      <c r="L13" s="141">
        <v>8</v>
      </c>
      <c r="M13" s="141"/>
      <c r="N13" s="141">
        <v>8</v>
      </c>
      <c r="O13" s="141">
        <v>8</v>
      </c>
      <c r="P13" s="141">
        <v>8</v>
      </c>
      <c r="Q13" s="141">
        <v>8</v>
      </c>
      <c r="R13" s="141">
        <v>8</v>
      </c>
      <c r="S13" s="141">
        <v>8</v>
      </c>
      <c r="T13" s="141"/>
      <c r="U13" s="141">
        <v>8</v>
      </c>
      <c r="V13" s="141">
        <v>8</v>
      </c>
      <c r="W13" s="141">
        <v>8</v>
      </c>
      <c r="X13" s="141">
        <v>8</v>
      </c>
      <c r="Y13" s="141">
        <v>8</v>
      </c>
      <c r="Z13" s="141">
        <v>8</v>
      </c>
      <c r="AA13" s="141"/>
      <c r="AB13" s="141">
        <v>8</v>
      </c>
      <c r="AC13" s="141">
        <v>8</v>
      </c>
      <c r="AD13" s="141">
        <v>8</v>
      </c>
      <c r="AE13" s="141">
        <v>8</v>
      </c>
      <c r="AF13" s="141">
        <v>8</v>
      </c>
      <c r="AG13" s="141">
        <v>8</v>
      </c>
      <c r="AH13" s="141"/>
      <c r="AI13" s="141">
        <v>8</v>
      </c>
      <c r="AJ13" s="225"/>
      <c r="AK13" s="259">
        <f>((SUM(F13:AI13))/8)-(SUMIF($F$6:$AI$6,"C.Nhật",F13:AI13)/8)</f>
        <v>25</v>
      </c>
      <c r="AL13" s="259">
        <f>SUM(F14:AI14)/8*1.5</f>
        <v>0</v>
      </c>
      <c r="AM13" s="262">
        <f>SUMIF($F$6:$AI$6,"C.Nhật",$F13:$AI14)/8*2</f>
        <v>0</v>
      </c>
      <c r="AN13" s="264">
        <f t="shared" ref="AN13" si="3">SUM(AK13:AM14)</f>
        <v>25</v>
      </c>
      <c r="AO13" s="266">
        <v>0</v>
      </c>
      <c r="AP13" s="264"/>
      <c r="AQ13" s="264"/>
      <c r="AR13" s="264"/>
      <c r="AS13" s="268"/>
      <c r="AT13" s="214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5" customFormat="1" ht="18" customHeight="1">
      <c r="A14" s="254"/>
      <c r="B14" s="254"/>
      <c r="C14" s="256"/>
      <c r="D14" s="258"/>
      <c r="E14" s="67" t="s">
        <v>31</v>
      </c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226"/>
      <c r="AK14" s="260"/>
      <c r="AL14" s="260"/>
      <c r="AM14" s="263"/>
      <c r="AN14" s="265"/>
      <c r="AO14" s="267"/>
      <c r="AP14" s="265"/>
      <c r="AQ14" s="265"/>
      <c r="AR14" s="265"/>
      <c r="AS14" s="269"/>
      <c r="AT14" s="214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78" customFormat="1" ht="21" customHeight="1">
      <c r="A15" s="176" t="s">
        <v>155</v>
      </c>
      <c r="B15" s="179" t="s">
        <v>158</v>
      </c>
      <c r="C15" s="180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0"/>
      <c r="U15" s="180"/>
      <c r="V15" s="180"/>
      <c r="W15" s="180"/>
      <c r="X15" s="180"/>
      <c r="Y15" s="180"/>
      <c r="Z15" s="180"/>
      <c r="AA15" s="180"/>
      <c r="AB15" s="180"/>
      <c r="AC15" s="180"/>
      <c r="AD15" s="180"/>
      <c r="AE15" s="180"/>
      <c r="AF15" s="180"/>
      <c r="AG15" s="180"/>
      <c r="AH15" s="180"/>
      <c r="AI15" s="180"/>
      <c r="AJ15" s="180"/>
      <c r="AK15" s="180"/>
      <c r="AL15" s="180"/>
      <c r="AM15" s="180"/>
      <c r="AN15" s="180"/>
      <c r="AO15" s="180"/>
      <c r="AP15" s="180"/>
      <c r="AQ15" s="180"/>
      <c r="AR15" s="180"/>
      <c r="AS15" s="181"/>
      <c r="AT15" s="177"/>
    </row>
    <row r="16" spans="1:91" s="65" customFormat="1" ht="18" customHeight="1">
      <c r="A16" s="253">
        <v>1</v>
      </c>
      <c r="B16" s="253" t="s">
        <v>161</v>
      </c>
      <c r="C16" s="255" t="str">
        <f>VLOOKUP(B16,DS,2,0)</f>
        <v>Nguyễn Trường Giang</v>
      </c>
      <c r="D16" s="257" t="str">
        <f>VLOOKUP(B16,DS,3,0)</f>
        <v>Thợ in</v>
      </c>
      <c r="E16" s="66" t="s">
        <v>32</v>
      </c>
      <c r="F16" s="141"/>
      <c r="G16" s="141">
        <v>8</v>
      </c>
      <c r="H16" s="141">
        <v>8</v>
      </c>
      <c r="I16" s="141">
        <v>8</v>
      </c>
      <c r="J16" s="141">
        <v>8</v>
      </c>
      <c r="K16" s="141">
        <v>8</v>
      </c>
      <c r="L16" s="141">
        <v>8</v>
      </c>
      <c r="M16" s="141"/>
      <c r="N16" s="141">
        <v>8</v>
      </c>
      <c r="O16" s="141">
        <v>8</v>
      </c>
      <c r="P16" s="141">
        <v>8</v>
      </c>
      <c r="Q16" s="141">
        <v>8</v>
      </c>
      <c r="R16" s="141">
        <v>8</v>
      </c>
      <c r="S16" s="141">
        <v>8</v>
      </c>
      <c r="T16" s="141"/>
      <c r="U16" s="141">
        <v>8</v>
      </c>
      <c r="V16" s="141">
        <v>8</v>
      </c>
      <c r="W16" s="141">
        <v>8</v>
      </c>
      <c r="X16" s="141">
        <v>8</v>
      </c>
      <c r="Y16" s="141">
        <v>8</v>
      </c>
      <c r="Z16" s="141">
        <v>8</v>
      </c>
      <c r="AA16" s="141"/>
      <c r="AB16" s="141">
        <v>8</v>
      </c>
      <c r="AC16" s="141">
        <v>8</v>
      </c>
      <c r="AD16" s="141">
        <v>8</v>
      </c>
      <c r="AE16" s="141">
        <v>8</v>
      </c>
      <c r="AF16" s="141">
        <v>8</v>
      </c>
      <c r="AG16" s="141">
        <v>8</v>
      </c>
      <c r="AH16" s="141"/>
      <c r="AI16" s="141">
        <v>8</v>
      </c>
      <c r="AJ16" s="225"/>
      <c r="AK16" s="259">
        <f>((SUM(F16:AI16))/8)-(SUMIF($F$6:$AI$6,"C.Nhật",F16:AI16)/8)</f>
        <v>25</v>
      </c>
      <c r="AL16" s="259">
        <f>SUM(F17:AI17)/8*1.5</f>
        <v>0</v>
      </c>
      <c r="AM16" s="262">
        <f>SUMIF($F$6:$AI$6,"C.Nhật",$F16:$AI17)/8*2</f>
        <v>0</v>
      </c>
      <c r="AN16" s="264">
        <f>SUM(AK16:AM17)</f>
        <v>25</v>
      </c>
      <c r="AO16" s="266">
        <v>0</v>
      </c>
      <c r="AP16" s="264"/>
      <c r="AQ16" s="264"/>
      <c r="AR16" s="264"/>
      <c r="AS16" s="268"/>
      <c r="AT16" s="21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5" customFormat="1" ht="18" customHeight="1">
      <c r="A17" s="254"/>
      <c r="B17" s="254"/>
      <c r="C17" s="256"/>
      <c r="D17" s="258"/>
      <c r="E17" s="67" t="s">
        <v>31</v>
      </c>
      <c r="F17" s="142"/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  <c r="AA17" s="142"/>
      <c r="AB17" s="142"/>
      <c r="AC17" s="142"/>
      <c r="AD17" s="142"/>
      <c r="AE17" s="142"/>
      <c r="AF17" s="142"/>
      <c r="AG17" s="142"/>
      <c r="AH17" s="142"/>
      <c r="AI17" s="142"/>
      <c r="AJ17" s="226"/>
      <c r="AK17" s="260"/>
      <c r="AL17" s="260"/>
      <c r="AM17" s="263"/>
      <c r="AN17" s="265"/>
      <c r="AO17" s="267"/>
      <c r="AP17" s="265"/>
      <c r="AQ17" s="265"/>
      <c r="AR17" s="265"/>
      <c r="AS17" s="269"/>
      <c r="AT17" s="21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5" customFormat="1" ht="18" customHeight="1">
      <c r="A18" s="253">
        <v>2</v>
      </c>
      <c r="B18" s="253" t="s">
        <v>162</v>
      </c>
      <c r="C18" s="255" t="str">
        <f>VLOOKUP(B18,DS,2,0)</f>
        <v>Võ Văn Kiệt</v>
      </c>
      <c r="D18" s="257" t="str">
        <f>VLOOKUP(B18,DS,3,0)</f>
        <v>Công Đoạn 1</v>
      </c>
      <c r="E18" s="66" t="s">
        <v>32</v>
      </c>
      <c r="F18" s="141"/>
      <c r="G18" s="141">
        <v>8</v>
      </c>
      <c r="H18" s="141">
        <v>8</v>
      </c>
      <c r="I18" s="141">
        <v>8</v>
      </c>
      <c r="J18" s="141">
        <v>8</v>
      </c>
      <c r="K18" s="141">
        <v>8</v>
      </c>
      <c r="L18" s="141">
        <v>8</v>
      </c>
      <c r="M18" s="141"/>
      <c r="N18" s="141">
        <v>8</v>
      </c>
      <c r="O18" s="141">
        <v>8</v>
      </c>
      <c r="P18" s="141">
        <v>8</v>
      </c>
      <c r="Q18" s="141">
        <v>8</v>
      </c>
      <c r="R18" s="141">
        <v>8</v>
      </c>
      <c r="S18" s="141">
        <v>8</v>
      </c>
      <c r="T18" s="141"/>
      <c r="U18" s="141">
        <v>8</v>
      </c>
      <c r="V18" s="141">
        <v>8</v>
      </c>
      <c r="W18" s="141">
        <v>8</v>
      </c>
      <c r="X18" s="141">
        <v>8</v>
      </c>
      <c r="Y18" s="141">
        <v>8</v>
      </c>
      <c r="Z18" s="141">
        <v>8</v>
      </c>
      <c r="AA18" s="141"/>
      <c r="AB18" s="141">
        <v>8</v>
      </c>
      <c r="AC18" s="141">
        <v>8</v>
      </c>
      <c r="AD18" s="141">
        <v>8</v>
      </c>
      <c r="AE18" s="141">
        <v>8</v>
      </c>
      <c r="AF18" s="141">
        <v>8</v>
      </c>
      <c r="AG18" s="141">
        <v>8</v>
      </c>
      <c r="AH18" s="141"/>
      <c r="AI18" s="141">
        <v>8</v>
      </c>
      <c r="AJ18" s="225"/>
      <c r="AK18" s="259">
        <f>((SUM(F18:AI18))/8)-(SUMIF($F$6:$AI$6,"C.Nhật",F18:AI18)/8)</f>
        <v>25</v>
      </c>
      <c r="AL18" s="259">
        <f>SUM(F19:AI19)/8*1.5</f>
        <v>0</v>
      </c>
      <c r="AM18" s="262">
        <f>SUMIF($F$6:$AI$6,"C.Nhật",$F18:$AI19)/8*2</f>
        <v>0</v>
      </c>
      <c r="AN18" s="264">
        <f t="shared" ref="AN18" si="4">SUM(AK18:AM19)</f>
        <v>25</v>
      </c>
      <c r="AO18" s="266">
        <v>0</v>
      </c>
      <c r="AP18" s="264"/>
      <c r="AQ18" s="264"/>
      <c r="AR18" s="264"/>
      <c r="AS18" s="268"/>
      <c r="AT18" s="22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5" customFormat="1" ht="18" customHeight="1">
      <c r="A19" s="254"/>
      <c r="B19" s="254"/>
      <c r="C19" s="256"/>
      <c r="D19" s="258"/>
      <c r="E19" s="67" t="s">
        <v>31</v>
      </c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  <c r="Y19" s="142"/>
      <c r="Z19" s="142"/>
      <c r="AA19" s="142"/>
      <c r="AB19" s="142"/>
      <c r="AC19" s="142"/>
      <c r="AD19" s="142"/>
      <c r="AE19" s="142"/>
      <c r="AF19" s="142"/>
      <c r="AG19" s="142"/>
      <c r="AH19" s="142"/>
      <c r="AI19" s="142"/>
      <c r="AJ19" s="226"/>
      <c r="AK19" s="260"/>
      <c r="AL19" s="260"/>
      <c r="AM19" s="263"/>
      <c r="AN19" s="265"/>
      <c r="AO19" s="267"/>
      <c r="AP19" s="265"/>
      <c r="AQ19" s="265"/>
      <c r="AR19" s="265"/>
      <c r="AS19" s="269"/>
      <c r="AT19" s="22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5" customFormat="1" ht="18" customHeight="1">
      <c r="A20" s="253">
        <v>3</v>
      </c>
      <c r="B20" s="253" t="s">
        <v>163</v>
      </c>
      <c r="C20" s="255" t="str">
        <f>VLOOKUP(B20,DS,2,0)</f>
        <v>Diệp Văn Lân</v>
      </c>
      <c r="D20" s="257" t="str">
        <f>VLOOKUP(B20,DS,3,0)</f>
        <v>Công Đoạn 1</v>
      </c>
      <c r="E20" s="66" t="s">
        <v>32</v>
      </c>
      <c r="F20" s="141"/>
      <c r="G20" s="141">
        <v>8</v>
      </c>
      <c r="H20" s="141">
        <v>8</v>
      </c>
      <c r="I20" s="141">
        <v>8</v>
      </c>
      <c r="J20" s="141">
        <v>8</v>
      </c>
      <c r="K20" s="141">
        <v>8</v>
      </c>
      <c r="L20" s="141">
        <v>8</v>
      </c>
      <c r="M20" s="141"/>
      <c r="N20" s="141">
        <v>8</v>
      </c>
      <c r="O20" s="141">
        <v>8</v>
      </c>
      <c r="P20" s="141">
        <v>8</v>
      </c>
      <c r="Q20" s="141">
        <v>8</v>
      </c>
      <c r="R20" s="141">
        <v>8</v>
      </c>
      <c r="S20" s="141">
        <v>8</v>
      </c>
      <c r="T20" s="141"/>
      <c r="U20" s="141">
        <v>8</v>
      </c>
      <c r="V20" s="141">
        <v>8</v>
      </c>
      <c r="W20" s="141">
        <v>8</v>
      </c>
      <c r="X20" s="141">
        <v>8</v>
      </c>
      <c r="Y20" s="141">
        <v>8</v>
      </c>
      <c r="Z20" s="141">
        <v>8</v>
      </c>
      <c r="AA20" s="141"/>
      <c r="AB20" s="141">
        <v>8</v>
      </c>
      <c r="AC20" s="141">
        <v>8</v>
      </c>
      <c r="AD20" s="141">
        <v>8</v>
      </c>
      <c r="AE20" s="141">
        <v>8</v>
      </c>
      <c r="AF20" s="141">
        <v>8</v>
      </c>
      <c r="AG20" s="141">
        <v>8</v>
      </c>
      <c r="AH20" s="141"/>
      <c r="AI20" s="141">
        <v>8</v>
      </c>
      <c r="AJ20" s="225"/>
      <c r="AK20" s="259">
        <f>((SUM(F20:AI20))/8)-(SUMIF($F$6:$AI$6,"C.Nhật",F20:AI20)/8)</f>
        <v>25</v>
      </c>
      <c r="AL20" s="259">
        <f>SUM(F21:AI21)/8*1.5</f>
        <v>0</v>
      </c>
      <c r="AM20" s="262">
        <f>SUMIF($F$6:$AI$6,"C.Nhật",$F20:$AI21)/8*2</f>
        <v>0</v>
      </c>
      <c r="AN20" s="264">
        <f t="shared" ref="AN20" si="5">SUM(AK20:AM21)</f>
        <v>25</v>
      </c>
      <c r="AO20" s="266">
        <v>0</v>
      </c>
      <c r="AP20" s="264"/>
      <c r="AQ20" s="264"/>
      <c r="AR20" s="264"/>
      <c r="AS20" s="268"/>
      <c r="AT20" s="22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5" customFormat="1" ht="18" customHeight="1">
      <c r="A21" s="254"/>
      <c r="B21" s="254"/>
      <c r="C21" s="256"/>
      <c r="D21" s="258"/>
      <c r="E21" s="67" t="s">
        <v>31</v>
      </c>
      <c r="F21" s="142"/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142"/>
      <c r="AA21" s="142"/>
      <c r="AB21" s="142"/>
      <c r="AC21" s="142"/>
      <c r="AD21" s="142"/>
      <c r="AE21" s="142"/>
      <c r="AF21" s="142"/>
      <c r="AG21" s="142"/>
      <c r="AH21" s="142"/>
      <c r="AI21" s="142"/>
      <c r="AJ21" s="226"/>
      <c r="AK21" s="260"/>
      <c r="AL21" s="260"/>
      <c r="AM21" s="263"/>
      <c r="AN21" s="265"/>
      <c r="AO21" s="267"/>
      <c r="AP21" s="265"/>
      <c r="AQ21" s="265"/>
      <c r="AR21" s="265"/>
      <c r="AS21" s="269"/>
      <c r="AT21" s="22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5" customFormat="1" ht="18" customHeight="1">
      <c r="A22" s="253">
        <v>4</v>
      </c>
      <c r="B22" s="253" t="s">
        <v>176</v>
      </c>
      <c r="C22" s="255" t="str">
        <f>VLOOKUP(B22,DS,2,0)</f>
        <v>Dương Thế Kiệt</v>
      </c>
      <c r="D22" s="257" t="str">
        <f>VLOOKUP(B22,DS,3,0)</f>
        <v>Công Đoạn 1</v>
      </c>
      <c r="E22" s="66" t="s">
        <v>32</v>
      </c>
      <c r="F22" s="141"/>
      <c r="G22" s="141">
        <v>8</v>
      </c>
      <c r="H22" s="141">
        <v>8</v>
      </c>
      <c r="I22" s="141">
        <v>8</v>
      </c>
      <c r="J22" s="141">
        <v>8</v>
      </c>
      <c r="K22" s="141">
        <v>8</v>
      </c>
      <c r="L22" s="141">
        <v>8</v>
      </c>
      <c r="M22" s="141"/>
      <c r="N22" s="141">
        <v>8</v>
      </c>
      <c r="O22" s="141">
        <v>8</v>
      </c>
      <c r="P22" s="141">
        <v>8</v>
      </c>
      <c r="Q22" s="141">
        <v>8</v>
      </c>
      <c r="R22" s="141">
        <v>8</v>
      </c>
      <c r="S22" s="141">
        <v>8</v>
      </c>
      <c r="T22" s="141"/>
      <c r="U22" s="141">
        <v>8</v>
      </c>
      <c r="V22" s="141">
        <v>8</v>
      </c>
      <c r="W22" s="141">
        <v>8</v>
      </c>
      <c r="X22" s="141">
        <v>8</v>
      </c>
      <c r="Y22" s="141">
        <v>8</v>
      </c>
      <c r="Z22" s="141">
        <v>8</v>
      </c>
      <c r="AA22" s="141"/>
      <c r="AB22" s="141">
        <v>8</v>
      </c>
      <c r="AC22" s="141">
        <v>8</v>
      </c>
      <c r="AD22" s="141">
        <v>8</v>
      </c>
      <c r="AE22" s="141">
        <v>8</v>
      </c>
      <c r="AF22" s="141">
        <v>8</v>
      </c>
      <c r="AG22" s="141">
        <v>8</v>
      </c>
      <c r="AH22" s="141"/>
      <c r="AI22" s="141">
        <v>8</v>
      </c>
      <c r="AJ22" s="225"/>
      <c r="AK22" s="259">
        <f>((SUM(F22:AI22))/8)-(SUMIF($F$6:$AI$6,"C.Nhật",F22:AI22)/8)</f>
        <v>25</v>
      </c>
      <c r="AL22" s="259">
        <f>SUM(F23:AI23)/8*1.5</f>
        <v>0</v>
      </c>
      <c r="AM22" s="262">
        <f>SUMIF($F$6:$AI$6,"C.Nhật",$F22:$AI23)/8*2</f>
        <v>0</v>
      </c>
      <c r="AN22" s="264">
        <f t="shared" ref="AN22" si="6">SUM(AK22:AM23)</f>
        <v>25</v>
      </c>
      <c r="AO22" s="266">
        <v>0</v>
      </c>
      <c r="AP22" s="264"/>
      <c r="AQ22" s="264"/>
      <c r="AR22" s="264"/>
      <c r="AS22" s="268"/>
      <c r="AT22" s="22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5" customFormat="1" ht="18" customHeight="1">
      <c r="A23" s="254"/>
      <c r="B23" s="254"/>
      <c r="C23" s="256"/>
      <c r="D23" s="258"/>
      <c r="E23" s="67" t="s">
        <v>31</v>
      </c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  <c r="AA23" s="142"/>
      <c r="AB23" s="142"/>
      <c r="AC23" s="142"/>
      <c r="AD23" s="142"/>
      <c r="AE23" s="142"/>
      <c r="AF23" s="142"/>
      <c r="AG23" s="142"/>
      <c r="AH23" s="142"/>
      <c r="AI23" s="142"/>
      <c r="AJ23" s="226"/>
      <c r="AK23" s="260"/>
      <c r="AL23" s="260"/>
      <c r="AM23" s="263"/>
      <c r="AN23" s="265"/>
      <c r="AO23" s="267"/>
      <c r="AP23" s="265"/>
      <c r="AQ23" s="265"/>
      <c r="AR23" s="265"/>
      <c r="AS23" s="269"/>
      <c r="AT23" s="22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5" customFormat="1" ht="18" customHeight="1">
      <c r="A24" s="253">
        <v>5</v>
      </c>
      <c r="B24" s="253" t="s">
        <v>177</v>
      </c>
      <c r="C24" s="255" t="str">
        <f>VLOOKUP(B24,DS,2,0)</f>
        <v>Lê Văn Hữu</v>
      </c>
      <c r="D24" s="257" t="str">
        <f>VLOOKUP(B24,DS,3,0)</f>
        <v>Công Đoạn 2</v>
      </c>
      <c r="E24" s="66" t="s">
        <v>32</v>
      </c>
      <c r="F24" s="141"/>
      <c r="G24" s="141">
        <v>8</v>
      </c>
      <c r="H24" s="141">
        <v>8</v>
      </c>
      <c r="I24" s="141">
        <v>8</v>
      </c>
      <c r="J24" s="141">
        <v>8</v>
      </c>
      <c r="K24" s="141">
        <v>8</v>
      </c>
      <c r="L24" s="141">
        <v>8</v>
      </c>
      <c r="M24" s="141"/>
      <c r="N24" s="141">
        <v>8</v>
      </c>
      <c r="O24" s="141">
        <v>8</v>
      </c>
      <c r="P24" s="141">
        <v>8</v>
      </c>
      <c r="Q24" s="141">
        <v>8</v>
      </c>
      <c r="R24" s="141">
        <v>8</v>
      </c>
      <c r="S24" s="141">
        <v>8</v>
      </c>
      <c r="T24" s="141"/>
      <c r="U24" s="141">
        <v>8</v>
      </c>
      <c r="V24" s="141">
        <v>8</v>
      </c>
      <c r="W24" s="141">
        <v>8</v>
      </c>
      <c r="X24" s="141">
        <v>8</v>
      </c>
      <c r="Y24" s="141">
        <v>8</v>
      </c>
      <c r="Z24" s="141">
        <v>8</v>
      </c>
      <c r="AA24" s="141"/>
      <c r="AB24" s="141">
        <v>8</v>
      </c>
      <c r="AC24" s="141">
        <v>8</v>
      </c>
      <c r="AD24" s="141">
        <v>8</v>
      </c>
      <c r="AE24" s="141">
        <v>8</v>
      </c>
      <c r="AF24" s="141">
        <v>8</v>
      </c>
      <c r="AG24" s="141">
        <v>8</v>
      </c>
      <c r="AH24" s="141"/>
      <c r="AI24" s="141">
        <v>8</v>
      </c>
      <c r="AJ24" s="225"/>
      <c r="AK24" s="259">
        <f>((SUM(F24:AI24))/8)-(SUMIF($F$6:$AI$6,"C.Nhật",F24:AI24)/8)</f>
        <v>25</v>
      </c>
      <c r="AL24" s="259">
        <f>SUM(F25:AI25)/8*1.5</f>
        <v>0</v>
      </c>
      <c r="AM24" s="262">
        <f>SUMIF($F$6:$AI$6,"C.Nhật",$F24:$AI25)/8*2</f>
        <v>0</v>
      </c>
      <c r="AN24" s="264">
        <f t="shared" ref="AN24" si="7">SUM(AK24:AM25)</f>
        <v>25</v>
      </c>
      <c r="AO24" s="266">
        <v>0</v>
      </c>
      <c r="AP24" s="264"/>
      <c r="AQ24" s="264"/>
      <c r="AR24" s="264"/>
      <c r="AS24" s="268"/>
      <c r="AT24" s="22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5" customFormat="1" ht="18" customHeight="1">
      <c r="A25" s="254"/>
      <c r="B25" s="254"/>
      <c r="C25" s="256"/>
      <c r="D25" s="258"/>
      <c r="E25" s="67" t="s">
        <v>31</v>
      </c>
      <c r="F25" s="142"/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  <c r="AA25" s="142"/>
      <c r="AB25" s="142"/>
      <c r="AC25" s="142"/>
      <c r="AD25" s="142"/>
      <c r="AE25" s="142"/>
      <c r="AF25" s="142"/>
      <c r="AG25" s="142"/>
      <c r="AH25" s="142"/>
      <c r="AI25" s="142"/>
      <c r="AJ25" s="226"/>
      <c r="AK25" s="260"/>
      <c r="AL25" s="260"/>
      <c r="AM25" s="263"/>
      <c r="AN25" s="265"/>
      <c r="AO25" s="267"/>
      <c r="AP25" s="265"/>
      <c r="AQ25" s="265"/>
      <c r="AR25" s="265"/>
      <c r="AS25" s="269"/>
      <c r="AT25" s="22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5" customFormat="1" ht="18" customHeight="1">
      <c r="A26" s="253">
        <v>6</v>
      </c>
      <c r="B26" s="253" t="s">
        <v>178</v>
      </c>
      <c r="C26" s="255" t="str">
        <f>VLOOKUP(B26,DS,2,0)</f>
        <v>Bùi Trường Giang</v>
      </c>
      <c r="D26" s="257" t="str">
        <f>VLOOKUP(B26,DS,3,0)</f>
        <v>Công Đoạn 2</v>
      </c>
      <c r="E26" s="66" t="s">
        <v>32</v>
      </c>
      <c r="F26" s="141"/>
      <c r="G26" s="141">
        <v>8</v>
      </c>
      <c r="H26" s="141">
        <v>8</v>
      </c>
      <c r="I26" s="141">
        <v>8</v>
      </c>
      <c r="J26" s="141">
        <v>8</v>
      </c>
      <c r="K26" s="141">
        <v>8</v>
      </c>
      <c r="L26" s="141">
        <v>8</v>
      </c>
      <c r="M26" s="141"/>
      <c r="N26" s="141">
        <v>8</v>
      </c>
      <c r="O26" s="141">
        <v>8</v>
      </c>
      <c r="P26" s="141">
        <v>8</v>
      </c>
      <c r="Q26" s="141">
        <v>8</v>
      </c>
      <c r="R26" s="141">
        <v>8</v>
      </c>
      <c r="S26" s="141">
        <v>8</v>
      </c>
      <c r="T26" s="141"/>
      <c r="U26" s="141">
        <v>8</v>
      </c>
      <c r="V26" s="141">
        <v>8</v>
      </c>
      <c r="W26" s="141">
        <v>8</v>
      </c>
      <c r="X26" s="141">
        <v>8</v>
      </c>
      <c r="Y26" s="141">
        <v>8</v>
      </c>
      <c r="Z26" s="141">
        <v>8</v>
      </c>
      <c r="AA26" s="141"/>
      <c r="AB26" s="141">
        <v>8</v>
      </c>
      <c r="AC26" s="141">
        <v>8</v>
      </c>
      <c r="AD26" s="141">
        <v>8</v>
      </c>
      <c r="AE26" s="141">
        <v>8</v>
      </c>
      <c r="AF26" s="141">
        <v>8</v>
      </c>
      <c r="AG26" s="141">
        <v>8</v>
      </c>
      <c r="AH26" s="141"/>
      <c r="AI26" s="141">
        <v>8</v>
      </c>
      <c r="AJ26" s="225"/>
      <c r="AK26" s="259">
        <f>((SUM(F26:AI26))/8)-(SUMIF($F$6:$AI$6,"C.Nhật",F26:AI26)/8)</f>
        <v>25</v>
      </c>
      <c r="AL26" s="259">
        <f>SUM(F27:AI27)/8*1.5</f>
        <v>0</v>
      </c>
      <c r="AM26" s="262">
        <f>SUMIF($F$6:$AI$6,"C.Nhật",$F26:$AI27)/8*2</f>
        <v>0</v>
      </c>
      <c r="AN26" s="264">
        <f t="shared" ref="AN26" si="8">SUM(AK26:AM27)</f>
        <v>25</v>
      </c>
      <c r="AO26" s="266">
        <v>0</v>
      </c>
      <c r="AP26" s="264"/>
      <c r="AQ26" s="264"/>
      <c r="AR26" s="264"/>
      <c r="AS26" s="268"/>
      <c r="AT26" s="219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5" customFormat="1" ht="18" customHeight="1">
      <c r="A27" s="254"/>
      <c r="B27" s="254"/>
      <c r="C27" s="256"/>
      <c r="D27" s="258"/>
      <c r="E27" s="67" t="s">
        <v>31</v>
      </c>
      <c r="F27" s="142"/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142"/>
      <c r="Z27" s="142"/>
      <c r="AA27" s="142"/>
      <c r="AB27" s="142"/>
      <c r="AC27" s="142"/>
      <c r="AD27" s="142"/>
      <c r="AE27" s="142"/>
      <c r="AF27" s="142"/>
      <c r="AG27" s="142"/>
      <c r="AH27" s="142"/>
      <c r="AI27" s="142"/>
      <c r="AJ27" s="226"/>
      <c r="AK27" s="260"/>
      <c r="AL27" s="260"/>
      <c r="AM27" s="263"/>
      <c r="AN27" s="265"/>
      <c r="AO27" s="267"/>
      <c r="AP27" s="265"/>
      <c r="AQ27" s="265"/>
      <c r="AR27" s="265"/>
      <c r="AS27" s="269"/>
      <c r="AT27" s="219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5" customFormat="1" ht="18" customHeight="1">
      <c r="A28" s="253">
        <v>7</v>
      </c>
      <c r="B28" s="253" t="s">
        <v>179</v>
      </c>
      <c r="C28" s="255" t="str">
        <f>VLOOKUP(B28,DS,2,0)</f>
        <v>Nguyễn T Bích Thủy</v>
      </c>
      <c r="D28" s="257" t="str">
        <f>VLOOKUP(B28,DS,3,0)</f>
        <v>Công Đoạn 2</v>
      </c>
      <c r="E28" s="66" t="s">
        <v>32</v>
      </c>
      <c r="F28" s="141"/>
      <c r="G28" s="141">
        <v>8</v>
      </c>
      <c r="H28" s="141">
        <v>8</v>
      </c>
      <c r="I28" s="141">
        <v>8</v>
      </c>
      <c r="J28" s="141">
        <v>8</v>
      </c>
      <c r="K28" s="141">
        <v>8</v>
      </c>
      <c r="L28" s="141">
        <v>8</v>
      </c>
      <c r="M28" s="141"/>
      <c r="N28" s="141">
        <v>8</v>
      </c>
      <c r="O28" s="141">
        <v>8</v>
      </c>
      <c r="P28" s="141">
        <v>8</v>
      </c>
      <c r="Q28" s="141">
        <v>8</v>
      </c>
      <c r="R28" s="141">
        <v>8</v>
      </c>
      <c r="S28" s="141">
        <v>8</v>
      </c>
      <c r="T28" s="141"/>
      <c r="U28" s="141">
        <v>8</v>
      </c>
      <c r="V28" s="141">
        <v>8</v>
      </c>
      <c r="W28" s="141">
        <v>8</v>
      </c>
      <c r="X28" s="141">
        <v>8</v>
      </c>
      <c r="Y28" s="141">
        <v>8</v>
      </c>
      <c r="Z28" s="141">
        <v>8</v>
      </c>
      <c r="AA28" s="141"/>
      <c r="AB28" s="141">
        <v>8</v>
      </c>
      <c r="AC28" s="141">
        <v>8</v>
      </c>
      <c r="AD28" s="141">
        <v>8</v>
      </c>
      <c r="AE28" s="141">
        <v>8</v>
      </c>
      <c r="AF28" s="141">
        <v>8</v>
      </c>
      <c r="AG28" s="141">
        <v>8</v>
      </c>
      <c r="AH28" s="141"/>
      <c r="AI28" s="141">
        <v>8</v>
      </c>
      <c r="AJ28" s="225"/>
      <c r="AK28" s="259">
        <f>((SUM(F28:AI28))/8)-(SUMIF($F$6:$AI$6,"C.Nhật",F28:AI28)/8)</f>
        <v>25</v>
      </c>
      <c r="AL28" s="259">
        <f>SUM(F29:AI29)/8*1.5</f>
        <v>0</v>
      </c>
      <c r="AM28" s="262">
        <f>SUMIF($F$6:$AI$6,"C.Nhật",$F28:$AI29)/8*2</f>
        <v>0</v>
      </c>
      <c r="AN28" s="264">
        <f t="shared" ref="AN28" si="9">SUM(AK28:AM29)</f>
        <v>25</v>
      </c>
      <c r="AO28" s="266">
        <v>0</v>
      </c>
      <c r="AP28" s="264"/>
      <c r="AQ28" s="264"/>
      <c r="AR28" s="264"/>
      <c r="AS28" s="268"/>
      <c r="AT28" s="219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5" customFormat="1" ht="18" customHeight="1">
      <c r="A29" s="254"/>
      <c r="B29" s="254"/>
      <c r="C29" s="256"/>
      <c r="D29" s="258"/>
      <c r="E29" s="67" t="s">
        <v>31</v>
      </c>
      <c r="F29" s="142"/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  <c r="Y29" s="142"/>
      <c r="Z29" s="142"/>
      <c r="AA29" s="142"/>
      <c r="AB29" s="142"/>
      <c r="AC29" s="142"/>
      <c r="AD29" s="142"/>
      <c r="AE29" s="142"/>
      <c r="AF29" s="142"/>
      <c r="AG29" s="142"/>
      <c r="AH29" s="142"/>
      <c r="AI29" s="142"/>
      <c r="AJ29" s="226"/>
      <c r="AK29" s="260"/>
      <c r="AL29" s="260"/>
      <c r="AM29" s="263"/>
      <c r="AN29" s="265"/>
      <c r="AO29" s="267"/>
      <c r="AP29" s="265"/>
      <c r="AQ29" s="265"/>
      <c r="AR29" s="265"/>
      <c r="AS29" s="269"/>
      <c r="AT29" s="219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8" customFormat="1" ht="12.75">
      <c r="A30" s="14"/>
      <c r="B30" s="69"/>
      <c r="C30" s="4"/>
      <c r="D30" s="111"/>
      <c r="E30" s="4"/>
      <c r="F30" s="73"/>
      <c r="G30" s="73"/>
      <c r="H30" s="70"/>
      <c r="I30" s="70"/>
      <c r="J30" s="118"/>
      <c r="K30" s="73"/>
      <c r="L30" s="70"/>
      <c r="M30" s="73"/>
      <c r="N30" s="73"/>
      <c r="O30" s="73"/>
      <c r="P30" s="73"/>
      <c r="Q30" s="70"/>
      <c r="R30" s="73"/>
      <c r="S30" s="73"/>
      <c r="T30" s="118"/>
      <c r="U30" s="73"/>
      <c r="V30" s="73"/>
      <c r="W30" s="73"/>
      <c r="X30" s="69"/>
      <c r="Y30" s="73"/>
      <c r="Z30" s="73"/>
      <c r="AA30" s="73"/>
      <c r="AB30" s="73"/>
      <c r="AC30" s="73"/>
      <c r="AD30" s="70"/>
      <c r="AE30" s="73"/>
      <c r="AF30" s="73"/>
      <c r="AG30" s="73"/>
      <c r="AH30" s="73"/>
      <c r="AI30" s="73"/>
      <c r="AJ30" s="73"/>
      <c r="AK30" s="4"/>
      <c r="AL30" s="4"/>
      <c r="AM30" s="96"/>
      <c r="AN30" s="72"/>
      <c r="AO30" s="72"/>
      <c r="AP30" s="72"/>
      <c r="AQ30" s="72"/>
      <c r="AR30" s="72"/>
      <c r="AS30" s="4"/>
      <c r="AT30" s="102"/>
    </row>
    <row r="31" spans="1:90" s="68" customFormat="1" ht="12.75">
      <c r="A31" s="14"/>
      <c r="B31" s="69"/>
      <c r="C31" s="14" t="s">
        <v>14</v>
      </c>
      <c r="D31" s="111"/>
      <c r="E31" s="4"/>
      <c r="F31" s="73"/>
      <c r="G31" s="73"/>
      <c r="H31" s="70"/>
      <c r="I31" s="70"/>
      <c r="J31" s="118"/>
      <c r="K31" s="73"/>
      <c r="L31" s="70"/>
      <c r="M31" s="73"/>
      <c r="N31" s="73"/>
      <c r="O31" s="73"/>
      <c r="P31" s="73"/>
      <c r="Q31" s="70"/>
      <c r="R31" s="73"/>
      <c r="S31" s="73"/>
      <c r="T31" s="118"/>
      <c r="U31" s="73"/>
      <c r="V31" s="73"/>
      <c r="W31" s="73"/>
      <c r="X31" s="69"/>
      <c r="Y31" s="73"/>
      <c r="Z31" s="73"/>
      <c r="AA31" s="73"/>
      <c r="AB31" s="73"/>
      <c r="AC31" s="73"/>
      <c r="AD31" s="70"/>
      <c r="AE31" s="73"/>
      <c r="AF31" s="73"/>
      <c r="AG31" s="73"/>
      <c r="AH31" s="73"/>
      <c r="AI31" s="73"/>
      <c r="AJ31" s="73"/>
      <c r="AK31" s="4"/>
      <c r="AL31" s="4"/>
      <c r="AM31" s="96"/>
      <c r="AN31" s="72"/>
      <c r="AO31" s="72"/>
      <c r="AP31" s="72"/>
      <c r="AQ31" s="72"/>
      <c r="AR31" s="72"/>
      <c r="AS31" s="4"/>
      <c r="AT31" s="102"/>
    </row>
    <row r="32" spans="1:90" s="68" customFormat="1" ht="12.75">
      <c r="A32" s="12"/>
      <c r="B32" s="12"/>
      <c r="C32" s="4"/>
      <c r="D32" s="111"/>
      <c r="E32" s="4"/>
      <c r="F32" s="73"/>
      <c r="G32" s="73"/>
      <c r="H32" s="119"/>
      <c r="I32" s="119"/>
      <c r="J32" s="119"/>
      <c r="K32" s="73"/>
      <c r="L32" s="119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119"/>
      <c r="AE32" s="73"/>
      <c r="AF32" s="73"/>
      <c r="AG32" s="73"/>
      <c r="AH32" s="73"/>
      <c r="AI32" s="73"/>
      <c r="AJ32" s="73"/>
      <c r="AK32" s="4"/>
      <c r="AL32" s="4"/>
      <c r="AM32" s="96"/>
      <c r="AN32" s="74"/>
      <c r="AO32" s="74"/>
      <c r="AP32" s="74"/>
      <c r="AQ32" s="74"/>
      <c r="AR32" s="74"/>
      <c r="AS32" s="4"/>
      <c r="AT32" s="102"/>
    </row>
    <row r="33" spans="1:91" s="71" customFormat="1" ht="15" customHeight="1">
      <c r="A33" s="12"/>
      <c r="B33" s="12"/>
      <c r="C33" s="4"/>
      <c r="D33" s="111"/>
      <c r="E33" s="4"/>
      <c r="F33" s="73"/>
      <c r="G33" s="73"/>
      <c r="H33" s="119"/>
      <c r="I33" s="119"/>
      <c r="J33" s="119"/>
      <c r="K33" s="73"/>
      <c r="L33" s="119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119"/>
      <c r="AE33" s="73"/>
      <c r="AF33" s="73"/>
      <c r="AG33" s="73"/>
      <c r="AH33" s="73"/>
      <c r="AI33" s="73"/>
      <c r="AJ33" s="73"/>
      <c r="AK33" s="4"/>
      <c r="AL33" s="4"/>
      <c r="AM33" s="96"/>
      <c r="AN33" s="74"/>
      <c r="AO33" s="74"/>
      <c r="AP33" s="74"/>
      <c r="AQ33" s="74"/>
      <c r="AR33" s="74"/>
      <c r="AS33" s="4"/>
      <c r="AT33" s="4"/>
    </row>
    <row r="34" spans="1:91" s="71" customFormat="1" ht="11.25">
      <c r="A34" s="12"/>
      <c r="B34" s="12"/>
      <c r="C34" s="4"/>
      <c r="D34" s="111"/>
      <c r="E34" s="4"/>
      <c r="F34" s="73"/>
      <c r="G34" s="73"/>
      <c r="H34" s="119"/>
      <c r="I34" s="119"/>
      <c r="J34" s="119"/>
      <c r="K34" s="73"/>
      <c r="L34" s="119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119"/>
      <c r="AE34" s="73"/>
      <c r="AF34" s="73"/>
      <c r="AG34" s="73"/>
      <c r="AH34" s="73"/>
      <c r="AI34" s="73"/>
      <c r="AJ34" s="73"/>
      <c r="AK34" s="4"/>
      <c r="AL34" s="4"/>
      <c r="AM34" s="96"/>
      <c r="AN34" s="74"/>
      <c r="AO34" s="74"/>
      <c r="AP34" s="74"/>
      <c r="AQ34" s="74"/>
      <c r="AR34" s="74"/>
      <c r="AS34" s="4"/>
      <c r="AT34" s="4"/>
    </row>
    <row r="35" spans="1:91" s="71" customFormat="1" ht="11.25">
      <c r="A35" s="12"/>
      <c r="B35" s="12"/>
      <c r="C35" s="4"/>
      <c r="D35" s="111"/>
      <c r="E35" s="4"/>
      <c r="F35" s="73"/>
      <c r="G35" s="73"/>
      <c r="H35" s="119"/>
      <c r="I35" s="119"/>
      <c r="J35" s="119"/>
      <c r="K35" s="73"/>
      <c r="L35" s="119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119"/>
      <c r="AE35" s="73"/>
      <c r="AF35" s="73"/>
      <c r="AG35" s="73"/>
      <c r="AH35" s="73"/>
      <c r="AI35" s="73"/>
      <c r="AJ35" s="73"/>
      <c r="AK35" s="4"/>
      <c r="AL35" s="4"/>
      <c r="AM35" s="96"/>
      <c r="AN35" s="74"/>
      <c r="AO35" s="74"/>
      <c r="AP35" s="74"/>
      <c r="AQ35" s="74"/>
      <c r="AR35" s="74"/>
      <c r="AS35" s="4"/>
      <c r="AT35" s="4"/>
    </row>
    <row r="36" spans="1:91" s="71" customFormat="1" ht="11.25">
      <c r="A36" s="10"/>
      <c r="B36" s="10"/>
      <c r="C36" s="14"/>
      <c r="D36" s="112"/>
      <c r="E36" s="75"/>
      <c r="F36" s="118"/>
      <c r="G36" s="120"/>
      <c r="H36" s="70"/>
      <c r="I36" s="70"/>
      <c r="J36" s="70"/>
      <c r="K36" s="120"/>
      <c r="L36" s="70"/>
      <c r="M36" s="120"/>
      <c r="N36" s="120"/>
      <c r="O36" s="120"/>
      <c r="P36" s="120"/>
      <c r="Q36" s="70"/>
      <c r="R36" s="118"/>
      <c r="S36" s="120"/>
      <c r="T36" s="120"/>
      <c r="U36" s="70"/>
      <c r="V36" s="120"/>
      <c r="W36" s="120"/>
      <c r="X36" s="70"/>
      <c r="Y36" s="120"/>
      <c r="Z36" s="120"/>
      <c r="AA36" s="120"/>
      <c r="AB36" s="120"/>
      <c r="AC36" s="120"/>
      <c r="AD36" s="70"/>
      <c r="AE36" s="120"/>
      <c r="AF36" s="120"/>
      <c r="AG36" s="120"/>
      <c r="AH36" s="120"/>
      <c r="AI36" s="120"/>
      <c r="AJ36" s="120"/>
      <c r="AK36" s="75"/>
      <c r="AM36" s="97"/>
      <c r="AN36" s="10"/>
      <c r="AO36" s="10"/>
      <c r="AP36" s="10"/>
      <c r="AQ36" s="10"/>
      <c r="AR36" s="10"/>
      <c r="AS36" s="14"/>
      <c r="AT36" s="4"/>
    </row>
    <row r="37" spans="1:91" s="71" customFormat="1" ht="12.75">
      <c r="A37" s="2"/>
      <c r="B37" s="2" t="s">
        <v>0</v>
      </c>
      <c r="C37" s="2"/>
      <c r="D37" s="212"/>
      <c r="E37" s="2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2"/>
      <c r="AI37" s="122"/>
      <c r="AJ37" s="122"/>
      <c r="AK37" s="2"/>
      <c r="AL37" s="2"/>
      <c r="AM37" s="98"/>
      <c r="AN37" s="2"/>
      <c r="AO37" s="2"/>
      <c r="AP37" s="2"/>
      <c r="AQ37" s="2"/>
      <c r="AR37" s="2"/>
      <c r="AS37" s="2"/>
      <c r="AT37" s="4"/>
    </row>
    <row r="38" spans="1:91" s="71" customFormat="1" ht="12.75">
      <c r="A38" s="2"/>
      <c r="B38" s="2"/>
      <c r="C38" s="2" t="s">
        <v>46</v>
      </c>
      <c r="D38" s="212"/>
      <c r="E38" s="2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1"/>
      <c r="AD38" s="121"/>
      <c r="AE38" s="121"/>
      <c r="AF38" s="121"/>
      <c r="AG38" s="121"/>
      <c r="AH38" s="122"/>
      <c r="AI38" s="122"/>
      <c r="AJ38" s="122"/>
      <c r="AK38" s="2"/>
      <c r="AL38" s="2"/>
      <c r="AM38" s="98"/>
      <c r="AN38" s="2"/>
      <c r="AO38" s="2"/>
      <c r="AP38" s="2"/>
      <c r="AQ38" s="2"/>
      <c r="AR38" s="2"/>
      <c r="AS38" s="2"/>
      <c r="AT38" s="14"/>
    </row>
    <row r="39" spans="1:91" ht="15" customHeight="1">
      <c r="C39" s="2" t="s">
        <v>47</v>
      </c>
    </row>
    <row r="40" spans="1:91" ht="15" customHeight="1">
      <c r="C40" s="2" t="s">
        <v>48</v>
      </c>
    </row>
    <row r="41" spans="1:91" s="212" customFormat="1" ht="15" customHeight="1">
      <c r="A41" s="2"/>
      <c r="B41" s="2"/>
      <c r="C41" s="2" t="s">
        <v>49</v>
      </c>
      <c r="E41" s="2"/>
      <c r="F41" s="121"/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121"/>
      <c r="AA41" s="121"/>
      <c r="AB41" s="121"/>
      <c r="AC41" s="121"/>
      <c r="AD41" s="121"/>
      <c r="AE41" s="121"/>
      <c r="AF41" s="121"/>
      <c r="AG41" s="121"/>
      <c r="AH41" s="122"/>
      <c r="AI41" s="122"/>
      <c r="AJ41" s="122"/>
      <c r="AK41" s="2"/>
      <c r="AL41" s="2"/>
      <c r="AM41" s="98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 s="212" customFormat="1" ht="15" customHeight="1">
      <c r="A42" s="2"/>
      <c r="B42" s="2"/>
      <c r="C42" s="2" t="s">
        <v>50</v>
      </c>
      <c r="E42" s="2"/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121"/>
      <c r="AA42" s="121"/>
      <c r="AB42" s="121"/>
      <c r="AC42" s="121"/>
      <c r="AD42" s="121"/>
      <c r="AE42" s="121"/>
      <c r="AF42" s="121"/>
      <c r="AG42" s="121"/>
      <c r="AH42" s="122"/>
      <c r="AI42" s="122"/>
      <c r="AJ42" s="122"/>
      <c r="AK42" s="2"/>
      <c r="AL42" s="2"/>
      <c r="AM42" s="98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 s="212" customFormat="1" ht="15" customHeight="1">
      <c r="A43" s="2"/>
      <c r="B43" s="2"/>
      <c r="C43" s="2" t="s">
        <v>51</v>
      </c>
      <c r="E43" s="2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121"/>
      <c r="AA43" s="121"/>
      <c r="AB43" s="121"/>
      <c r="AC43" s="121"/>
      <c r="AD43" s="121"/>
      <c r="AE43" s="121"/>
      <c r="AF43" s="121"/>
      <c r="AG43" s="121"/>
      <c r="AH43" s="122"/>
      <c r="AI43" s="122"/>
      <c r="AJ43" s="122"/>
      <c r="AK43" s="2"/>
      <c r="AL43" s="2"/>
      <c r="AM43" s="98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 s="212" customFormat="1" ht="15" customHeight="1">
      <c r="A44" s="2"/>
      <c r="B44" s="2"/>
      <c r="C44" s="2" t="s">
        <v>52</v>
      </c>
      <c r="E44" s="2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121"/>
      <c r="AA44" s="121"/>
      <c r="AB44" s="121"/>
      <c r="AC44" s="121"/>
      <c r="AD44" s="121"/>
      <c r="AE44" s="121"/>
      <c r="AF44" s="121"/>
      <c r="AG44" s="121"/>
      <c r="AH44" s="122"/>
      <c r="AI44" s="122"/>
      <c r="AJ44" s="122"/>
      <c r="AK44" s="2"/>
      <c r="AL44" s="2"/>
      <c r="AM44" s="98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  <row r="45" spans="1:91" s="212" customFormat="1" ht="15" customHeight="1">
      <c r="A45" s="2"/>
      <c r="B45" s="2"/>
      <c r="C45" s="2" t="s">
        <v>53</v>
      </c>
      <c r="E45" s="2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121"/>
      <c r="AA45" s="121"/>
      <c r="AB45" s="121"/>
      <c r="AC45" s="121"/>
      <c r="AD45" s="121"/>
      <c r="AE45" s="121"/>
      <c r="AF45" s="121"/>
      <c r="AG45" s="121"/>
      <c r="AH45" s="122"/>
      <c r="AI45" s="122"/>
      <c r="AJ45" s="122"/>
      <c r="AK45" s="2"/>
      <c r="AL45" s="2"/>
      <c r="AM45" s="98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</row>
    <row r="46" spans="1:91" s="212" customFormat="1" ht="15" customHeight="1">
      <c r="A46" s="2"/>
      <c r="B46" s="2"/>
      <c r="C46" s="2" t="s">
        <v>54</v>
      </c>
      <c r="E46" s="2"/>
      <c r="F46" s="121"/>
      <c r="G46" s="121"/>
      <c r="H46" s="121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121"/>
      <c r="AA46" s="121"/>
      <c r="AB46" s="121"/>
      <c r="AC46" s="121"/>
      <c r="AD46" s="121"/>
      <c r="AE46" s="121"/>
      <c r="AF46" s="121"/>
      <c r="AG46" s="121"/>
      <c r="AH46" s="122"/>
      <c r="AI46" s="122"/>
      <c r="AJ46" s="122"/>
      <c r="AK46" s="2"/>
      <c r="AL46" s="2"/>
      <c r="AM46" s="98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2:J35 Q30:Q31" name="Range1_1_1_1"/>
    <protectedRange password="CC78" sqref="J36" name="Range1_3_1_1"/>
    <protectedRange password="CC78" sqref="A16:A29" name="Range1_1_2"/>
    <protectedRange password="CC78" sqref="C16:E29 A16:A29" name="Range1_6_2"/>
    <protectedRange password="CC78" sqref="B16:B29" name="Range1_4_2"/>
  </protectedRanges>
  <mergeCells count="144">
    <mergeCell ref="AR24:AR25"/>
    <mergeCell ref="AS24:AS25"/>
    <mergeCell ref="D24:D25"/>
    <mergeCell ref="AK24:AK25"/>
    <mergeCell ref="AL24:AL25"/>
    <mergeCell ref="AM24:AM25"/>
    <mergeCell ref="AN24:AN25"/>
    <mergeCell ref="AO18:AO19"/>
    <mergeCell ref="AP18:AP19"/>
    <mergeCell ref="AQ18:AQ19"/>
    <mergeCell ref="AR18:AR19"/>
    <mergeCell ref="AS18:AS19"/>
    <mergeCell ref="D18:D19"/>
    <mergeCell ref="AK18:AK19"/>
    <mergeCell ref="AL18:AL19"/>
    <mergeCell ref="AM18:AM19"/>
    <mergeCell ref="AN18:AN19"/>
    <mergeCell ref="AO20:AO21"/>
    <mergeCell ref="AP20:AP21"/>
    <mergeCell ref="AQ20:AQ21"/>
    <mergeCell ref="AR20:AR21"/>
    <mergeCell ref="AS20:AS21"/>
    <mergeCell ref="D20:D21"/>
    <mergeCell ref="AK20:AK21"/>
    <mergeCell ref="D26:D27"/>
    <mergeCell ref="AK26:AK27"/>
    <mergeCell ref="D13:D14"/>
    <mergeCell ref="AK13:AK14"/>
    <mergeCell ref="D16:D17"/>
    <mergeCell ref="AK16:AK17"/>
    <mergeCell ref="AQ11:AQ12"/>
    <mergeCell ref="AR11:AR12"/>
    <mergeCell ref="AS11:AS12"/>
    <mergeCell ref="D22:D23"/>
    <mergeCell ref="AK22:AK23"/>
    <mergeCell ref="AL22:AL23"/>
    <mergeCell ref="AM22:AM23"/>
    <mergeCell ref="AN22:AN23"/>
    <mergeCell ref="AO22:AO23"/>
    <mergeCell ref="AP22:AP23"/>
    <mergeCell ref="AQ22:AQ23"/>
    <mergeCell ref="AR22:AR23"/>
    <mergeCell ref="AS22:AS23"/>
    <mergeCell ref="AL11:AL12"/>
    <mergeCell ref="AM11:AM12"/>
    <mergeCell ref="AN11:AN12"/>
    <mergeCell ref="AO11:AO12"/>
    <mergeCell ref="AP11:AP12"/>
    <mergeCell ref="A16:A17"/>
    <mergeCell ref="B16:B17"/>
    <mergeCell ref="A26:A27"/>
    <mergeCell ref="B26:B27"/>
    <mergeCell ref="C26:C27"/>
    <mergeCell ref="C16:C17"/>
    <mergeCell ref="A24:A25"/>
    <mergeCell ref="B24:B25"/>
    <mergeCell ref="C24:C25"/>
    <mergeCell ref="A18:A19"/>
    <mergeCell ref="B18:B19"/>
    <mergeCell ref="C18:C19"/>
    <mergeCell ref="A20:A21"/>
    <mergeCell ref="B20:B21"/>
    <mergeCell ref="C20:C21"/>
    <mergeCell ref="A22:A23"/>
    <mergeCell ref="B22:B23"/>
    <mergeCell ref="C22:C23"/>
    <mergeCell ref="A28:A29"/>
    <mergeCell ref="B28:B29"/>
    <mergeCell ref="C28:C29"/>
    <mergeCell ref="D28:D29"/>
    <mergeCell ref="AK28:AK29"/>
    <mergeCell ref="AR13:AR14"/>
    <mergeCell ref="AS13:AS14"/>
    <mergeCell ref="AL13:AL14"/>
    <mergeCell ref="AR28:AR29"/>
    <mergeCell ref="AS28:AS29"/>
    <mergeCell ref="AR16:AR17"/>
    <mergeCell ref="AS16:AS17"/>
    <mergeCell ref="AL26:AL27"/>
    <mergeCell ref="AM26:AM27"/>
    <mergeCell ref="AN26:AN27"/>
    <mergeCell ref="AO26:AO27"/>
    <mergeCell ref="AP26:AP27"/>
    <mergeCell ref="AQ26:AQ27"/>
    <mergeCell ref="AR26:AR27"/>
    <mergeCell ref="AS26:AS27"/>
    <mergeCell ref="AL28:AL29"/>
    <mergeCell ref="A13:A14"/>
    <mergeCell ref="B13:B14"/>
    <mergeCell ref="C13:C14"/>
    <mergeCell ref="AM13:AM14"/>
    <mergeCell ref="AN13:AN14"/>
    <mergeCell ref="AO13:AO14"/>
    <mergeCell ref="AP13:AP14"/>
    <mergeCell ref="AQ13:AQ14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D11:D12"/>
    <mergeCell ref="AK11:AK12"/>
    <mergeCell ref="A11:A12"/>
    <mergeCell ref="B11:B12"/>
    <mergeCell ref="C11:C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28:AM29"/>
    <mergeCell ref="AN28:AN29"/>
    <mergeCell ref="AO28:AO29"/>
    <mergeCell ref="AP28:AP29"/>
    <mergeCell ref="AQ28:AQ29"/>
    <mergeCell ref="AL16:AL17"/>
    <mergeCell ref="AM16:AM17"/>
    <mergeCell ref="AN16:AN17"/>
    <mergeCell ref="AO16:AO17"/>
    <mergeCell ref="AP16:AP17"/>
    <mergeCell ref="AQ16:AQ17"/>
    <mergeCell ref="AO24:AO25"/>
    <mergeCell ref="AP24:AP25"/>
    <mergeCell ref="AQ24:AQ25"/>
    <mergeCell ref="AL20:AL21"/>
    <mergeCell ref="AM20:AM21"/>
    <mergeCell ref="AN20:AN21"/>
  </mergeCells>
  <conditionalFormatting sqref="F5:AJ6 F9:AJ10 F13:AJ14">
    <cfRule type="expression" dxfId="25" priority="65" stopIfTrue="1">
      <formula>IF(WEEKDAY(F$5)=1,TRUE,FALSE)</formula>
    </cfRule>
  </conditionalFormatting>
  <conditionalFormatting sqref="F13:AJ14">
    <cfRule type="expression" dxfId="24" priority="64" stopIfTrue="1">
      <formula>IF(WEEKDAY(F$5)=1,TRUE,FALSE)</formula>
    </cfRule>
  </conditionalFormatting>
  <conditionalFormatting sqref="AJ16:AJ17 AJ26:AJ29">
    <cfRule type="expression" dxfId="23" priority="16" stopIfTrue="1">
      <formula>IF(WEEKDAY(AJ$5)=1,TRUE,FALSE)</formula>
    </cfRule>
  </conditionalFormatting>
  <conditionalFormatting sqref="AJ26:AJ27">
    <cfRule type="expression" dxfId="22" priority="15" stopIfTrue="1">
      <formula>IF(WEEKDAY(AJ$5)=1,TRUE,FALSE)</formula>
    </cfRule>
  </conditionalFormatting>
  <conditionalFormatting sqref="F16:AI17 F26:AI29">
    <cfRule type="expression" dxfId="21" priority="12" stopIfTrue="1">
      <formula>IF(WEEKDAY(F$5)=1,TRUE,FALSE)</formula>
    </cfRule>
  </conditionalFormatting>
  <conditionalFormatting sqref="F26:AI27">
    <cfRule type="expression" dxfId="20" priority="11" stopIfTrue="1">
      <formula>IF(WEEKDAY(F$5)=1,TRUE,FALSE)</formula>
    </cfRule>
  </conditionalFormatting>
  <conditionalFormatting sqref="F11:AJ12">
    <cfRule type="expression" dxfId="19" priority="10" stopIfTrue="1">
      <formula>IF(WEEKDAY(F$5)=1,TRUE,FALSE)</formula>
    </cfRule>
  </conditionalFormatting>
  <conditionalFormatting sqref="F11:AJ12">
    <cfRule type="expression" dxfId="18" priority="9" stopIfTrue="1">
      <formula>IF(WEEKDAY(F$5)=1,TRUE,FALSE)</formula>
    </cfRule>
  </conditionalFormatting>
  <conditionalFormatting sqref="AJ22:AJ25">
    <cfRule type="expression" dxfId="17" priority="8" stopIfTrue="1">
      <formula>IF(WEEKDAY(AJ$5)=1,TRUE,FALSE)</formula>
    </cfRule>
  </conditionalFormatting>
  <conditionalFormatting sqref="AJ22:AJ23">
    <cfRule type="expression" dxfId="16" priority="7" stopIfTrue="1">
      <formula>IF(WEEKDAY(AJ$5)=1,TRUE,FALSE)</formula>
    </cfRule>
  </conditionalFormatting>
  <conditionalFormatting sqref="F22:AI25">
    <cfRule type="expression" dxfId="15" priority="6" stopIfTrue="1">
      <formula>IF(WEEKDAY(F$5)=1,TRUE,FALSE)</formula>
    </cfRule>
  </conditionalFormatting>
  <conditionalFormatting sqref="F22:AI23">
    <cfRule type="expression" dxfId="14" priority="5" stopIfTrue="1">
      <formula>IF(WEEKDAY(F$5)=1,TRUE,FALSE)</formula>
    </cfRule>
  </conditionalFormatting>
  <conditionalFormatting sqref="AJ18:AJ21">
    <cfRule type="expression" dxfId="13" priority="4" stopIfTrue="1">
      <formula>IF(WEEKDAY(AJ$5)=1,TRUE,FALSE)</formula>
    </cfRule>
  </conditionalFormatting>
  <conditionalFormatting sqref="AJ18:AJ19">
    <cfRule type="expression" dxfId="12" priority="3" stopIfTrue="1">
      <formula>IF(WEEKDAY(AJ$5)=1,TRUE,FALSE)</formula>
    </cfRule>
  </conditionalFormatting>
  <conditionalFormatting sqref="F18:AI21">
    <cfRule type="expression" dxfId="11" priority="2" stopIfTrue="1">
      <formula>IF(WEEKDAY(F$5)=1,TRUE,FALSE)</formula>
    </cfRule>
  </conditionalFormatting>
  <conditionalFormatting sqref="F18:AI19">
    <cfRule type="expression" dxfId="1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5"/>
  <sheetViews>
    <sheetView zoomScaleNormal="70" workbookViewId="0">
      <pane xSplit="3" ySplit="8" topLeftCell="D18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S24" activeCellId="1" sqref="S14 S24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9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7"/>
      <c r="B1" s="215"/>
      <c r="C1" s="215"/>
      <c r="D1" s="270" t="str">
        <f>"BẢNG THANH TOÁN LƯƠNG THÁNG"&amp;" "&amp;TEXT($E$4,"mm")&amp;" / "&amp;TEXT($E$4,"yyyy")</f>
        <v>BẢNG THANH TOÁN LƯƠNG THÁNG 11 / 2015</v>
      </c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1"/>
      <c r="R1" s="272" t="s">
        <v>170</v>
      </c>
      <c r="S1" s="273"/>
      <c r="T1" s="274"/>
      <c r="U1" s="128" t="s">
        <v>58</v>
      </c>
      <c r="V1" s="108" t="s">
        <v>37</v>
      </c>
      <c r="W1" s="81"/>
      <c r="X1" s="81"/>
      <c r="Y1" s="5"/>
      <c r="Z1" s="5"/>
    </row>
    <row r="2" spans="1:31" s="4" customFormat="1" ht="15" customHeight="1">
      <c r="A2" s="137"/>
      <c r="B2" s="215"/>
      <c r="C2" s="215"/>
      <c r="D2" s="215"/>
      <c r="E2" s="79"/>
      <c r="F2" s="215"/>
      <c r="G2" s="215"/>
      <c r="H2" s="215"/>
      <c r="I2" s="215"/>
      <c r="J2" s="80"/>
      <c r="K2" s="215"/>
      <c r="L2" s="215"/>
      <c r="M2" s="215"/>
      <c r="N2" s="215"/>
      <c r="O2" s="215"/>
      <c r="P2" s="215"/>
      <c r="Q2" s="215"/>
      <c r="R2" s="215"/>
      <c r="S2" s="215"/>
      <c r="T2" s="57"/>
      <c r="U2" s="78">
        <f>MAX(F10:F24)</f>
        <v>25</v>
      </c>
      <c r="V2" s="109">
        <v>31</v>
      </c>
      <c r="W2" s="81"/>
      <c r="X2" s="81"/>
      <c r="Y2" s="5"/>
      <c r="Z2" s="5"/>
    </row>
    <row r="3" spans="1:31" s="4" customFormat="1" ht="15" customHeight="1">
      <c r="A3" s="137"/>
      <c r="B3" s="215"/>
      <c r="C3" s="215"/>
      <c r="D3" s="215"/>
      <c r="E3" s="79"/>
      <c r="F3" s="215"/>
      <c r="G3" s="215"/>
      <c r="H3" s="215"/>
      <c r="I3" s="215"/>
      <c r="J3" s="80"/>
      <c r="K3" s="215"/>
      <c r="L3" s="215"/>
      <c r="M3" s="215"/>
      <c r="N3" s="215"/>
      <c r="O3" s="215"/>
      <c r="P3" s="215"/>
      <c r="Q3" s="215"/>
      <c r="R3" s="215"/>
      <c r="S3" s="215"/>
      <c r="T3" s="57"/>
      <c r="U3" s="129"/>
      <c r="V3" s="130"/>
      <c r="W3" s="81"/>
      <c r="X3" s="81"/>
      <c r="Y3" s="5"/>
      <c r="Z3" s="5"/>
    </row>
    <row r="4" spans="1:31" s="103" customFormat="1" ht="14.25" customHeight="1">
      <c r="A4" s="101"/>
      <c r="B4" s="102"/>
      <c r="C4" s="102"/>
      <c r="D4" s="102"/>
      <c r="E4" s="187">
        <f>'CC -11'!$E$4</f>
        <v>42309</v>
      </c>
      <c r="F4" s="102"/>
      <c r="G4" s="102"/>
      <c r="H4" s="102"/>
      <c r="I4" s="102"/>
      <c r="J4" s="102"/>
      <c r="K4" s="102"/>
      <c r="L4" s="102"/>
      <c r="M4" s="102"/>
      <c r="N4" s="160">
        <v>0.08</v>
      </c>
      <c r="O4" s="160">
        <v>1.4999999999999999E-2</v>
      </c>
      <c r="P4" s="160">
        <v>0.01</v>
      </c>
      <c r="Q4" s="102"/>
      <c r="R4" s="102"/>
      <c r="S4" s="102"/>
      <c r="T4" s="102"/>
      <c r="U4" s="102"/>
      <c r="V4" s="104"/>
      <c r="W4" s="104"/>
      <c r="X4" s="104"/>
      <c r="Y4" s="104"/>
      <c r="Z4" s="104"/>
    </row>
    <row r="5" spans="1:31" s="26" customFormat="1" ht="24" customHeight="1">
      <c r="A5" s="275" t="s">
        <v>19</v>
      </c>
      <c r="B5" s="275" t="s">
        <v>20</v>
      </c>
      <c r="C5" s="238" t="s">
        <v>1</v>
      </c>
      <c r="D5" s="238" t="s">
        <v>2</v>
      </c>
      <c r="E5" s="241" t="s">
        <v>56</v>
      </c>
      <c r="F5" s="278" t="s">
        <v>26</v>
      </c>
      <c r="G5" s="279"/>
      <c r="H5" s="279"/>
      <c r="I5" s="279"/>
      <c r="J5" s="279"/>
      <c r="K5" s="280"/>
      <c r="L5" s="277" t="s">
        <v>57</v>
      </c>
      <c r="M5" s="277" t="s">
        <v>5</v>
      </c>
      <c r="N5" s="238" t="s">
        <v>6</v>
      </c>
      <c r="O5" s="238"/>
      <c r="P5" s="238"/>
      <c r="Q5" s="277" t="s">
        <v>7</v>
      </c>
      <c r="R5" s="277" t="s">
        <v>8</v>
      </c>
      <c r="S5" s="277" t="s">
        <v>9</v>
      </c>
      <c r="T5" s="239" t="s">
        <v>10</v>
      </c>
      <c r="U5" s="102"/>
      <c r="V5" s="27"/>
      <c r="W5" s="27"/>
      <c r="X5" s="5"/>
      <c r="Y5" s="5"/>
      <c r="Z5" s="5"/>
      <c r="AA5" s="4"/>
      <c r="AB5" s="4"/>
      <c r="AC5" s="4"/>
      <c r="AD5" s="4"/>
      <c r="AE5" s="4"/>
    </row>
    <row r="6" spans="1:31" s="26" customFormat="1" ht="33.75" customHeight="1">
      <c r="A6" s="276"/>
      <c r="B6" s="276"/>
      <c r="C6" s="238"/>
      <c r="D6" s="238"/>
      <c r="E6" s="241"/>
      <c r="F6" s="278" t="s">
        <v>59</v>
      </c>
      <c r="G6" s="280"/>
      <c r="H6" s="278" t="s">
        <v>157</v>
      </c>
      <c r="I6" s="279"/>
      <c r="J6" s="284" t="s">
        <v>27</v>
      </c>
      <c r="K6" s="277" t="s">
        <v>4</v>
      </c>
      <c r="L6" s="281"/>
      <c r="M6" s="281"/>
      <c r="N6" s="286" t="s">
        <v>12</v>
      </c>
      <c r="O6" s="277" t="s">
        <v>13</v>
      </c>
      <c r="P6" s="277" t="s">
        <v>34</v>
      </c>
      <c r="Q6" s="281"/>
      <c r="R6" s="281"/>
      <c r="S6" s="281"/>
      <c r="T6" s="240"/>
      <c r="U6" s="102"/>
      <c r="V6" s="27"/>
      <c r="W6" s="27"/>
      <c r="X6" s="5"/>
      <c r="Y6" s="5"/>
      <c r="Z6" s="5"/>
      <c r="AA6" s="4"/>
      <c r="AB6" s="4"/>
      <c r="AC6" s="4"/>
      <c r="AD6" s="4"/>
      <c r="AE6" s="4"/>
    </row>
    <row r="7" spans="1:31" s="26" customFormat="1" ht="35.25" customHeight="1">
      <c r="A7" s="276"/>
      <c r="B7" s="276"/>
      <c r="C7" s="277"/>
      <c r="D7" s="277"/>
      <c r="E7" s="241"/>
      <c r="F7" s="216" t="s">
        <v>40</v>
      </c>
      <c r="G7" s="213" t="s">
        <v>18</v>
      </c>
      <c r="H7" s="216" t="s">
        <v>40</v>
      </c>
      <c r="I7" s="126" t="s">
        <v>18</v>
      </c>
      <c r="J7" s="285"/>
      <c r="K7" s="281"/>
      <c r="L7" s="282"/>
      <c r="M7" s="282"/>
      <c r="N7" s="287"/>
      <c r="O7" s="281"/>
      <c r="P7" s="281"/>
      <c r="Q7" s="281"/>
      <c r="R7" s="281"/>
      <c r="S7" s="281"/>
      <c r="T7" s="240"/>
      <c r="U7" s="102"/>
      <c r="V7" s="27"/>
      <c r="W7" s="27"/>
      <c r="X7" s="5"/>
      <c r="Y7" s="5"/>
      <c r="Z7" s="5"/>
      <c r="AA7" s="4"/>
      <c r="AB7" s="4"/>
      <c r="AC7" s="4"/>
      <c r="AD7" s="4"/>
      <c r="AE7" s="4"/>
    </row>
    <row r="8" spans="1:31" s="83" customFormat="1" ht="12.75" customHeight="1">
      <c r="A8" s="82">
        <v>1</v>
      </c>
      <c r="B8" s="82">
        <v>2</v>
      </c>
      <c r="C8" s="82">
        <v>3</v>
      </c>
      <c r="D8" s="82">
        <v>4</v>
      </c>
      <c r="E8" s="82">
        <v>5</v>
      </c>
      <c r="F8" s="82">
        <v>7</v>
      </c>
      <c r="G8" s="82">
        <v>8</v>
      </c>
      <c r="H8" s="82">
        <v>9</v>
      </c>
      <c r="I8" s="82">
        <v>10</v>
      </c>
      <c r="J8" s="82">
        <v>13</v>
      </c>
      <c r="K8" s="82">
        <v>14</v>
      </c>
      <c r="L8" s="82">
        <v>16</v>
      </c>
      <c r="M8" s="82">
        <v>17</v>
      </c>
      <c r="N8" s="82">
        <v>18</v>
      </c>
      <c r="O8" s="82">
        <v>19</v>
      </c>
      <c r="P8" s="82">
        <v>20</v>
      </c>
      <c r="Q8" s="82">
        <v>21</v>
      </c>
      <c r="R8" s="82">
        <v>22</v>
      </c>
      <c r="S8" s="82">
        <v>23</v>
      </c>
      <c r="T8" s="82">
        <v>24</v>
      </c>
      <c r="U8" s="102"/>
      <c r="V8" s="84"/>
      <c r="W8" s="84"/>
      <c r="X8" s="85"/>
      <c r="Y8" s="85"/>
      <c r="Z8" s="85"/>
      <c r="AA8" s="86"/>
      <c r="AB8" s="86"/>
      <c r="AC8" s="86"/>
      <c r="AD8" s="86"/>
      <c r="AE8" s="86"/>
    </row>
    <row r="9" spans="1:31" s="83" customFormat="1" ht="24" customHeight="1">
      <c r="A9" s="186" t="s">
        <v>154</v>
      </c>
      <c r="B9" s="185" t="s">
        <v>171</v>
      </c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02"/>
      <c r="V9" s="84"/>
      <c r="W9" s="84"/>
      <c r="X9" s="85"/>
      <c r="Y9" s="85"/>
      <c r="Z9" s="85"/>
      <c r="AA9" s="86"/>
      <c r="AB9" s="86"/>
      <c r="AC9" s="86"/>
      <c r="AD9" s="86"/>
      <c r="AE9" s="86"/>
    </row>
    <row r="10" spans="1:31" s="35" customFormat="1" ht="24" customHeight="1">
      <c r="A10" s="37">
        <v>1</v>
      </c>
      <c r="B10" s="139" t="s">
        <v>159</v>
      </c>
      <c r="C10" s="87" t="str">
        <f t="shared" ref="C10:C12" si="0">VLOOKUP(B10,DS,2,0)</f>
        <v>Nguyễn Thị Thu Sương</v>
      </c>
      <c r="D10" s="114" t="str">
        <f t="shared" ref="D10:D12" si="1">VLOOKUP(B10,DS,3,0)</f>
        <v>Kinh Doanh</v>
      </c>
      <c r="E10" s="88">
        <f t="shared" ref="E10:E12" si="2">VLOOKUP(B10,DS,4,0)</f>
        <v>5000000</v>
      </c>
      <c r="F10" s="90">
        <f>VLOOKUP(B10,'CC -11'!$B$8:$AS$29,36,0)</f>
        <v>25</v>
      </c>
      <c r="G10" s="143">
        <f>ROUND(E10/$U$2*F10,0)</f>
        <v>5000000</v>
      </c>
      <c r="H10" s="90">
        <f>(VLOOKUP(B10,'CC -11'!$B$8:$AS$29,37,0)+VLOOKUP(B10,'CC -11'!$B$8:$AS$29,38,0))</f>
        <v>0</v>
      </c>
      <c r="I10" s="143">
        <f t="shared" ref="I10:I12" si="3">ROUND(E10/$U$2*H10,0)</f>
        <v>0</v>
      </c>
      <c r="J10" s="91">
        <f t="shared" ref="J10:K12" si="4">F10+H10</f>
        <v>25</v>
      </c>
      <c r="K10" s="38">
        <f>G10+I10</f>
        <v>5000000</v>
      </c>
      <c r="L10" s="88">
        <f t="shared" ref="L10:L12" si="5">+F10*15000</f>
        <v>375000</v>
      </c>
      <c r="M10" s="39">
        <f t="shared" ref="M10:M12" si="6">K10+L10</f>
        <v>5375000</v>
      </c>
      <c r="N10" s="39">
        <f>IF(VLOOKUP(B10,DS,9,0)="x",E10*$N$4,0)</f>
        <v>0</v>
      </c>
      <c r="O10" s="39">
        <f>IF(VLOOKUP(B10,DS,9,0)="x",E10*$O$4,0)</f>
        <v>0</v>
      </c>
      <c r="P10" s="39">
        <f>IF(VLOOKUP(B10,DS,9,0)="x",E10*$P$4,0)</f>
        <v>0</v>
      </c>
      <c r="Q10" s="38">
        <f t="shared" ref="Q10:Q12" si="7">M10-SUM(N10:P10)</f>
        <v>5375000</v>
      </c>
      <c r="R10" s="38">
        <f>VLOOKUP(B10,DS,23,0)</f>
        <v>0</v>
      </c>
      <c r="S10" s="44">
        <f t="shared" ref="S10:S12" si="8">Q10-R10</f>
        <v>5375000</v>
      </c>
      <c r="T10" s="38"/>
      <c r="U10" s="102"/>
      <c r="V10" s="36"/>
      <c r="W10" s="27"/>
      <c r="X10" s="5"/>
      <c r="Y10" s="5"/>
      <c r="Z10" s="5"/>
      <c r="AA10" s="4"/>
      <c r="AB10" s="4"/>
      <c r="AC10" s="4"/>
      <c r="AD10" s="4"/>
      <c r="AE10" s="4"/>
    </row>
    <row r="11" spans="1:31" s="35" customFormat="1" ht="24" customHeight="1">
      <c r="A11" s="37">
        <v>2</v>
      </c>
      <c r="B11" s="139" t="s">
        <v>160</v>
      </c>
      <c r="C11" s="87" t="str">
        <f t="shared" ref="C11" si="9">VLOOKUP(B11,DS,2,0)</f>
        <v>Trần Anh Nhựt</v>
      </c>
      <c r="D11" s="114" t="str">
        <f t="shared" ref="D11" si="10">VLOOKUP(B11,DS,3,0)</f>
        <v>Thiết Kế</v>
      </c>
      <c r="E11" s="88">
        <f t="shared" ref="E11" si="11">VLOOKUP(B11,DS,4,0)</f>
        <v>5000000</v>
      </c>
      <c r="F11" s="90">
        <f>VLOOKUP(B11,'CC -11'!$B$8:$AS$29,36,0)</f>
        <v>25</v>
      </c>
      <c r="G11" s="143">
        <f t="shared" ref="G11" si="12">ROUND(E11/$U$2*F11,0)</f>
        <v>5000000</v>
      </c>
      <c r="H11" s="90">
        <f>(VLOOKUP(B11,'CC -11'!$B$8:$AS$29,37,0)+VLOOKUP(B11,'CC -11'!$B$8:$AS$29,38,0))</f>
        <v>0</v>
      </c>
      <c r="I11" s="143">
        <f t="shared" ref="I11" si="13">ROUND(E11/$U$2*H11,0)</f>
        <v>0</v>
      </c>
      <c r="J11" s="91">
        <f t="shared" ref="J11" si="14">F11+H11</f>
        <v>25</v>
      </c>
      <c r="K11" s="38">
        <f t="shared" ref="K11" si="15">G11+I11</f>
        <v>5000000</v>
      </c>
      <c r="L11" s="88">
        <f t="shared" ref="L11" si="16">+F11*15000</f>
        <v>375000</v>
      </c>
      <c r="M11" s="39">
        <f t="shared" ref="M11" si="17">K11+L11</f>
        <v>5375000</v>
      </c>
      <c r="N11" s="39">
        <f>IF(VLOOKUP(B11,DS,9,0)="x",E11*$N$4,0)</f>
        <v>0</v>
      </c>
      <c r="O11" s="39">
        <f>IF(VLOOKUP(B11,DS,9,0)="x",E11*$O$4,0)</f>
        <v>0</v>
      </c>
      <c r="P11" s="39">
        <f>IF(VLOOKUP(B11,DS,9,0)="x",E11*$P$4,0)</f>
        <v>0</v>
      </c>
      <c r="Q11" s="38">
        <f t="shared" ref="Q11" si="18">M11-SUM(N11:P11)</f>
        <v>5375000</v>
      </c>
      <c r="R11" s="38">
        <f>VLOOKUP(B11,DS,23,0)</f>
        <v>0</v>
      </c>
      <c r="S11" s="44">
        <f t="shared" ref="S11" si="19">Q11-R11</f>
        <v>5375000</v>
      </c>
      <c r="T11" s="38"/>
      <c r="U11" s="102"/>
      <c r="V11" s="36"/>
      <c r="W11" s="27"/>
      <c r="X11" s="5"/>
      <c r="Y11" s="5"/>
      <c r="Z11" s="5"/>
      <c r="AA11" s="4"/>
      <c r="AB11" s="4"/>
      <c r="AC11" s="4"/>
      <c r="AD11" s="4"/>
      <c r="AE11" s="4"/>
    </row>
    <row r="12" spans="1:31" s="35" customFormat="1" ht="24" customHeight="1">
      <c r="A12" s="37">
        <v>3</v>
      </c>
      <c r="B12" s="139" t="s">
        <v>168</v>
      </c>
      <c r="C12" s="87" t="str">
        <f t="shared" si="0"/>
        <v>Huỳnh Minh Toàn</v>
      </c>
      <c r="D12" s="114" t="str">
        <f t="shared" si="1"/>
        <v>Thủ Kho</v>
      </c>
      <c r="E12" s="88">
        <f t="shared" si="2"/>
        <v>5500000</v>
      </c>
      <c r="F12" s="90">
        <f>VLOOKUP(B12,'CC -11'!$B$8:$AS$29,36,0)</f>
        <v>25</v>
      </c>
      <c r="G12" s="143">
        <f t="shared" ref="G12" si="20">ROUND(E12/$U$2*F12,0)</f>
        <v>5500000</v>
      </c>
      <c r="H12" s="90">
        <f>(VLOOKUP(B12,'CC -11'!$B$8:$AS$29,37,0)+VLOOKUP(B12,'CC -11'!$B$8:$AS$29,38,0))</f>
        <v>0</v>
      </c>
      <c r="I12" s="143">
        <f t="shared" si="3"/>
        <v>0</v>
      </c>
      <c r="J12" s="91">
        <f t="shared" si="4"/>
        <v>25</v>
      </c>
      <c r="K12" s="38">
        <f t="shared" si="4"/>
        <v>5500000</v>
      </c>
      <c r="L12" s="88">
        <f t="shared" si="5"/>
        <v>375000</v>
      </c>
      <c r="M12" s="39">
        <f t="shared" si="6"/>
        <v>5875000</v>
      </c>
      <c r="N12" s="39">
        <f>IF(VLOOKUP(B12,DS,9,0)="x",E12*$N$4,0)</f>
        <v>0</v>
      </c>
      <c r="O12" s="39">
        <f>IF(VLOOKUP(B12,DS,9,0)="x",E12*$O$4,0)</f>
        <v>0</v>
      </c>
      <c r="P12" s="39">
        <f>IF(VLOOKUP(B12,DS,9,0)="x",E12*$P$4,0)</f>
        <v>0</v>
      </c>
      <c r="Q12" s="38">
        <f t="shared" si="7"/>
        <v>5875000</v>
      </c>
      <c r="R12" s="38">
        <f>VLOOKUP(B12,DS,23,0)</f>
        <v>0</v>
      </c>
      <c r="S12" s="44">
        <f t="shared" si="8"/>
        <v>5875000</v>
      </c>
      <c r="T12" s="38"/>
      <c r="U12" s="102"/>
      <c r="V12" s="36"/>
      <c r="W12" s="27"/>
      <c r="X12" s="5"/>
      <c r="Y12" s="5"/>
      <c r="Z12" s="5"/>
      <c r="AA12" s="4"/>
      <c r="AB12" s="4"/>
      <c r="AC12" s="4"/>
      <c r="AD12" s="4"/>
      <c r="AE12" s="4"/>
    </row>
    <row r="13" spans="1:31" s="35" customFormat="1" ht="24" customHeight="1">
      <c r="A13" s="201"/>
      <c r="B13" s="202"/>
      <c r="C13" s="203"/>
      <c r="D13" s="204"/>
      <c r="E13" s="205"/>
      <c r="F13" s="206"/>
      <c r="G13" s="207"/>
      <c r="H13" s="206"/>
      <c r="I13" s="207"/>
      <c r="J13" s="208"/>
      <c r="K13" s="209"/>
      <c r="L13" s="205"/>
      <c r="M13" s="210"/>
      <c r="N13" s="210"/>
      <c r="O13" s="210"/>
      <c r="P13" s="210"/>
      <c r="Q13" s="209"/>
      <c r="R13" s="209"/>
      <c r="S13" s="211"/>
      <c r="T13" s="209"/>
      <c r="U13" s="102"/>
      <c r="V13" s="36"/>
      <c r="W13" s="27"/>
      <c r="X13" s="5"/>
      <c r="Y13" s="5"/>
      <c r="Z13" s="5"/>
      <c r="AA13" s="4"/>
      <c r="AB13" s="4"/>
      <c r="AC13" s="4"/>
      <c r="AD13" s="4"/>
      <c r="AE13" s="4"/>
    </row>
    <row r="14" spans="1:31" s="31" customFormat="1" ht="21" customHeight="1">
      <c r="A14" s="283" t="s">
        <v>25</v>
      </c>
      <c r="B14" s="283"/>
      <c r="C14" s="283"/>
      <c r="D14" s="283"/>
      <c r="E14" s="138">
        <f>SUM(E9:E13)</f>
        <v>15500000</v>
      </c>
      <c r="F14" s="138"/>
      <c r="G14" s="138">
        <f>SUM(G9:G13)</f>
        <v>15500000</v>
      </c>
      <c r="H14" s="138"/>
      <c r="I14" s="138">
        <f>SUM(I9:I13)</f>
        <v>0</v>
      </c>
      <c r="J14" s="138"/>
      <c r="K14" s="138">
        <f t="shared" ref="K14:S14" si="21">SUM(K9:K13)</f>
        <v>15500000</v>
      </c>
      <c r="L14" s="138">
        <f t="shared" si="21"/>
        <v>1125000</v>
      </c>
      <c r="M14" s="138">
        <f t="shared" si="21"/>
        <v>16625000</v>
      </c>
      <c r="N14" s="138">
        <f t="shared" si="21"/>
        <v>0</v>
      </c>
      <c r="O14" s="138">
        <f t="shared" si="21"/>
        <v>0</v>
      </c>
      <c r="P14" s="138">
        <f t="shared" si="21"/>
        <v>0</v>
      </c>
      <c r="Q14" s="138">
        <f t="shared" si="21"/>
        <v>16625000</v>
      </c>
      <c r="R14" s="138">
        <f t="shared" si="21"/>
        <v>0</v>
      </c>
      <c r="S14" s="138">
        <f t="shared" si="21"/>
        <v>16625000</v>
      </c>
      <c r="T14" s="25"/>
      <c r="U14" s="102"/>
      <c r="V14" s="32"/>
      <c r="W14" s="32"/>
      <c r="X14" s="32"/>
      <c r="Y14" s="32"/>
      <c r="Z14" s="32"/>
    </row>
    <row r="15" spans="1:31" s="83" customFormat="1" ht="24" customHeight="1">
      <c r="A15" s="186" t="s">
        <v>155</v>
      </c>
      <c r="B15" s="185" t="s">
        <v>156</v>
      </c>
      <c r="C15" s="184"/>
      <c r="D15" s="184"/>
      <c r="E15" s="184"/>
      <c r="F15" s="184"/>
      <c r="G15" s="184"/>
      <c r="H15" s="184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02"/>
      <c r="V15" s="84"/>
      <c r="W15" s="84"/>
      <c r="X15" s="85"/>
      <c r="Y15" s="85"/>
      <c r="Z15" s="85"/>
      <c r="AA15" s="86"/>
      <c r="AB15" s="86"/>
      <c r="AC15" s="86"/>
      <c r="AD15" s="86"/>
      <c r="AE15" s="86"/>
    </row>
    <row r="16" spans="1:31" s="35" customFormat="1" ht="24" customHeight="1">
      <c r="A16" s="37">
        <v>1</v>
      </c>
      <c r="B16" s="139" t="s">
        <v>161</v>
      </c>
      <c r="C16" s="87" t="str">
        <f t="shared" ref="C16:C20" si="22">VLOOKUP(B16,DS,2,0)</f>
        <v>Nguyễn Trường Giang</v>
      </c>
      <c r="D16" s="114" t="str">
        <f t="shared" ref="D16:D20" si="23">VLOOKUP(B16,DS,3,0)</f>
        <v>Thợ in</v>
      </c>
      <c r="E16" s="88">
        <f t="shared" ref="E16:E20" si="24">VLOOKUP(B16,DS,4,0)</f>
        <v>5000000</v>
      </c>
      <c r="F16" s="90">
        <f>VLOOKUP(B16,'CC -11'!$B$8:$AS$29,36,0)</f>
        <v>25</v>
      </c>
      <c r="G16" s="143">
        <f t="shared" ref="G16:G20" si="25">ROUND(E16/$U$2*F16,0)</f>
        <v>5000000</v>
      </c>
      <c r="H16" s="90">
        <f>(VLOOKUP(B16,'CC -11'!$B$8:$AS$29,37,0)+VLOOKUP(B16,'CC -11'!$B$8:$AS$29,38,0))</f>
        <v>0</v>
      </c>
      <c r="I16" s="143">
        <f t="shared" ref="I16:I20" si="26">ROUND(E16/$U$2*H16,0)</f>
        <v>0</v>
      </c>
      <c r="J16" s="144">
        <f t="shared" ref="J16:K20" si="27">F16+H16</f>
        <v>25</v>
      </c>
      <c r="K16" s="38">
        <f t="shared" si="27"/>
        <v>5000000</v>
      </c>
      <c r="L16" s="88">
        <f t="shared" ref="L16:L20" si="28">+F16*15000</f>
        <v>375000</v>
      </c>
      <c r="M16" s="39">
        <f t="shared" ref="M16:M20" si="29">K16+L16</f>
        <v>5375000</v>
      </c>
      <c r="N16" s="39">
        <f>IF(VLOOKUP(B16,DS,9,0)="x",'L - 11'!E16*$N$4,0)</f>
        <v>0</v>
      </c>
      <c r="O16" s="39">
        <f t="shared" ref="O16:O20" si="30">IF(VLOOKUP(B16,DS,9,0)="x",E16*0.015,0)</f>
        <v>0</v>
      </c>
      <c r="P16" s="39">
        <f t="shared" ref="P16:P20" si="31">IF(VLOOKUP(B16,DS,9,0)="x",E16*0.01,0)</f>
        <v>0</v>
      </c>
      <c r="Q16" s="38">
        <f>M16-SUM(N16:P16)</f>
        <v>5375000</v>
      </c>
      <c r="R16" s="38">
        <f t="shared" ref="R16:R20" si="32">VLOOKUP(B16,DS,23,0)</f>
        <v>0</v>
      </c>
      <c r="S16" s="44">
        <f>Q16-R16</f>
        <v>5375000</v>
      </c>
      <c r="T16" s="38"/>
      <c r="U16" s="102"/>
      <c r="V16" s="36"/>
      <c r="W16" s="27"/>
      <c r="X16" s="5"/>
      <c r="Y16" s="5"/>
      <c r="Z16" s="5"/>
      <c r="AA16" s="4"/>
      <c r="AB16" s="4"/>
      <c r="AC16" s="4"/>
      <c r="AD16" s="4"/>
      <c r="AE16" s="4"/>
    </row>
    <row r="17" spans="1:31" s="35" customFormat="1" ht="24" customHeight="1">
      <c r="A17" s="37">
        <v>2</v>
      </c>
      <c r="B17" s="139" t="s">
        <v>162</v>
      </c>
      <c r="C17" s="87" t="str">
        <f t="shared" ref="C17:C18" si="33">VLOOKUP(B17,DS,2,0)</f>
        <v>Võ Văn Kiệt</v>
      </c>
      <c r="D17" s="114" t="str">
        <f t="shared" ref="D17:D18" si="34">VLOOKUP(B17,DS,3,0)</f>
        <v>Công Đoạn 1</v>
      </c>
      <c r="E17" s="88">
        <f t="shared" ref="E17:E18" si="35">VLOOKUP(B17,DS,4,0)</f>
        <v>5000000</v>
      </c>
      <c r="F17" s="90">
        <f>VLOOKUP(B17,'CC -11'!$B$8:$AS$29,36,0)</f>
        <v>25</v>
      </c>
      <c r="G17" s="143">
        <f t="shared" ref="G17:G18" si="36">ROUND(E17/$U$2*F17,0)</f>
        <v>5000000</v>
      </c>
      <c r="H17" s="90">
        <f>(VLOOKUP(B17,'CC -11'!$B$8:$AS$29,37,0)+VLOOKUP(B17,'CC -11'!$B$8:$AS$29,38,0))</f>
        <v>0</v>
      </c>
      <c r="I17" s="143">
        <f t="shared" ref="I17:I18" si="37">ROUND(E17/$U$2*H17,0)</f>
        <v>0</v>
      </c>
      <c r="J17" s="144">
        <f t="shared" ref="J17:J18" si="38">F17+H17</f>
        <v>25</v>
      </c>
      <c r="K17" s="38">
        <f t="shared" ref="K17:K18" si="39">G17+I17</f>
        <v>5000000</v>
      </c>
      <c r="L17" s="88">
        <f t="shared" ref="L17:L18" si="40">+F17*15000</f>
        <v>375000</v>
      </c>
      <c r="M17" s="39">
        <f t="shared" ref="M17:M18" si="41">K17+L17</f>
        <v>5375000</v>
      </c>
      <c r="N17" s="39">
        <f>IF(VLOOKUP(B17,DS,9,0)="x",'L - 11'!E17*$N$4,0)</f>
        <v>0</v>
      </c>
      <c r="O17" s="39">
        <f t="shared" ref="O17:O18" si="42">IF(VLOOKUP(B17,DS,9,0)="x",E17*0.015,0)</f>
        <v>0</v>
      </c>
      <c r="P17" s="39">
        <f t="shared" ref="P17:P18" si="43">IF(VLOOKUP(B17,DS,9,0)="x",E17*0.01,0)</f>
        <v>0</v>
      </c>
      <c r="Q17" s="38">
        <f t="shared" ref="Q17:Q18" si="44">M17-SUM(N17:P17)</f>
        <v>5375000</v>
      </c>
      <c r="R17" s="38">
        <f t="shared" ref="R17:R18" si="45">VLOOKUP(B17,DS,23,0)</f>
        <v>0</v>
      </c>
      <c r="S17" s="44">
        <f t="shared" ref="S17:S18" si="46">Q17-R17</f>
        <v>5375000</v>
      </c>
      <c r="T17" s="38"/>
      <c r="U17" s="102"/>
      <c r="V17" s="36"/>
      <c r="W17" s="27"/>
      <c r="X17" s="5"/>
      <c r="Y17" s="5"/>
      <c r="Z17" s="5"/>
      <c r="AA17" s="4"/>
      <c r="AB17" s="4"/>
      <c r="AC17" s="4"/>
      <c r="AD17" s="4"/>
      <c r="AE17" s="4"/>
    </row>
    <row r="18" spans="1:31" s="35" customFormat="1" ht="24" customHeight="1">
      <c r="A18" s="37">
        <v>3</v>
      </c>
      <c r="B18" s="139" t="s">
        <v>163</v>
      </c>
      <c r="C18" s="87" t="str">
        <f t="shared" si="33"/>
        <v>Diệp Văn Lân</v>
      </c>
      <c r="D18" s="114" t="str">
        <f t="shared" si="34"/>
        <v>Công Đoạn 1</v>
      </c>
      <c r="E18" s="88">
        <f t="shared" si="35"/>
        <v>4200000</v>
      </c>
      <c r="F18" s="90">
        <f>VLOOKUP(B18,'CC -11'!$B$8:$AS$29,36,0)</f>
        <v>25</v>
      </c>
      <c r="G18" s="143">
        <f t="shared" si="36"/>
        <v>4200000</v>
      </c>
      <c r="H18" s="90">
        <f>(VLOOKUP(B18,'CC -11'!$B$8:$AS$29,37,0)+VLOOKUP(B18,'CC -11'!$B$8:$AS$29,38,0))</f>
        <v>0</v>
      </c>
      <c r="I18" s="143">
        <f t="shared" si="37"/>
        <v>0</v>
      </c>
      <c r="J18" s="144">
        <f t="shared" si="38"/>
        <v>25</v>
      </c>
      <c r="K18" s="38">
        <f t="shared" si="39"/>
        <v>4200000</v>
      </c>
      <c r="L18" s="88">
        <f t="shared" si="40"/>
        <v>375000</v>
      </c>
      <c r="M18" s="39">
        <f t="shared" si="41"/>
        <v>4575000</v>
      </c>
      <c r="N18" s="39">
        <f>IF(VLOOKUP(B18,DS,9,0)="x",'L - 11'!E18*$N$4,0)</f>
        <v>0</v>
      </c>
      <c r="O18" s="39">
        <f t="shared" si="42"/>
        <v>0</v>
      </c>
      <c r="P18" s="39">
        <f t="shared" si="43"/>
        <v>0</v>
      </c>
      <c r="Q18" s="38">
        <f t="shared" si="44"/>
        <v>4575000</v>
      </c>
      <c r="R18" s="38">
        <f t="shared" si="45"/>
        <v>0</v>
      </c>
      <c r="S18" s="44">
        <f t="shared" si="46"/>
        <v>4575000</v>
      </c>
      <c r="T18" s="38"/>
      <c r="U18" s="102"/>
      <c r="V18" s="36"/>
      <c r="W18" s="27"/>
      <c r="X18" s="5"/>
      <c r="Y18" s="5"/>
      <c r="Z18" s="5"/>
      <c r="AA18" s="4"/>
      <c r="AB18" s="4"/>
      <c r="AC18" s="4"/>
      <c r="AD18" s="4"/>
      <c r="AE18" s="4"/>
    </row>
    <row r="19" spans="1:31" s="35" customFormat="1" ht="24" customHeight="1">
      <c r="A19" s="37">
        <v>4</v>
      </c>
      <c r="B19" s="139" t="s">
        <v>176</v>
      </c>
      <c r="C19" s="87" t="str">
        <f t="shared" si="22"/>
        <v>Dương Thế Kiệt</v>
      </c>
      <c r="D19" s="114" t="str">
        <f t="shared" si="23"/>
        <v>Công Đoạn 1</v>
      </c>
      <c r="E19" s="88">
        <f t="shared" si="24"/>
        <v>4200000</v>
      </c>
      <c r="F19" s="90">
        <f>VLOOKUP(B19,'CC -11'!$B$8:$AS$29,36,0)</f>
        <v>25</v>
      </c>
      <c r="G19" s="143">
        <f t="shared" si="25"/>
        <v>4200000</v>
      </c>
      <c r="H19" s="90">
        <f>(VLOOKUP(B19,'CC -11'!$B$8:$AS$29,37,0)+VLOOKUP(B19,'CC -11'!$B$8:$AS$29,38,0))</f>
        <v>0</v>
      </c>
      <c r="I19" s="143">
        <f t="shared" si="26"/>
        <v>0</v>
      </c>
      <c r="J19" s="144">
        <f t="shared" si="27"/>
        <v>25</v>
      </c>
      <c r="K19" s="38">
        <f t="shared" si="27"/>
        <v>4200000</v>
      </c>
      <c r="L19" s="88">
        <f t="shared" si="28"/>
        <v>375000</v>
      </c>
      <c r="M19" s="39">
        <f t="shared" si="29"/>
        <v>4575000</v>
      </c>
      <c r="N19" s="39">
        <f>IF(VLOOKUP(B19,DS,9,0)="x",'L - 11'!E19*$N$4,0)</f>
        <v>0</v>
      </c>
      <c r="O19" s="39">
        <f t="shared" si="30"/>
        <v>0</v>
      </c>
      <c r="P19" s="39">
        <f t="shared" si="31"/>
        <v>0</v>
      </c>
      <c r="Q19" s="38">
        <f t="shared" ref="Q19:Q20" si="47">M19-SUM(N19:P19)</f>
        <v>4575000</v>
      </c>
      <c r="R19" s="38">
        <f t="shared" si="32"/>
        <v>0</v>
      </c>
      <c r="S19" s="44">
        <f t="shared" ref="S19:S20" si="48">Q19-R19</f>
        <v>4575000</v>
      </c>
      <c r="T19" s="38"/>
      <c r="U19" s="102"/>
      <c r="V19" s="36"/>
      <c r="W19" s="27"/>
      <c r="X19" s="5"/>
      <c r="Y19" s="5"/>
      <c r="Z19" s="5"/>
      <c r="AA19" s="4"/>
      <c r="AB19" s="4"/>
      <c r="AC19" s="4"/>
      <c r="AD19" s="4"/>
      <c r="AE19" s="4"/>
    </row>
    <row r="20" spans="1:31" s="35" customFormat="1" ht="24" customHeight="1">
      <c r="A20" s="37">
        <v>5</v>
      </c>
      <c r="B20" s="139" t="s">
        <v>177</v>
      </c>
      <c r="C20" s="87" t="str">
        <f t="shared" si="22"/>
        <v>Lê Văn Hữu</v>
      </c>
      <c r="D20" s="114" t="str">
        <f t="shared" si="23"/>
        <v>Công Đoạn 2</v>
      </c>
      <c r="E20" s="88">
        <f t="shared" si="24"/>
        <v>5000000</v>
      </c>
      <c r="F20" s="90">
        <f>VLOOKUP(B20,'CC -11'!$B$8:$AS$29,36,0)</f>
        <v>25</v>
      </c>
      <c r="G20" s="143">
        <f t="shared" si="25"/>
        <v>5000000</v>
      </c>
      <c r="H20" s="90">
        <f>(VLOOKUP(B20,'CC -11'!$B$8:$AS$29,37,0)+VLOOKUP(B20,'CC -11'!$B$8:$AS$29,38,0))</f>
        <v>0</v>
      </c>
      <c r="I20" s="143">
        <f t="shared" si="26"/>
        <v>0</v>
      </c>
      <c r="J20" s="144">
        <f t="shared" si="27"/>
        <v>25</v>
      </c>
      <c r="K20" s="38">
        <f t="shared" si="27"/>
        <v>5000000</v>
      </c>
      <c r="L20" s="88">
        <f t="shared" si="28"/>
        <v>375000</v>
      </c>
      <c r="M20" s="39">
        <f t="shared" si="29"/>
        <v>5375000</v>
      </c>
      <c r="N20" s="39">
        <f>IF(VLOOKUP(B20,DS,9,0)="x",'L - 11'!E20*$N$4,0)</f>
        <v>0</v>
      </c>
      <c r="O20" s="39">
        <f t="shared" si="30"/>
        <v>0</v>
      </c>
      <c r="P20" s="39">
        <f t="shared" si="31"/>
        <v>0</v>
      </c>
      <c r="Q20" s="38">
        <f t="shared" si="47"/>
        <v>5375000</v>
      </c>
      <c r="R20" s="38">
        <f t="shared" si="32"/>
        <v>0</v>
      </c>
      <c r="S20" s="44">
        <f t="shared" si="48"/>
        <v>5375000</v>
      </c>
      <c r="T20" s="38"/>
      <c r="U20" s="102"/>
      <c r="V20" s="36"/>
      <c r="W20" s="27"/>
      <c r="X20" s="5"/>
      <c r="Y20" s="5"/>
      <c r="Z20" s="5"/>
      <c r="AA20" s="4"/>
      <c r="AB20" s="4"/>
      <c r="AC20" s="4"/>
      <c r="AD20" s="4"/>
      <c r="AE20" s="4"/>
    </row>
    <row r="21" spans="1:31" s="35" customFormat="1" ht="24" customHeight="1">
      <c r="A21" s="37">
        <v>6</v>
      </c>
      <c r="B21" s="139" t="s">
        <v>178</v>
      </c>
      <c r="C21" s="87" t="str">
        <f t="shared" ref="C21:C22" si="49">VLOOKUP(B21,DS,2,0)</f>
        <v>Bùi Trường Giang</v>
      </c>
      <c r="D21" s="114" t="str">
        <f t="shared" ref="D21:D22" si="50">VLOOKUP(B21,DS,3,0)</f>
        <v>Công Đoạn 2</v>
      </c>
      <c r="E21" s="88">
        <f t="shared" ref="E21:E22" si="51">VLOOKUP(B21,DS,4,0)</f>
        <v>4200000</v>
      </c>
      <c r="F21" s="90">
        <f>VLOOKUP(B21,'CC -11'!$B$8:$AS$29,36,0)</f>
        <v>25</v>
      </c>
      <c r="G21" s="143">
        <f t="shared" ref="G21:G22" si="52">ROUND(E21/$U$2*F21,0)</f>
        <v>4200000</v>
      </c>
      <c r="H21" s="90">
        <f>(VLOOKUP(B21,'CC -11'!$B$8:$AS$29,37,0)+VLOOKUP(B21,'CC -11'!$B$8:$AS$29,38,0))</f>
        <v>0</v>
      </c>
      <c r="I21" s="143">
        <f t="shared" ref="I21:I22" si="53">ROUND(E21/$U$2*H21,0)</f>
        <v>0</v>
      </c>
      <c r="J21" s="144">
        <f t="shared" ref="J21:J22" si="54">F21+H21</f>
        <v>25</v>
      </c>
      <c r="K21" s="38">
        <f t="shared" ref="K21:K22" si="55">G21+I21</f>
        <v>4200000</v>
      </c>
      <c r="L21" s="88">
        <f t="shared" ref="L21:L22" si="56">+F21*15000</f>
        <v>375000</v>
      </c>
      <c r="M21" s="39">
        <f t="shared" ref="M21:M22" si="57">K21+L21</f>
        <v>4575000</v>
      </c>
      <c r="N21" s="39">
        <f>IF(VLOOKUP(B21,DS,9,0)="x",'L - 11'!E21*$N$4,0)</f>
        <v>0</v>
      </c>
      <c r="O21" s="39">
        <f t="shared" ref="O21:O22" si="58">IF(VLOOKUP(B21,DS,9,0)="x",E21*0.015,0)</f>
        <v>0</v>
      </c>
      <c r="P21" s="39">
        <f t="shared" ref="P21:P22" si="59">IF(VLOOKUP(B21,DS,9,0)="x",E21*0.01,0)</f>
        <v>0</v>
      </c>
      <c r="Q21" s="38">
        <f t="shared" ref="Q21:Q22" si="60">M21-SUM(N21:P21)</f>
        <v>4575000</v>
      </c>
      <c r="R21" s="38">
        <f t="shared" ref="R21:R22" si="61">VLOOKUP(B21,DS,23,0)</f>
        <v>0</v>
      </c>
      <c r="S21" s="44">
        <f t="shared" ref="S21:S22" si="62">Q21-R21</f>
        <v>4575000</v>
      </c>
      <c r="T21" s="38"/>
      <c r="U21" s="102"/>
      <c r="V21" s="36"/>
      <c r="W21" s="27"/>
      <c r="X21" s="5"/>
      <c r="Y21" s="5"/>
      <c r="Z21" s="5"/>
      <c r="AA21" s="4"/>
      <c r="AB21" s="4"/>
      <c r="AC21" s="4"/>
      <c r="AD21" s="4"/>
      <c r="AE21" s="4"/>
    </row>
    <row r="22" spans="1:31" s="35" customFormat="1" ht="24" customHeight="1">
      <c r="A22" s="37">
        <v>7</v>
      </c>
      <c r="B22" s="139" t="s">
        <v>179</v>
      </c>
      <c r="C22" s="87" t="str">
        <f t="shared" si="49"/>
        <v>Nguyễn T Bích Thủy</v>
      </c>
      <c r="D22" s="114" t="str">
        <f t="shared" si="50"/>
        <v>Công Đoạn 2</v>
      </c>
      <c r="E22" s="88">
        <f t="shared" si="51"/>
        <v>4200000</v>
      </c>
      <c r="F22" s="90">
        <f>VLOOKUP(B22,'CC -11'!$B$8:$AS$29,36,0)</f>
        <v>25</v>
      </c>
      <c r="G22" s="143">
        <f t="shared" si="52"/>
        <v>4200000</v>
      </c>
      <c r="H22" s="90">
        <f>(VLOOKUP(B22,'CC -11'!$B$8:$AS$29,37,0)+VLOOKUP(B22,'CC -11'!$B$8:$AS$29,38,0))</f>
        <v>0</v>
      </c>
      <c r="I22" s="143">
        <f t="shared" si="53"/>
        <v>0</v>
      </c>
      <c r="J22" s="144">
        <f t="shared" si="54"/>
        <v>25</v>
      </c>
      <c r="K22" s="38">
        <f t="shared" si="55"/>
        <v>4200000</v>
      </c>
      <c r="L22" s="88">
        <f t="shared" si="56"/>
        <v>375000</v>
      </c>
      <c r="M22" s="39">
        <f t="shared" si="57"/>
        <v>4575000</v>
      </c>
      <c r="N22" s="39">
        <f>IF(VLOOKUP(B22,DS,9,0)="x",'L - 11'!E22*$N$4,0)</f>
        <v>0</v>
      </c>
      <c r="O22" s="39">
        <f t="shared" si="58"/>
        <v>0</v>
      </c>
      <c r="P22" s="39">
        <f t="shared" si="59"/>
        <v>0</v>
      </c>
      <c r="Q22" s="38">
        <f t="shared" si="60"/>
        <v>4575000</v>
      </c>
      <c r="R22" s="38">
        <f t="shared" si="61"/>
        <v>0</v>
      </c>
      <c r="S22" s="44">
        <f t="shared" si="62"/>
        <v>4575000</v>
      </c>
      <c r="T22" s="38"/>
      <c r="U22" s="102"/>
      <c r="V22" s="36"/>
      <c r="W22" s="27"/>
      <c r="X22" s="5"/>
      <c r="Y22" s="5"/>
      <c r="Z22" s="5"/>
      <c r="AA22" s="4"/>
      <c r="AB22" s="4"/>
      <c r="AC22" s="4"/>
      <c r="AD22" s="4"/>
      <c r="AE22" s="4"/>
    </row>
    <row r="23" spans="1:31" s="35" customFormat="1" ht="22.5" customHeight="1">
      <c r="A23" s="40"/>
      <c r="B23" s="183"/>
      <c r="C23" s="41"/>
      <c r="D23" s="3"/>
      <c r="E23" s="42"/>
      <c r="F23" s="42"/>
      <c r="G23" s="42"/>
      <c r="H23" s="42"/>
      <c r="I23" s="42"/>
      <c r="J23" s="43"/>
      <c r="K23" s="42"/>
      <c r="L23" s="42"/>
      <c r="M23" s="182"/>
      <c r="N23" s="42"/>
      <c r="O23" s="42"/>
      <c r="P23" s="42"/>
      <c r="Q23" s="42"/>
      <c r="R23" s="42"/>
      <c r="S23" s="42"/>
      <c r="T23" s="38"/>
      <c r="U23" s="102"/>
      <c r="V23" s="36"/>
      <c r="W23" s="36"/>
      <c r="X23" s="36"/>
      <c r="Y23" s="36"/>
      <c r="Z23" s="36"/>
    </row>
    <row r="24" spans="1:31" s="31" customFormat="1" ht="21" customHeight="1">
      <c r="A24" s="283" t="s">
        <v>25</v>
      </c>
      <c r="B24" s="283"/>
      <c r="C24" s="283"/>
      <c r="D24" s="283"/>
      <c r="E24" s="138">
        <f>SUM(E15:E23)</f>
        <v>31800000</v>
      </c>
      <c r="F24" s="138"/>
      <c r="G24" s="138">
        <f>SUM(G15:G23)</f>
        <v>31800000</v>
      </c>
      <c r="H24" s="138"/>
      <c r="I24" s="138">
        <f>SUM(I15:I23)</f>
        <v>0</v>
      </c>
      <c r="J24" s="138"/>
      <c r="K24" s="138">
        <f t="shared" ref="K24:S24" si="63">SUM(K15:K23)</f>
        <v>31800000</v>
      </c>
      <c r="L24" s="138">
        <f t="shared" si="63"/>
        <v>2625000</v>
      </c>
      <c r="M24" s="138">
        <f t="shared" si="63"/>
        <v>34425000</v>
      </c>
      <c r="N24" s="138">
        <f t="shared" si="63"/>
        <v>0</v>
      </c>
      <c r="O24" s="138">
        <f t="shared" si="63"/>
        <v>0</v>
      </c>
      <c r="P24" s="138">
        <f t="shared" si="63"/>
        <v>0</v>
      </c>
      <c r="Q24" s="138">
        <f t="shared" si="63"/>
        <v>34425000</v>
      </c>
      <c r="R24" s="138">
        <f t="shared" si="63"/>
        <v>0</v>
      </c>
      <c r="S24" s="138">
        <f t="shared" si="63"/>
        <v>34425000</v>
      </c>
      <c r="T24" s="25"/>
      <c r="U24" s="102"/>
      <c r="V24" s="32"/>
      <c r="W24" s="32"/>
      <c r="X24" s="32"/>
      <c r="Y24" s="32"/>
      <c r="Z24" s="32"/>
    </row>
    <row r="25" spans="1:31" ht="11.25" customHeight="1">
      <c r="A25" s="8"/>
      <c r="B25" s="8"/>
      <c r="C25" s="9"/>
      <c r="D25" s="115"/>
      <c r="E25" s="92"/>
      <c r="F25" s="9"/>
      <c r="G25" s="9"/>
      <c r="H25" s="9"/>
      <c r="I25" s="9"/>
      <c r="K25" s="9"/>
      <c r="L25" s="9"/>
      <c r="M25" s="100"/>
      <c r="N25" s="9"/>
      <c r="O25" s="9"/>
      <c r="P25" s="9"/>
      <c r="Q25" s="9"/>
      <c r="R25" s="9"/>
      <c r="S25" s="9"/>
      <c r="T25" s="9"/>
      <c r="U25" s="102"/>
    </row>
    <row r="26" spans="1:31" s="35" customFormat="1" ht="11.25" customHeight="1">
      <c r="A26" s="76"/>
      <c r="B26" s="76"/>
      <c r="C26" s="76"/>
      <c r="D26" s="131"/>
      <c r="E26" s="132"/>
      <c r="F26" s="76"/>
      <c r="G26" s="76"/>
      <c r="H26" s="76"/>
      <c r="I26" s="76"/>
      <c r="J26" s="133"/>
      <c r="K26" s="132"/>
      <c r="L26" s="76"/>
      <c r="M26" s="76"/>
      <c r="N26" s="76"/>
      <c r="O26" s="76"/>
      <c r="P26" s="76"/>
      <c r="Q26" s="76"/>
      <c r="R26" s="76"/>
      <c r="S26" s="106" t="str">
        <f>"Long An, ngày  "&amp;$V$2&amp;"   tháng   "&amp;TEXT(E4,"mm")&amp;"   năm "&amp;TEXT(E4,"yyyy")</f>
        <v>Long An, ngày  31   tháng   11   năm 2015</v>
      </c>
      <c r="T26" s="76"/>
      <c r="U26" s="134"/>
      <c r="V26" s="36"/>
      <c r="W26" s="36"/>
      <c r="X26" s="36"/>
      <c r="Y26" s="36"/>
      <c r="Z26" s="36"/>
    </row>
    <row r="27" spans="1:31" s="35" customFormat="1" ht="12.75">
      <c r="A27" s="28"/>
      <c r="B27" s="28"/>
      <c r="C27" s="28" t="s">
        <v>60</v>
      </c>
      <c r="D27" s="135"/>
      <c r="E27" s="77"/>
      <c r="F27" s="134"/>
      <c r="G27" s="77"/>
      <c r="H27" s="77"/>
      <c r="I27" s="77"/>
      <c r="J27" s="136"/>
      <c r="K27" s="36"/>
      <c r="L27" s="28"/>
      <c r="M27" s="145"/>
      <c r="N27" s="19"/>
      <c r="O27" s="19"/>
      <c r="P27" s="19"/>
      <c r="Q27" s="19"/>
      <c r="S27" s="134" t="s">
        <v>22</v>
      </c>
      <c r="T27" s="134"/>
      <c r="U27" s="134"/>
      <c r="V27" s="36"/>
      <c r="W27" s="36"/>
      <c r="X27" s="36"/>
      <c r="Y27" s="36"/>
      <c r="Z27" s="36"/>
    </row>
    <row r="28" spans="1:31" ht="12">
      <c r="A28" s="8"/>
      <c r="B28" s="8"/>
      <c r="C28" s="15"/>
      <c r="E28" s="13"/>
      <c r="F28" s="12"/>
      <c r="G28" s="13"/>
      <c r="H28" s="13"/>
      <c r="I28" s="13"/>
      <c r="K28" s="7"/>
      <c r="L28" s="15"/>
      <c r="N28" s="11"/>
      <c r="O28" s="11"/>
      <c r="P28" s="11"/>
      <c r="Q28" s="11"/>
      <c r="S28" s="11"/>
      <c r="T28" s="12"/>
      <c r="U28" s="102"/>
    </row>
    <row r="29" spans="1:31" ht="12">
      <c r="C29" s="15"/>
      <c r="L29" s="15"/>
      <c r="T29" s="15"/>
      <c r="U29" s="102"/>
    </row>
    <row r="30" spans="1:31" ht="12">
      <c r="U30" s="102"/>
    </row>
    <row r="31" spans="1:31" ht="12">
      <c r="U31" s="102"/>
    </row>
    <row r="32" spans="1:31" ht="12">
      <c r="U32" s="102"/>
    </row>
    <row r="33" spans="21:21" ht="12">
      <c r="U33" s="102"/>
    </row>
    <row r="34" spans="21:21" ht="12">
      <c r="U34" s="102"/>
    </row>
    <row r="35" spans="21:21" ht="12">
      <c r="U35" s="102"/>
    </row>
  </sheetData>
  <protectedRanges>
    <protectedRange password="CC78" sqref="V23:IK24 C5:D7 B27:C27 V5:W9 A23:A28 B23:B26 B28 V15:W15 Q5:T7 E5:I6 D24 N5:P6 L5 L27 J6:K7 L7 A30:T63 U36:U63 N23:S23 V30:IK63 J23:L23 A64:IK65331 AF15:IK15 V14:IK14 D14 Q10:S13 AF5:IK13 W10:W13 A10:B14" name="Range1"/>
    <protectedRange password="CC78" sqref="F7:H7" name="Range1_4"/>
    <protectedRange password="CC78" sqref="V27:IK28 S27:T28 N27:Q28 E27:I28" name="Range1_1_1"/>
    <protectedRange password="CC78" sqref="U1 W1:IK3 V4:IK4 B4:T4 R2:S3 B1:Q3 U23:U35 X15:AE15 X5:AE13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6:IK22 Q16:S22 W16:W22 A16:B22" name="Range1_5"/>
    <protectedRange password="CC78" sqref="X16:AE22 U16:U22" name="Range1_2_3"/>
    <protectedRange password="CC78" sqref="V16:V22" name="Range1_1_3"/>
    <protectedRange password="CC78" sqref="K10:K13 K16:K22" name="Range1_6"/>
    <protectedRange password="CC78" sqref="A2:A3" name="Range1_2_1_3"/>
    <protectedRange password="CC78" sqref="E14:T14" name="Range1_3"/>
    <protectedRange password="CC78" sqref="E24:T24" name="Range1_7"/>
    <protectedRange password="CC78" sqref="U2" name="Range1_2_2_1_1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4:D14"/>
    <mergeCell ref="A24:D24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6"/>
  <sheetViews>
    <sheetView zoomScaleNormal="115" workbookViewId="0">
      <pane xSplit="3" ySplit="6" topLeftCell="D14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16" sqref="A16:B2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2" customWidth="1"/>
    <col min="5" max="5" width="7.140625" style="2" customWidth="1"/>
    <col min="6" max="33" width="3.42578125" style="121" customWidth="1"/>
    <col min="34" max="36" width="3.42578125" style="122" customWidth="1"/>
    <col min="37" max="38" width="4.42578125" style="2" customWidth="1"/>
    <col min="39" max="39" width="5.5703125" style="98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7"/>
      <c r="B1" s="52"/>
      <c r="C1" s="52"/>
      <c r="D1" s="56"/>
      <c r="E1" s="52"/>
      <c r="F1" s="56"/>
      <c r="G1" s="56"/>
      <c r="H1" s="56"/>
      <c r="I1" s="56"/>
      <c r="J1" s="56"/>
      <c r="K1" s="117"/>
      <c r="L1" s="117"/>
      <c r="M1" s="117"/>
      <c r="N1" s="117"/>
      <c r="O1" s="117"/>
      <c r="P1" s="117"/>
      <c r="Q1" s="117"/>
      <c r="R1" s="117"/>
      <c r="S1" s="54" t="str">
        <f>CONCATENATE("BẢNG CHẤM CÔNG THÁNG ",TEXT($E$4,"mm")," NĂM ",TEXT($E$4,"yyyy"))</f>
        <v>BẢNG CHẤM CÔNG THÁNG 12 NĂM 2015</v>
      </c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K1" s="53"/>
      <c r="AL1" s="53"/>
      <c r="AM1" s="242" t="s">
        <v>170</v>
      </c>
      <c r="AN1" s="243"/>
      <c r="AO1" s="243"/>
      <c r="AP1" s="243"/>
      <c r="AQ1" s="243"/>
      <c r="AR1" s="243"/>
      <c r="AS1" s="244"/>
      <c r="AT1" s="55"/>
    </row>
    <row r="2" spans="1:91" ht="20.25">
      <c r="A2" s="137"/>
      <c r="B2" s="56"/>
      <c r="C2" s="56"/>
      <c r="D2" s="56"/>
      <c r="E2" s="56"/>
      <c r="F2" s="56"/>
      <c r="G2" s="56"/>
      <c r="H2" s="56"/>
      <c r="I2" s="56"/>
      <c r="J2" s="56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53"/>
      <c r="AL2" s="53"/>
      <c r="AM2" s="94"/>
      <c r="AN2" s="57"/>
      <c r="AO2" s="57"/>
      <c r="AP2" s="57"/>
      <c r="AQ2" s="57"/>
      <c r="AR2" s="57"/>
      <c r="AS2" s="93"/>
      <c r="AT2" s="93"/>
    </row>
    <row r="3" spans="1:91" ht="21" customHeight="1">
      <c r="A3" s="137"/>
      <c r="B3" s="58"/>
      <c r="C3" s="58"/>
      <c r="D3" s="59"/>
      <c r="E3" s="59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53"/>
      <c r="AL3" s="53"/>
      <c r="AM3" s="94"/>
      <c r="AN3" s="55"/>
      <c r="AO3" s="55"/>
      <c r="AP3" s="55"/>
      <c r="AQ3" s="55"/>
      <c r="AR3" s="55"/>
      <c r="AS3" s="60"/>
      <c r="AT3" s="60"/>
    </row>
    <row r="4" spans="1:91" ht="14.25" customHeight="1">
      <c r="A4" s="61"/>
      <c r="B4" s="61"/>
      <c r="C4" s="154"/>
      <c r="D4" s="153"/>
      <c r="E4" s="62">
        <v>42339</v>
      </c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4"/>
      <c r="AI4" s="64"/>
      <c r="AJ4" s="64"/>
      <c r="AK4" s="61"/>
      <c r="AL4" s="61"/>
      <c r="AM4" s="95"/>
      <c r="AN4" s="61"/>
      <c r="AO4" s="61"/>
      <c r="AP4" s="61"/>
      <c r="AQ4" s="61"/>
      <c r="AR4" s="61"/>
      <c r="AS4" s="61"/>
      <c r="AT4" s="99"/>
    </row>
    <row r="5" spans="1:91" s="65" customFormat="1" ht="18.75" customHeight="1">
      <c r="A5" s="245" t="s">
        <v>28</v>
      </c>
      <c r="B5" s="245" t="s">
        <v>3</v>
      </c>
      <c r="C5" s="245" t="s">
        <v>1</v>
      </c>
      <c r="D5" s="247" t="s">
        <v>29</v>
      </c>
      <c r="E5" s="245" t="s">
        <v>30</v>
      </c>
      <c r="F5" s="116">
        <f>+E4</f>
        <v>42339</v>
      </c>
      <c r="G5" s="116">
        <f t="shared" ref="G5:AJ5" si="0">F5+1</f>
        <v>42340</v>
      </c>
      <c r="H5" s="116">
        <f t="shared" si="0"/>
        <v>42341</v>
      </c>
      <c r="I5" s="116">
        <f t="shared" si="0"/>
        <v>42342</v>
      </c>
      <c r="J5" s="116">
        <f t="shared" si="0"/>
        <v>42343</v>
      </c>
      <c r="K5" s="116">
        <f t="shared" si="0"/>
        <v>42344</v>
      </c>
      <c r="L5" s="116">
        <f t="shared" si="0"/>
        <v>42345</v>
      </c>
      <c r="M5" s="116">
        <f t="shared" si="0"/>
        <v>42346</v>
      </c>
      <c r="N5" s="116">
        <f t="shared" si="0"/>
        <v>42347</v>
      </c>
      <c r="O5" s="116">
        <f t="shared" si="0"/>
        <v>42348</v>
      </c>
      <c r="P5" s="116">
        <f t="shared" si="0"/>
        <v>42349</v>
      </c>
      <c r="Q5" s="116">
        <f t="shared" si="0"/>
        <v>42350</v>
      </c>
      <c r="R5" s="116">
        <f t="shared" si="0"/>
        <v>42351</v>
      </c>
      <c r="S5" s="116">
        <f t="shared" si="0"/>
        <v>42352</v>
      </c>
      <c r="T5" s="116">
        <f t="shared" si="0"/>
        <v>42353</v>
      </c>
      <c r="U5" s="116">
        <f t="shared" si="0"/>
        <v>42354</v>
      </c>
      <c r="V5" s="116">
        <f t="shared" si="0"/>
        <v>42355</v>
      </c>
      <c r="W5" s="116">
        <f t="shared" si="0"/>
        <v>42356</v>
      </c>
      <c r="X5" s="116">
        <f t="shared" si="0"/>
        <v>42357</v>
      </c>
      <c r="Y5" s="116">
        <f t="shared" si="0"/>
        <v>42358</v>
      </c>
      <c r="Z5" s="116">
        <f t="shared" si="0"/>
        <v>42359</v>
      </c>
      <c r="AA5" s="116">
        <f t="shared" si="0"/>
        <v>42360</v>
      </c>
      <c r="AB5" s="116">
        <f t="shared" si="0"/>
        <v>42361</v>
      </c>
      <c r="AC5" s="116">
        <f t="shared" si="0"/>
        <v>42362</v>
      </c>
      <c r="AD5" s="116">
        <f t="shared" si="0"/>
        <v>42363</v>
      </c>
      <c r="AE5" s="116">
        <f t="shared" si="0"/>
        <v>42364</v>
      </c>
      <c r="AF5" s="116">
        <f t="shared" si="0"/>
        <v>42365</v>
      </c>
      <c r="AG5" s="116">
        <f t="shared" si="0"/>
        <v>42366</v>
      </c>
      <c r="AH5" s="116">
        <f>AG5+1</f>
        <v>42367</v>
      </c>
      <c r="AI5" s="116">
        <f t="shared" si="0"/>
        <v>42368</v>
      </c>
      <c r="AJ5" s="116">
        <f t="shared" si="0"/>
        <v>42369</v>
      </c>
      <c r="AK5" s="248" t="s">
        <v>15</v>
      </c>
      <c r="AL5" s="249"/>
      <c r="AM5" s="250"/>
      <c r="AN5" s="251" t="s">
        <v>45</v>
      </c>
      <c r="AO5" s="251" t="s">
        <v>41</v>
      </c>
      <c r="AP5" s="251" t="s">
        <v>42</v>
      </c>
      <c r="AQ5" s="251" t="s">
        <v>43</v>
      </c>
      <c r="AR5" s="251" t="s">
        <v>44</v>
      </c>
      <c r="AS5" s="247" t="s">
        <v>0</v>
      </c>
      <c r="AT5" s="26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5" customFormat="1" ht="39.75" customHeight="1">
      <c r="A6" s="246"/>
      <c r="B6" s="246"/>
      <c r="C6" s="246"/>
      <c r="D6" s="246"/>
      <c r="E6" s="246"/>
      <c r="F6" s="172" t="str">
        <f>CHOOSE(WEEKDAY(F5),"C.Nhật","T.Hai","T.Ba","T.Tư","T.Năm","T.Sáu","T.Bảy")</f>
        <v>T.Ba</v>
      </c>
      <c r="G6" s="172" t="str">
        <f t="shared" ref="G6:AJ6" si="1">CHOOSE(WEEKDAY(G5),"C.Nhật","T.Hai","T.Ba","T.Tư","T.Năm","T.Sáu","T.Bảy")</f>
        <v>T.Tư</v>
      </c>
      <c r="H6" s="172" t="str">
        <f t="shared" si="1"/>
        <v>T.Năm</v>
      </c>
      <c r="I6" s="172" t="str">
        <f t="shared" si="1"/>
        <v>T.Sáu</v>
      </c>
      <c r="J6" s="172" t="str">
        <f t="shared" si="1"/>
        <v>T.Bảy</v>
      </c>
      <c r="K6" s="172" t="str">
        <f t="shared" si="1"/>
        <v>C.Nhật</v>
      </c>
      <c r="L6" s="172" t="str">
        <f t="shared" si="1"/>
        <v>T.Hai</v>
      </c>
      <c r="M6" s="172" t="str">
        <f t="shared" si="1"/>
        <v>T.Ba</v>
      </c>
      <c r="N6" s="172" t="str">
        <f t="shared" si="1"/>
        <v>T.Tư</v>
      </c>
      <c r="O6" s="172" t="str">
        <f t="shared" si="1"/>
        <v>T.Năm</v>
      </c>
      <c r="P6" s="172" t="str">
        <f t="shared" si="1"/>
        <v>T.Sáu</v>
      </c>
      <c r="Q6" s="172" t="str">
        <f t="shared" si="1"/>
        <v>T.Bảy</v>
      </c>
      <c r="R6" s="172" t="str">
        <f t="shared" si="1"/>
        <v>C.Nhật</v>
      </c>
      <c r="S6" s="172" t="str">
        <f t="shared" si="1"/>
        <v>T.Hai</v>
      </c>
      <c r="T6" s="172" t="str">
        <f t="shared" si="1"/>
        <v>T.Ba</v>
      </c>
      <c r="U6" s="172" t="str">
        <f t="shared" si="1"/>
        <v>T.Tư</v>
      </c>
      <c r="V6" s="172" t="str">
        <f t="shared" si="1"/>
        <v>T.Năm</v>
      </c>
      <c r="W6" s="172" t="str">
        <f t="shared" si="1"/>
        <v>T.Sáu</v>
      </c>
      <c r="X6" s="172" t="str">
        <f t="shared" si="1"/>
        <v>T.Bảy</v>
      </c>
      <c r="Y6" s="172" t="str">
        <f t="shared" si="1"/>
        <v>C.Nhật</v>
      </c>
      <c r="Z6" s="172" t="str">
        <f t="shared" si="1"/>
        <v>T.Hai</v>
      </c>
      <c r="AA6" s="172" t="str">
        <f t="shared" si="1"/>
        <v>T.Ba</v>
      </c>
      <c r="AB6" s="172" t="str">
        <f t="shared" si="1"/>
        <v>T.Tư</v>
      </c>
      <c r="AC6" s="172" t="str">
        <f t="shared" si="1"/>
        <v>T.Năm</v>
      </c>
      <c r="AD6" s="172" t="str">
        <f t="shared" si="1"/>
        <v>T.Sáu</v>
      </c>
      <c r="AE6" s="172" t="str">
        <f t="shared" si="1"/>
        <v>T.Bảy</v>
      </c>
      <c r="AF6" s="172" t="str">
        <f t="shared" si="1"/>
        <v>C.Nhật</v>
      </c>
      <c r="AG6" s="172" t="str">
        <f t="shared" si="1"/>
        <v>T.Hai</v>
      </c>
      <c r="AH6" s="172" t="str">
        <f t="shared" si="1"/>
        <v>T.Ba</v>
      </c>
      <c r="AI6" s="172" t="str">
        <f t="shared" si="1"/>
        <v>T.Tư</v>
      </c>
      <c r="AJ6" s="172" t="str">
        <f t="shared" si="1"/>
        <v>T.Năm</v>
      </c>
      <c r="AK6" s="173" t="s">
        <v>16</v>
      </c>
      <c r="AL6" s="173" t="s">
        <v>31</v>
      </c>
      <c r="AM6" s="174" t="s">
        <v>17</v>
      </c>
      <c r="AN6" s="252"/>
      <c r="AO6" s="252"/>
      <c r="AP6" s="252"/>
      <c r="AQ6" s="252"/>
      <c r="AR6" s="252"/>
      <c r="AS6" s="246"/>
      <c r="AT6" s="26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5" customFormat="1" ht="12.75" customHeight="1">
      <c r="A7" s="175">
        <v>1</v>
      </c>
      <c r="B7" s="175">
        <v>1</v>
      </c>
      <c r="C7" s="175">
        <v>2</v>
      </c>
      <c r="D7" s="175">
        <v>3</v>
      </c>
      <c r="E7" s="175">
        <v>4</v>
      </c>
      <c r="F7" s="175">
        <v>5</v>
      </c>
      <c r="G7" s="175">
        <v>6</v>
      </c>
      <c r="H7" s="175">
        <v>7</v>
      </c>
      <c r="I7" s="175">
        <v>8</v>
      </c>
      <c r="J7" s="175">
        <v>9</v>
      </c>
      <c r="K7" s="175">
        <v>10</v>
      </c>
      <c r="L7" s="175">
        <v>11</v>
      </c>
      <c r="M7" s="175">
        <v>12</v>
      </c>
      <c r="N7" s="175">
        <v>13</v>
      </c>
      <c r="O7" s="175">
        <v>14</v>
      </c>
      <c r="P7" s="175">
        <v>15</v>
      </c>
      <c r="Q7" s="175">
        <v>16</v>
      </c>
      <c r="R7" s="175">
        <v>17</v>
      </c>
      <c r="S7" s="175">
        <v>18</v>
      </c>
      <c r="T7" s="175">
        <v>19</v>
      </c>
      <c r="U7" s="175">
        <v>20</v>
      </c>
      <c r="V7" s="175">
        <v>21</v>
      </c>
      <c r="W7" s="175">
        <v>22</v>
      </c>
      <c r="X7" s="175">
        <v>23</v>
      </c>
      <c r="Y7" s="175">
        <v>24</v>
      </c>
      <c r="Z7" s="175">
        <v>25</v>
      </c>
      <c r="AA7" s="175">
        <v>26</v>
      </c>
      <c r="AB7" s="175">
        <v>27</v>
      </c>
      <c r="AC7" s="175">
        <v>28</v>
      </c>
      <c r="AD7" s="175">
        <v>29</v>
      </c>
      <c r="AE7" s="175">
        <v>30</v>
      </c>
      <c r="AF7" s="175">
        <v>31</v>
      </c>
      <c r="AG7" s="175">
        <v>32</v>
      </c>
      <c r="AH7" s="175">
        <v>33</v>
      </c>
      <c r="AI7" s="175">
        <v>34</v>
      </c>
      <c r="AJ7" s="175">
        <v>35</v>
      </c>
      <c r="AK7" s="175">
        <v>36</v>
      </c>
      <c r="AL7" s="175">
        <v>37</v>
      </c>
      <c r="AM7" s="175">
        <v>38</v>
      </c>
      <c r="AN7" s="175">
        <v>39</v>
      </c>
      <c r="AO7" s="175">
        <v>40</v>
      </c>
      <c r="AP7" s="175">
        <v>41</v>
      </c>
      <c r="AQ7" s="175">
        <v>42</v>
      </c>
      <c r="AR7" s="175">
        <v>43</v>
      </c>
      <c r="AS7" s="175">
        <v>44</v>
      </c>
      <c r="AT7" s="214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8" customFormat="1" ht="21" customHeight="1">
      <c r="A8" s="176" t="s">
        <v>154</v>
      </c>
      <c r="B8" s="179" t="s">
        <v>171</v>
      </c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0"/>
      <c r="W8" s="180"/>
      <c r="X8" s="180"/>
      <c r="Y8" s="180"/>
      <c r="Z8" s="180"/>
      <c r="AA8" s="180"/>
      <c r="AB8" s="180"/>
      <c r="AC8" s="180"/>
      <c r="AD8" s="180"/>
      <c r="AE8" s="180"/>
      <c r="AF8" s="180"/>
      <c r="AG8" s="180"/>
      <c r="AH8" s="180"/>
      <c r="AI8" s="180"/>
      <c r="AJ8" s="180"/>
      <c r="AK8" s="180"/>
      <c r="AL8" s="180"/>
      <c r="AM8" s="180"/>
      <c r="AN8" s="180"/>
      <c r="AO8" s="180"/>
      <c r="AP8" s="180"/>
      <c r="AQ8" s="180"/>
      <c r="AR8" s="180"/>
      <c r="AS8" s="181"/>
      <c r="AT8" s="177"/>
    </row>
    <row r="9" spans="1:91" s="65" customFormat="1" ht="18" customHeight="1">
      <c r="A9" s="253">
        <v>1</v>
      </c>
      <c r="B9" s="253" t="s">
        <v>159</v>
      </c>
      <c r="C9" s="255" t="str">
        <f>VLOOKUP(B9,DS,2,0)</f>
        <v>Nguyễn Thị Thu Sương</v>
      </c>
      <c r="D9" s="257" t="str">
        <f>VLOOKUP(B9,DS,3,0)</f>
        <v>Kinh Doanh</v>
      </c>
      <c r="E9" s="66" t="s">
        <v>32</v>
      </c>
      <c r="F9" s="141">
        <v>8</v>
      </c>
      <c r="G9" s="141">
        <v>8</v>
      </c>
      <c r="H9" s="141">
        <v>8</v>
      </c>
      <c r="I9" s="141">
        <v>8</v>
      </c>
      <c r="J9" s="141">
        <v>8</v>
      </c>
      <c r="K9" s="141"/>
      <c r="L9" s="141">
        <v>8</v>
      </c>
      <c r="M9" s="141">
        <v>8</v>
      </c>
      <c r="N9" s="141">
        <v>8</v>
      </c>
      <c r="O9" s="141">
        <v>8</v>
      </c>
      <c r="P9" s="141">
        <v>8</v>
      </c>
      <c r="Q9" s="141">
        <v>8</v>
      </c>
      <c r="R9" s="141"/>
      <c r="S9" s="141">
        <v>8</v>
      </c>
      <c r="T9" s="141">
        <v>8</v>
      </c>
      <c r="U9" s="141">
        <v>8</v>
      </c>
      <c r="V9" s="141">
        <v>8</v>
      </c>
      <c r="W9" s="141">
        <v>8</v>
      </c>
      <c r="X9" s="141">
        <v>8</v>
      </c>
      <c r="Y9" s="141"/>
      <c r="Z9" s="141">
        <v>8</v>
      </c>
      <c r="AA9" s="141">
        <v>8</v>
      </c>
      <c r="AB9" s="141">
        <v>8</v>
      </c>
      <c r="AC9" s="141">
        <v>8</v>
      </c>
      <c r="AD9" s="141">
        <v>8</v>
      </c>
      <c r="AE9" s="141">
        <v>8</v>
      </c>
      <c r="AF9" s="141"/>
      <c r="AG9" s="141">
        <v>8</v>
      </c>
      <c r="AH9" s="141">
        <v>8</v>
      </c>
      <c r="AI9" s="141">
        <v>8</v>
      </c>
      <c r="AJ9" s="141">
        <v>8</v>
      </c>
      <c r="AK9" s="259">
        <f>((SUM(F9:AJ9))/8)-(SUMIF($F$6:$AJ$6,"C.Nhật",F9:AJ9)/8)</f>
        <v>27</v>
      </c>
      <c r="AL9" s="259">
        <f>SUM(F10:AJ10)/8*1.5</f>
        <v>0</v>
      </c>
      <c r="AM9" s="262">
        <f>SUMIF($F$6:$AJ$6,"C.Nhật",$F9:$AJ10)/8*2</f>
        <v>0</v>
      </c>
      <c r="AN9" s="264">
        <f>SUM(AK9:AM10)</f>
        <v>27</v>
      </c>
      <c r="AO9" s="266">
        <v>0</v>
      </c>
      <c r="AP9" s="264"/>
      <c r="AQ9" s="264"/>
      <c r="AR9" s="264"/>
      <c r="AS9" s="268"/>
      <c r="AT9" s="214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5" customFormat="1" ht="18" customHeight="1">
      <c r="A10" s="254"/>
      <c r="B10" s="254"/>
      <c r="C10" s="256"/>
      <c r="D10" s="258"/>
      <c r="E10" s="67" t="s">
        <v>31</v>
      </c>
      <c r="F10" s="142"/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260"/>
      <c r="AL10" s="260"/>
      <c r="AM10" s="263"/>
      <c r="AN10" s="265"/>
      <c r="AO10" s="267"/>
      <c r="AP10" s="265"/>
      <c r="AQ10" s="265"/>
      <c r="AR10" s="265"/>
      <c r="AS10" s="269"/>
      <c r="AT10" s="214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5" customFormat="1" ht="18" customHeight="1">
      <c r="A11" s="253">
        <v>2</v>
      </c>
      <c r="B11" s="253" t="s">
        <v>160</v>
      </c>
      <c r="C11" s="255" t="str">
        <f>VLOOKUP(B11,DS,2,0)</f>
        <v>Trần Anh Nhựt</v>
      </c>
      <c r="D11" s="257" t="str">
        <f>VLOOKUP(B11,DS,3,0)</f>
        <v>Thiết Kế</v>
      </c>
      <c r="E11" s="66" t="s">
        <v>32</v>
      </c>
      <c r="F11" s="141">
        <v>8</v>
      </c>
      <c r="G11" s="141">
        <v>8</v>
      </c>
      <c r="H11" s="141">
        <v>8</v>
      </c>
      <c r="I11" s="141">
        <v>8</v>
      </c>
      <c r="J11" s="141">
        <v>8</v>
      </c>
      <c r="K11" s="141"/>
      <c r="L11" s="141">
        <v>8</v>
      </c>
      <c r="M11" s="141">
        <v>8</v>
      </c>
      <c r="N11" s="141">
        <v>8</v>
      </c>
      <c r="O11" s="141">
        <v>8</v>
      </c>
      <c r="P11" s="141">
        <v>8</v>
      </c>
      <c r="Q11" s="141">
        <v>8</v>
      </c>
      <c r="R11" s="141"/>
      <c r="S11" s="141">
        <v>8</v>
      </c>
      <c r="T11" s="141">
        <v>8</v>
      </c>
      <c r="U11" s="141">
        <v>8</v>
      </c>
      <c r="V11" s="141">
        <v>8</v>
      </c>
      <c r="W11" s="141">
        <v>8</v>
      </c>
      <c r="X11" s="141">
        <v>8</v>
      </c>
      <c r="Y11" s="141"/>
      <c r="Z11" s="141">
        <v>8</v>
      </c>
      <c r="AA11" s="141">
        <v>8</v>
      </c>
      <c r="AB11" s="141">
        <v>8</v>
      </c>
      <c r="AC11" s="141">
        <v>8</v>
      </c>
      <c r="AD11" s="141">
        <v>8</v>
      </c>
      <c r="AE11" s="141">
        <v>8</v>
      </c>
      <c r="AF11" s="141"/>
      <c r="AG11" s="141">
        <v>8</v>
      </c>
      <c r="AH11" s="141">
        <v>8</v>
      </c>
      <c r="AI11" s="141">
        <v>8</v>
      </c>
      <c r="AJ11" s="141">
        <v>8</v>
      </c>
      <c r="AK11" s="259">
        <f t="shared" ref="AK11" si="2">((SUM(F11:AJ11))/8)-(SUMIF($F$6:$AJ$6,"C.Nhật",F11:AJ11)/8)</f>
        <v>27</v>
      </c>
      <c r="AL11" s="259">
        <f t="shared" ref="AL11" si="3">SUM(F12:AJ12)/8*1.5</f>
        <v>0</v>
      </c>
      <c r="AM11" s="262">
        <f t="shared" ref="AM11:AM13" si="4">SUMIF($F$6:$AJ$6,"C.Nhật",$F11:$AJ12)/8*2</f>
        <v>0</v>
      </c>
      <c r="AN11" s="264">
        <f t="shared" ref="AN11" si="5">SUM(AK11:AM12)</f>
        <v>27</v>
      </c>
      <c r="AO11" s="266">
        <v>0</v>
      </c>
      <c r="AP11" s="264"/>
      <c r="AQ11" s="264"/>
      <c r="AR11" s="264"/>
      <c r="AS11" s="268"/>
      <c r="AT11" s="22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5" customFormat="1" ht="18" customHeight="1">
      <c r="A12" s="254"/>
      <c r="B12" s="254"/>
      <c r="C12" s="256"/>
      <c r="D12" s="258"/>
      <c r="E12" s="67" t="s">
        <v>31</v>
      </c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260"/>
      <c r="AL12" s="260"/>
      <c r="AM12" s="263"/>
      <c r="AN12" s="265"/>
      <c r="AO12" s="267"/>
      <c r="AP12" s="265"/>
      <c r="AQ12" s="265"/>
      <c r="AR12" s="265"/>
      <c r="AS12" s="269"/>
      <c r="AT12" s="22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5" customFormat="1" ht="18" customHeight="1">
      <c r="A13" s="253">
        <v>3</v>
      </c>
      <c r="B13" s="253" t="s">
        <v>168</v>
      </c>
      <c r="C13" s="255" t="str">
        <f>VLOOKUP(B13,DS,2,0)</f>
        <v>Huỳnh Minh Toàn</v>
      </c>
      <c r="D13" s="257" t="str">
        <f>VLOOKUP(B13,DS,3,0)</f>
        <v>Thủ Kho</v>
      </c>
      <c r="E13" s="66" t="s">
        <v>32</v>
      </c>
      <c r="F13" s="141">
        <v>8</v>
      </c>
      <c r="G13" s="141">
        <v>8</v>
      </c>
      <c r="H13" s="141">
        <v>8</v>
      </c>
      <c r="I13" s="141">
        <v>8</v>
      </c>
      <c r="J13" s="141">
        <v>8</v>
      </c>
      <c r="K13" s="141"/>
      <c r="L13" s="141">
        <v>8</v>
      </c>
      <c r="M13" s="141">
        <v>8</v>
      </c>
      <c r="N13" s="141">
        <v>8</v>
      </c>
      <c r="O13" s="141">
        <v>8</v>
      </c>
      <c r="P13" s="141">
        <v>8</v>
      </c>
      <c r="Q13" s="141">
        <v>8</v>
      </c>
      <c r="R13" s="141"/>
      <c r="S13" s="141">
        <v>8</v>
      </c>
      <c r="T13" s="141">
        <v>8</v>
      </c>
      <c r="U13" s="141">
        <v>8</v>
      </c>
      <c r="V13" s="141">
        <v>8</v>
      </c>
      <c r="W13" s="141">
        <v>8</v>
      </c>
      <c r="X13" s="141">
        <v>8</v>
      </c>
      <c r="Y13" s="141"/>
      <c r="Z13" s="141">
        <v>8</v>
      </c>
      <c r="AA13" s="141">
        <v>8</v>
      </c>
      <c r="AB13" s="141">
        <v>8</v>
      </c>
      <c r="AC13" s="141">
        <v>8</v>
      </c>
      <c r="AD13" s="141">
        <v>8</v>
      </c>
      <c r="AE13" s="141">
        <v>8</v>
      </c>
      <c r="AF13" s="141"/>
      <c r="AG13" s="141">
        <v>8</v>
      </c>
      <c r="AH13" s="141">
        <v>8</v>
      </c>
      <c r="AI13" s="141">
        <v>8</v>
      </c>
      <c r="AJ13" s="141">
        <v>8</v>
      </c>
      <c r="AK13" s="259">
        <f t="shared" ref="AK13" si="6">((SUM(F13:AJ13))/8)-(SUMIF($F$6:$AJ$6,"C.Nhật",F13:AJ13)/8)</f>
        <v>27</v>
      </c>
      <c r="AL13" s="259">
        <f t="shared" ref="AL13" si="7">SUM(F14:AJ14)/8*1.5</f>
        <v>0</v>
      </c>
      <c r="AM13" s="262">
        <f t="shared" si="4"/>
        <v>0</v>
      </c>
      <c r="AN13" s="264">
        <f t="shared" ref="AN13" si="8">SUM(AK13:AM14)</f>
        <v>27</v>
      </c>
      <c r="AO13" s="266">
        <v>0</v>
      </c>
      <c r="AP13" s="264"/>
      <c r="AQ13" s="264"/>
      <c r="AR13" s="264"/>
      <c r="AS13" s="268"/>
      <c r="AT13" s="214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5" customFormat="1" ht="18" customHeight="1">
      <c r="A14" s="254"/>
      <c r="B14" s="254"/>
      <c r="C14" s="256"/>
      <c r="D14" s="258"/>
      <c r="E14" s="67" t="s">
        <v>31</v>
      </c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260"/>
      <c r="AL14" s="260"/>
      <c r="AM14" s="263"/>
      <c r="AN14" s="265"/>
      <c r="AO14" s="267"/>
      <c r="AP14" s="265"/>
      <c r="AQ14" s="265"/>
      <c r="AR14" s="265"/>
      <c r="AS14" s="269"/>
      <c r="AT14" s="214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78" customFormat="1" ht="21" customHeight="1">
      <c r="A15" s="176" t="s">
        <v>155</v>
      </c>
      <c r="B15" s="179" t="s">
        <v>158</v>
      </c>
      <c r="C15" s="180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0"/>
      <c r="U15" s="180"/>
      <c r="V15" s="180"/>
      <c r="W15" s="180"/>
      <c r="X15" s="180"/>
      <c r="Y15" s="180"/>
      <c r="Z15" s="180"/>
      <c r="AA15" s="180"/>
      <c r="AB15" s="180"/>
      <c r="AC15" s="180"/>
      <c r="AD15" s="180"/>
      <c r="AE15" s="180"/>
      <c r="AF15" s="180"/>
      <c r="AG15" s="180"/>
      <c r="AH15" s="180"/>
      <c r="AI15" s="180"/>
      <c r="AJ15" s="180"/>
      <c r="AK15" s="180"/>
      <c r="AL15" s="180"/>
      <c r="AM15" s="180"/>
      <c r="AN15" s="180"/>
      <c r="AO15" s="180"/>
      <c r="AP15" s="180"/>
      <c r="AQ15" s="180"/>
      <c r="AR15" s="180"/>
      <c r="AS15" s="181"/>
      <c r="AT15" s="177"/>
    </row>
    <row r="16" spans="1:91" s="65" customFormat="1" ht="18" customHeight="1">
      <c r="A16" s="253">
        <v>1</v>
      </c>
      <c r="B16" s="253" t="s">
        <v>161</v>
      </c>
      <c r="C16" s="255" t="str">
        <f>VLOOKUP(B16,DS,2,0)</f>
        <v>Nguyễn Trường Giang</v>
      </c>
      <c r="D16" s="257" t="str">
        <f>VLOOKUP(B16,DS,3,0)</f>
        <v>Thợ in</v>
      </c>
      <c r="E16" s="66" t="s">
        <v>32</v>
      </c>
      <c r="F16" s="141">
        <v>8</v>
      </c>
      <c r="G16" s="141">
        <v>8</v>
      </c>
      <c r="H16" s="141">
        <v>8</v>
      </c>
      <c r="I16" s="141">
        <v>8</v>
      </c>
      <c r="J16" s="141">
        <v>8</v>
      </c>
      <c r="K16" s="141"/>
      <c r="L16" s="141">
        <v>8</v>
      </c>
      <c r="M16" s="141">
        <v>8</v>
      </c>
      <c r="N16" s="141">
        <v>8</v>
      </c>
      <c r="O16" s="141">
        <v>8</v>
      </c>
      <c r="P16" s="141">
        <v>8</v>
      </c>
      <c r="Q16" s="141">
        <v>8</v>
      </c>
      <c r="R16" s="141"/>
      <c r="S16" s="141">
        <v>8</v>
      </c>
      <c r="T16" s="141">
        <v>8</v>
      </c>
      <c r="U16" s="141">
        <v>8</v>
      </c>
      <c r="V16" s="141">
        <v>8</v>
      </c>
      <c r="W16" s="141">
        <v>8</v>
      </c>
      <c r="X16" s="141">
        <v>8</v>
      </c>
      <c r="Y16" s="141"/>
      <c r="Z16" s="141">
        <v>8</v>
      </c>
      <c r="AA16" s="141">
        <v>8</v>
      </c>
      <c r="AB16" s="141">
        <v>8</v>
      </c>
      <c r="AC16" s="141">
        <v>8</v>
      </c>
      <c r="AD16" s="141">
        <v>8</v>
      </c>
      <c r="AE16" s="141">
        <v>8</v>
      </c>
      <c r="AF16" s="141"/>
      <c r="AG16" s="141">
        <v>8</v>
      </c>
      <c r="AH16" s="141">
        <v>8</v>
      </c>
      <c r="AI16" s="141">
        <v>8</v>
      </c>
      <c r="AJ16" s="141">
        <v>8</v>
      </c>
      <c r="AK16" s="259">
        <f t="shared" ref="AK16" si="9">((SUM(F16:AJ16))/8)-(SUMIF($F$6:$AJ$6,"C.Nhật",F16:AJ16)/8)</f>
        <v>27</v>
      </c>
      <c r="AL16" s="259">
        <f t="shared" ref="AL16" si="10">SUM(F17:AJ17)/8*1.5</f>
        <v>0</v>
      </c>
      <c r="AM16" s="262">
        <f>SUMIF($F$6:$AJ$6,"C.Nhật",$F16:$AJ17)/8*2</f>
        <v>0</v>
      </c>
      <c r="AN16" s="264">
        <f>SUM(AK16:AM17)</f>
        <v>27</v>
      </c>
      <c r="AO16" s="266">
        <v>0</v>
      </c>
      <c r="AP16" s="264"/>
      <c r="AQ16" s="264"/>
      <c r="AR16" s="264"/>
      <c r="AS16" s="268"/>
      <c r="AT16" s="21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5" customFormat="1" ht="18" customHeight="1">
      <c r="A17" s="254"/>
      <c r="B17" s="254"/>
      <c r="C17" s="256"/>
      <c r="D17" s="258"/>
      <c r="E17" s="67" t="s">
        <v>31</v>
      </c>
      <c r="F17" s="142"/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  <c r="AA17" s="142"/>
      <c r="AB17" s="142"/>
      <c r="AC17" s="142"/>
      <c r="AD17" s="142"/>
      <c r="AE17" s="142"/>
      <c r="AF17" s="142"/>
      <c r="AG17" s="142"/>
      <c r="AH17" s="142"/>
      <c r="AI17" s="142"/>
      <c r="AJ17" s="142"/>
      <c r="AK17" s="260"/>
      <c r="AL17" s="260"/>
      <c r="AM17" s="263"/>
      <c r="AN17" s="265"/>
      <c r="AO17" s="267"/>
      <c r="AP17" s="265"/>
      <c r="AQ17" s="265"/>
      <c r="AR17" s="265"/>
      <c r="AS17" s="269"/>
      <c r="AT17" s="21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5" customFormat="1" ht="18" customHeight="1">
      <c r="A18" s="253">
        <v>2</v>
      </c>
      <c r="B18" s="253" t="s">
        <v>162</v>
      </c>
      <c r="C18" s="255" t="str">
        <f>VLOOKUP(B18,DS,2,0)</f>
        <v>Võ Văn Kiệt</v>
      </c>
      <c r="D18" s="257" t="str">
        <f>VLOOKUP(B18,DS,3,0)</f>
        <v>Công Đoạn 1</v>
      </c>
      <c r="E18" s="66" t="s">
        <v>32</v>
      </c>
      <c r="F18" s="141">
        <v>8</v>
      </c>
      <c r="G18" s="141">
        <v>8</v>
      </c>
      <c r="H18" s="141">
        <v>8</v>
      </c>
      <c r="I18" s="141">
        <v>8</v>
      </c>
      <c r="J18" s="141">
        <v>8</v>
      </c>
      <c r="K18" s="141"/>
      <c r="L18" s="141">
        <v>8</v>
      </c>
      <c r="M18" s="141">
        <v>8</v>
      </c>
      <c r="N18" s="141">
        <v>8</v>
      </c>
      <c r="O18" s="141">
        <v>8</v>
      </c>
      <c r="P18" s="141">
        <v>8</v>
      </c>
      <c r="Q18" s="141">
        <v>8</v>
      </c>
      <c r="R18" s="141"/>
      <c r="S18" s="141">
        <v>8</v>
      </c>
      <c r="T18" s="141">
        <v>8</v>
      </c>
      <c r="U18" s="141">
        <v>8</v>
      </c>
      <c r="V18" s="141">
        <v>8</v>
      </c>
      <c r="W18" s="141">
        <v>8</v>
      </c>
      <c r="X18" s="141">
        <v>8</v>
      </c>
      <c r="Y18" s="141"/>
      <c r="Z18" s="141">
        <v>8</v>
      </c>
      <c r="AA18" s="141">
        <v>8</v>
      </c>
      <c r="AB18" s="141">
        <v>8</v>
      </c>
      <c r="AC18" s="141">
        <v>8</v>
      </c>
      <c r="AD18" s="141">
        <v>8</v>
      </c>
      <c r="AE18" s="141">
        <v>8</v>
      </c>
      <c r="AF18" s="141"/>
      <c r="AG18" s="141">
        <v>8</v>
      </c>
      <c r="AH18" s="141">
        <v>8</v>
      </c>
      <c r="AI18" s="141">
        <v>8</v>
      </c>
      <c r="AJ18" s="141">
        <v>8</v>
      </c>
      <c r="AK18" s="259">
        <f t="shared" ref="AK18" si="11">((SUM(F18:AJ18))/8)-(SUMIF($F$6:$AJ$6,"C.Nhật",F18:AJ18)/8)</f>
        <v>27</v>
      </c>
      <c r="AL18" s="259">
        <f t="shared" ref="AL18" si="12">SUM(F19:AJ19)/8*1.5</f>
        <v>0</v>
      </c>
      <c r="AM18" s="262">
        <f>SUMIF($F$6:$AJ$6,"C.Nhật",$F18:$AJ19)/8*2</f>
        <v>0</v>
      </c>
      <c r="AN18" s="264">
        <f t="shared" ref="AN18" si="13">SUM(AK18:AM19)</f>
        <v>27</v>
      </c>
      <c r="AO18" s="266">
        <v>0</v>
      </c>
      <c r="AP18" s="264"/>
      <c r="AQ18" s="264"/>
      <c r="AR18" s="264"/>
      <c r="AS18" s="268"/>
      <c r="AT18" s="22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5" customFormat="1" ht="18" customHeight="1">
      <c r="A19" s="254"/>
      <c r="B19" s="254"/>
      <c r="C19" s="256"/>
      <c r="D19" s="258"/>
      <c r="E19" s="67" t="s">
        <v>31</v>
      </c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  <c r="Y19" s="142"/>
      <c r="Z19" s="142"/>
      <c r="AA19" s="142"/>
      <c r="AB19" s="142"/>
      <c r="AC19" s="142"/>
      <c r="AD19" s="142"/>
      <c r="AE19" s="142"/>
      <c r="AF19" s="142"/>
      <c r="AG19" s="142"/>
      <c r="AH19" s="142"/>
      <c r="AI19" s="142"/>
      <c r="AJ19" s="142"/>
      <c r="AK19" s="260"/>
      <c r="AL19" s="260"/>
      <c r="AM19" s="263"/>
      <c r="AN19" s="265"/>
      <c r="AO19" s="267"/>
      <c r="AP19" s="265"/>
      <c r="AQ19" s="265"/>
      <c r="AR19" s="265"/>
      <c r="AS19" s="269"/>
      <c r="AT19" s="22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5" customFormat="1" ht="18" customHeight="1">
      <c r="A20" s="253">
        <v>3</v>
      </c>
      <c r="B20" s="253" t="s">
        <v>163</v>
      </c>
      <c r="C20" s="255" t="str">
        <f>VLOOKUP(B20,DS,2,0)</f>
        <v>Diệp Văn Lân</v>
      </c>
      <c r="D20" s="257" t="str">
        <f>VLOOKUP(B20,DS,3,0)</f>
        <v>Công Đoạn 1</v>
      </c>
      <c r="E20" s="66" t="s">
        <v>32</v>
      </c>
      <c r="F20" s="141">
        <v>8</v>
      </c>
      <c r="G20" s="141">
        <v>8</v>
      </c>
      <c r="H20" s="141">
        <v>8</v>
      </c>
      <c r="I20" s="141">
        <v>8</v>
      </c>
      <c r="J20" s="141">
        <v>8</v>
      </c>
      <c r="K20" s="141"/>
      <c r="L20" s="141">
        <v>8</v>
      </c>
      <c r="M20" s="141">
        <v>8</v>
      </c>
      <c r="N20" s="141">
        <v>8</v>
      </c>
      <c r="O20" s="141">
        <v>8</v>
      </c>
      <c r="P20" s="141">
        <v>8</v>
      </c>
      <c r="Q20" s="141">
        <v>8</v>
      </c>
      <c r="R20" s="141"/>
      <c r="S20" s="141">
        <v>8</v>
      </c>
      <c r="T20" s="141">
        <v>8</v>
      </c>
      <c r="U20" s="141">
        <v>8</v>
      </c>
      <c r="V20" s="141">
        <v>8</v>
      </c>
      <c r="W20" s="141">
        <v>8</v>
      </c>
      <c r="X20" s="141">
        <v>8</v>
      </c>
      <c r="Y20" s="141"/>
      <c r="Z20" s="141">
        <v>8</v>
      </c>
      <c r="AA20" s="141">
        <v>8</v>
      </c>
      <c r="AB20" s="141">
        <v>8</v>
      </c>
      <c r="AC20" s="141">
        <v>8</v>
      </c>
      <c r="AD20" s="141">
        <v>8</v>
      </c>
      <c r="AE20" s="141">
        <v>8</v>
      </c>
      <c r="AF20" s="141"/>
      <c r="AG20" s="141">
        <v>8</v>
      </c>
      <c r="AH20" s="141">
        <v>8</v>
      </c>
      <c r="AI20" s="141">
        <v>8</v>
      </c>
      <c r="AJ20" s="141">
        <v>8</v>
      </c>
      <c r="AK20" s="259">
        <f t="shared" ref="AK20" si="14">((SUM(F20:AJ20))/8)-(SUMIF($F$6:$AJ$6,"C.Nhật",F20:AJ20)/8)</f>
        <v>27</v>
      </c>
      <c r="AL20" s="259">
        <f t="shared" ref="AL20" si="15">SUM(F21:AJ21)/8*1.5</f>
        <v>0</v>
      </c>
      <c r="AM20" s="262">
        <f>SUMIF($F$6:$AJ$6,"C.Nhật",$F20:$AJ21)/8*2</f>
        <v>0</v>
      </c>
      <c r="AN20" s="264">
        <f t="shared" ref="AN20" si="16">SUM(AK20:AM21)</f>
        <v>27</v>
      </c>
      <c r="AO20" s="266">
        <v>0</v>
      </c>
      <c r="AP20" s="264"/>
      <c r="AQ20" s="264"/>
      <c r="AR20" s="264"/>
      <c r="AS20" s="268"/>
      <c r="AT20" s="22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5" customFormat="1" ht="18" customHeight="1">
      <c r="A21" s="254"/>
      <c r="B21" s="254"/>
      <c r="C21" s="256"/>
      <c r="D21" s="258"/>
      <c r="E21" s="67" t="s">
        <v>31</v>
      </c>
      <c r="F21" s="142"/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142"/>
      <c r="AA21" s="142"/>
      <c r="AB21" s="142"/>
      <c r="AC21" s="142"/>
      <c r="AD21" s="142"/>
      <c r="AE21" s="142"/>
      <c r="AF21" s="142"/>
      <c r="AG21" s="142"/>
      <c r="AH21" s="142"/>
      <c r="AI21" s="142"/>
      <c r="AJ21" s="142"/>
      <c r="AK21" s="260"/>
      <c r="AL21" s="260"/>
      <c r="AM21" s="263"/>
      <c r="AN21" s="265"/>
      <c r="AO21" s="267"/>
      <c r="AP21" s="265"/>
      <c r="AQ21" s="265"/>
      <c r="AR21" s="265"/>
      <c r="AS21" s="269"/>
      <c r="AT21" s="22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5" customFormat="1" ht="18" customHeight="1">
      <c r="A22" s="253">
        <v>4</v>
      </c>
      <c r="B22" s="253" t="s">
        <v>176</v>
      </c>
      <c r="C22" s="255" t="str">
        <f>VLOOKUP(B22,DS,2,0)</f>
        <v>Dương Thế Kiệt</v>
      </c>
      <c r="D22" s="257" t="str">
        <f>VLOOKUP(B22,DS,3,0)</f>
        <v>Công Đoạn 1</v>
      </c>
      <c r="E22" s="66" t="s">
        <v>32</v>
      </c>
      <c r="F22" s="141">
        <v>8</v>
      </c>
      <c r="G22" s="141">
        <v>8</v>
      </c>
      <c r="H22" s="141">
        <v>8</v>
      </c>
      <c r="I22" s="141">
        <v>8</v>
      </c>
      <c r="J22" s="141">
        <v>8</v>
      </c>
      <c r="K22" s="141"/>
      <c r="L22" s="141">
        <v>8</v>
      </c>
      <c r="M22" s="141">
        <v>8</v>
      </c>
      <c r="N22" s="141">
        <v>8</v>
      </c>
      <c r="O22" s="141">
        <v>8</v>
      </c>
      <c r="P22" s="141">
        <v>8</v>
      </c>
      <c r="Q22" s="141">
        <v>8</v>
      </c>
      <c r="R22" s="141"/>
      <c r="S22" s="141">
        <v>8</v>
      </c>
      <c r="T22" s="141">
        <v>8</v>
      </c>
      <c r="U22" s="141">
        <v>8</v>
      </c>
      <c r="V22" s="141">
        <v>8</v>
      </c>
      <c r="W22" s="141">
        <v>8</v>
      </c>
      <c r="X22" s="141">
        <v>8</v>
      </c>
      <c r="Y22" s="141"/>
      <c r="Z22" s="141">
        <v>8</v>
      </c>
      <c r="AA22" s="141">
        <v>8</v>
      </c>
      <c r="AB22" s="141">
        <v>8</v>
      </c>
      <c r="AC22" s="141">
        <v>8</v>
      </c>
      <c r="AD22" s="141">
        <v>8</v>
      </c>
      <c r="AE22" s="141">
        <v>8</v>
      </c>
      <c r="AF22" s="141"/>
      <c r="AG22" s="141">
        <v>8</v>
      </c>
      <c r="AH22" s="141">
        <v>8</v>
      </c>
      <c r="AI22" s="141">
        <v>8</v>
      </c>
      <c r="AJ22" s="141">
        <v>8</v>
      </c>
      <c r="AK22" s="259">
        <f t="shared" ref="AK22" si="17">((SUM(F22:AJ22))/8)-(SUMIF($F$6:$AJ$6,"C.Nhật",F22:AJ22)/8)</f>
        <v>27</v>
      </c>
      <c r="AL22" s="259">
        <f t="shared" ref="AL22" si="18">SUM(F23:AJ23)/8*1.5</f>
        <v>0</v>
      </c>
      <c r="AM22" s="262">
        <f>SUMIF($F$6:$AJ$6,"C.Nhật",$F22:$AJ23)/8*2</f>
        <v>0</v>
      </c>
      <c r="AN22" s="264">
        <f t="shared" ref="AN22" si="19">SUM(AK22:AM23)</f>
        <v>27</v>
      </c>
      <c r="AO22" s="266">
        <v>0</v>
      </c>
      <c r="AP22" s="264"/>
      <c r="AQ22" s="264"/>
      <c r="AR22" s="264"/>
      <c r="AS22" s="268"/>
      <c r="AT22" s="22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5" customFormat="1" ht="18" customHeight="1">
      <c r="A23" s="254"/>
      <c r="B23" s="254"/>
      <c r="C23" s="256"/>
      <c r="D23" s="258"/>
      <c r="E23" s="67" t="s">
        <v>31</v>
      </c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  <c r="AA23" s="142"/>
      <c r="AB23" s="142"/>
      <c r="AC23" s="142"/>
      <c r="AD23" s="142"/>
      <c r="AE23" s="142"/>
      <c r="AF23" s="142"/>
      <c r="AG23" s="142"/>
      <c r="AH23" s="142"/>
      <c r="AI23" s="142"/>
      <c r="AJ23" s="142"/>
      <c r="AK23" s="260"/>
      <c r="AL23" s="260"/>
      <c r="AM23" s="263"/>
      <c r="AN23" s="265"/>
      <c r="AO23" s="267"/>
      <c r="AP23" s="265"/>
      <c r="AQ23" s="265"/>
      <c r="AR23" s="265"/>
      <c r="AS23" s="269"/>
      <c r="AT23" s="22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5" customFormat="1" ht="18" customHeight="1">
      <c r="A24" s="253">
        <v>5</v>
      </c>
      <c r="B24" s="253" t="s">
        <v>177</v>
      </c>
      <c r="C24" s="255" t="str">
        <f>VLOOKUP(B24,DS,2,0)</f>
        <v>Lê Văn Hữu</v>
      </c>
      <c r="D24" s="257" t="str">
        <f>VLOOKUP(B24,DS,3,0)</f>
        <v>Công Đoạn 2</v>
      </c>
      <c r="E24" s="66" t="s">
        <v>32</v>
      </c>
      <c r="F24" s="141">
        <v>8</v>
      </c>
      <c r="G24" s="141">
        <v>8</v>
      </c>
      <c r="H24" s="141">
        <v>8</v>
      </c>
      <c r="I24" s="141">
        <v>8</v>
      </c>
      <c r="J24" s="141">
        <v>8</v>
      </c>
      <c r="K24" s="141"/>
      <c r="L24" s="141">
        <v>8</v>
      </c>
      <c r="M24" s="141">
        <v>8</v>
      </c>
      <c r="N24" s="141">
        <v>8</v>
      </c>
      <c r="O24" s="141">
        <v>8</v>
      </c>
      <c r="P24" s="141">
        <v>8</v>
      </c>
      <c r="Q24" s="141">
        <v>8</v>
      </c>
      <c r="R24" s="141"/>
      <c r="S24" s="141">
        <v>8</v>
      </c>
      <c r="T24" s="141">
        <v>8</v>
      </c>
      <c r="U24" s="141">
        <v>8</v>
      </c>
      <c r="V24" s="141">
        <v>8</v>
      </c>
      <c r="W24" s="141">
        <v>8</v>
      </c>
      <c r="X24" s="141">
        <v>8</v>
      </c>
      <c r="Y24" s="141"/>
      <c r="Z24" s="141">
        <v>8</v>
      </c>
      <c r="AA24" s="141">
        <v>8</v>
      </c>
      <c r="AB24" s="141">
        <v>8</v>
      </c>
      <c r="AC24" s="141">
        <v>8</v>
      </c>
      <c r="AD24" s="141">
        <v>8</v>
      </c>
      <c r="AE24" s="141">
        <v>8</v>
      </c>
      <c r="AF24" s="141"/>
      <c r="AG24" s="141">
        <v>8</v>
      </c>
      <c r="AH24" s="141">
        <v>8</v>
      </c>
      <c r="AI24" s="141">
        <v>8</v>
      </c>
      <c r="AJ24" s="141">
        <v>8</v>
      </c>
      <c r="AK24" s="259">
        <f t="shared" ref="AK24" si="20">((SUM(F24:AJ24))/8)-(SUMIF($F$6:$AJ$6,"C.Nhật",F24:AJ24)/8)</f>
        <v>27</v>
      </c>
      <c r="AL24" s="259">
        <f t="shared" ref="AL24" si="21">SUM(F25:AJ25)/8*1.5</f>
        <v>0</v>
      </c>
      <c r="AM24" s="262">
        <f>SUMIF($F$6:$AJ$6,"C.Nhật",$F24:$AJ25)/8*2</f>
        <v>0</v>
      </c>
      <c r="AN24" s="264">
        <f t="shared" ref="AN24" si="22">SUM(AK24:AM25)</f>
        <v>27</v>
      </c>
      <c r="AO24" s="266">
        <v>0</v>
      </c>
      <c r="AP24" s="264"/>
      <c r="AQ24" s="264"/>
      <c r="AR24" s="264"/>
      <c r="AS24" s="268"/>
      <c r="AT24" s="22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5" customFormat="1" ht="18" customHeight="1">
      <c r="A25" s="254"/>
      <c r="B25" s="254"/>
      <c r="C25" s="256"/>
      <c r="D25" s="258"/>
      <c r="E25" s="67" t="s">
        <v>31</v>
      </c>
      <c r="F25" s="142"/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  <c r="AA25" s="142"/>
      <c r="AB25" s="142"/>
      <c r="AC25" s="142"/>
      <c r="AD25" s="142"/>
      <c r="AE25" s="142"/>
      <c r="AF25" s="142"/>
      <c r="AG25" s="142"/>
      <c r="AH25" s="142"/>
      <c r="AI25" s="142"/>
      <c r="AJ25" s="142"/>
      <c r="AK25" s="260"/>
      <c r="AL25" s="260"/>
      <c r="AM25" s="263"/>
      <c r="AN25" s="265"/>
      <c r="AO25" s="267"/>
      <c r="AP25" s="265"/>
      <c r="AQ25" s="265"/>
      <c r="AR25" s="265"/>
      <c r="AS25" s="269"/>
      <c r="AT25" s="22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5" customFormat="1" ht="18" customHeight="1">
      <c r="A26" s="253">
        <v>6</v>
      </c>
      <c r="B26" s="253" t="s">
        <v>178</v>
      </c>
      <c r="C26" s="255" t="str">
        <f>VLOOKUP(B26,DS,2,0)</f>
        <v>Bùi Trường Giang</v>
      </c>
      <c r="D26" s="257" t="str">
        <f>VLOOKUP(B26,DS,3,0)</f>
        <v>Công Đoạn 2</v>
      </c>
      <c r="E26" s="66" t="s">
        <v>32</v>
      </c>
      <c r="F26" s="141">
        <v>8</v>
      </c>
      <c r="G26" s="141">
        <v>8</v>
      </c>
      <c r="H26" s="141">
        <v>8</v>
      </c>
      <c r="I26" s="141">
        <v>8</v>
      </c>
      <c r="J26" s="141">
        <v>8</v>
      </c>
      <c r="K26" s="141"/>
      <c r="L26" s="141">
        <v>8</v>
      </c>
      <c r="M26" s="141">
        <v>8</v>
      </c>
      <c r="N26" s="141">
        <v>8</v>
      </c>
      <c r="O26" s="141">
        <v>8</v>
      </c>
      <c r="P26" s="141">
        <v>8</v>
      </c>
      <c r="Q26" s="141">
        <v>8</v>
      </c>
      <c r="R26" s="141"/>
      <c r="S26" s="141">
        <v>8</v>
      </c>
      <c r="T26" s="141">
        <v>8</v>
      </c>
      <c r="U26" s="141">
        <v>8</v>
      </c>
      <c r="V26" s="141">
        <v>8</v>
      </c>
      <c r="W26" s="141">
        <v>8</v>
      </c>
      <c r="X26" s="141">
        <v>8</v>
      </c>
      <c r="Y26" s="141"/>
      <c r="Z26" s="141">
        <v>8</v>
      </c>
      <c r="AA26" s="141">
        <v>8</v>
      </c>
      <c r="AB26" s="141">
        <v>8</v>
      </c>
      <c r="AC26" s="141">
        <v>8</v>
      </c>
      <c r="AD26" s="141">
        <v>8</v>
      </c>
      <c r="AE26" s="141">
        <v>8</v>
      </c>
      <c r="AF26" s="141"/>
      <c r="AG26" s="141">
        <v>8</v>
      </c>
      <c r="AH26" s="141">
        <v>8</v>
      </c>
      <c r="AI26" s="141">
        <v>8</v>
      </c>
      <c r="AJ26" s="141">
        <v>8</v>
      </c>
      <c r="AK26" s="259">
        <f t="shared" ref="AK26" si="23">((SUM(F26:AJ26))/8)-(SUMIF($F$6:$AJ$6,"C.Nhật",F26:AJ26)/8)</f>
        <v>27</v>
      </c>
      <c r="AL26" s="259">
        <f t="shared" ref="AL26" si="24">SUM(F27:AJ27)/8*1.5</f>
        <v>0</v>
      </c>
      <c r="AM26" s="262">
        <f>SUMIF($F$6:$AJ$6,"C.Nhật",$F26:$AJ27)/8*2</f>
        <v>0</v>
      </c>
      <c r="AN26" s="264">
        <f t="shared" ref="AN26" si="25">SUM(AK26:AM27)</f>
        <v>27</v>
      </c>
      <c r="AO26" s="266">
        <v>0</v>
      </c>
      <c r="AP26" s="264"/>
      <c r="AQ26" s="264"/>
      <c r="AR26" s="264"/>
      <c r="AS26" s="268"/>
      <c r="AT26" s="219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5" customFormat="1" ht="18" customHeight="1">
      <c r="A27" s="254"/>
      <c r="B27" s="254"/>
      <c r="C27" s="256"/>
      <c r="D27" s="258"/>
      <c r="E27" s="67" t="s">
        <v>31</v>
      </c>
      <c r="F27" s="142"/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142"/>
      <c r="Z27" s="142"/>
      <c r="AA27" s="142"/>
      <c r="AB27" s="142"/>
      <c r="AC27" s="142"/>
      <c r="AD27" s="142"/>
      <c r="AE27" s="142"/>
      <c r="AF27" s="142"/>
      <c r="AG27" s="142"/>
      <c r="AH27" s="142"/>
      <c r="AI27" s="142"/>
      <c r="AJ27" s="142"/>
      <c r="AK27" s="260"/>
      <c r="AL27" s="260"/>
      <c r="AM27" s="263"/>
      <c r="AN27" s="265"/>
      <c r="AO27" s="267"/>
      <c r="AP27" s="265"/>
      <c r="AQ27" s="265"/>
      <c r="AR27" s="265"/>
      <c r="AS27" s="269"/>
      <c r="AT27" s="219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5" customFormat="1" ht="18" customHeight="1">
      <c r="A28" s="253">
        <v>7</v>
      </c>
      <c r="B28" s="253" t="s">
        <v>179</v>
      </c>
      <c r="C28" s="255" t="str">
        <f>VLOOKUP(B28,DS,2,0)</f>
        <v>Nguyễn T Bích Thủy</v>
      </c>
      <c r="D28" s="257" t="str">
        <f>VLOOKUP(B28,DS,3,0)</f>
        <v>Công Đoạn 2</v>
      </c>
      <c r="E28" s="66" t="s">
        <v>32</v>
      </c>
      <c r="F28" s="141">
        <v>8</v>
      </c>
      <c r="G28" s="141">
        <v>8</v>
      </c>
      <c r="H28" s="141">
        <v>8</v>
      </c>
      <c r="I28" s="141">
        <v>8</v>
      </c>
      <c r="J28" s="141">
        <v>8</v>
      </c>
      <c r="K28" s="141"/>
      <c r="L28" s="141">
        <v>8</v>
      </c>
      <c r="M28" s="141">
        <v>8</v>
      </c>
      <c r="N28" s="141">
        <v>8</v>
      </c>
      <c r="O28" s="141">
        <v>8</v>
      </c>
      <c r="P28" s="141">
        <v>8</v>
      </c>
      <c r="Q28" s="141">
        <v>8</v>
      </c>
      <c r="R28" s="141"/>
      <c r="S28" s="141">
        <v>8</v>
      </c>
      <c r="T28" s="141">
        <v>8</v>
      </c>
      <c r="U28" s="141">
        <v>8</v>
      </c>
      <c r="V28" s="141">
        <v>8</v>
      </c>
      <c r="W28" s="141">
        <v>8</v>
      </c>
      <c r="X28" s="141">
        <v>8</v>
      </c>
      <c r="Y28" s="141"/>
      <c r="Z28" s="141">
        <v>8</v>
      </c>
      <c r="AA28" s="141">
        <v>8</v>
      </c>
      <c r="AB28" s="141">
        <v>8</v>
      </c>
      <c r="AC28" s="141">
        <v>8</v>
      </c>
      <c r="AD28" s="141">
        <v>8</v>
      </c>
      <c r="AE28" s="141">
        <v>8</v>
      </c>
      <c r="AF28" s="141"/>
      <c r="AG28" s="141">
        <v>8</v>
      </c>
      <c r="AH28" s="141">
        <v>8</v>
      </c>
      <c r="AI28" s="141">
        <v>8</v>
      </c>
      <c r="AJ28" s="141">
        <v>8</v>
      </c>
      <c r="AK28" s="259">
        <f t="shared" ref="AK28" si="26">((SUM(F28:AJ28))/8)-(SUMIF($F$6:$AJ$6,"C.Nhật",F28:AJ28)/8)</f>
        <v>27</v>
      </c>
      <c r="AL28" s="259">
        <f t="shared" ref="AL28" si="27">SUM(F29:AJ29)/8*1.5</f>
        <v>0</v>
      </c>
      <c r="AM28" s="262">
        <f>SUMIF($F$6:$AJ$6,"C.Nhật",$F28:$AJ29)/8*2</f>
        <v>0</v>
      </c>
      <c r="AN28" s="264">
        <f t="shared" ref="AN28" si="28">SUM(AK28:AM29)</f>
        <v>27</v>
      </c>
      <c r="AO28" s="266">
        <v>0</v>
      </c>
      <c r="AP28" s="264"/>
      <c r="AQ28" s="264"/>
      <c r="AR28" s="264"/>
      <c r="AS28" s="268"/>
      <c r="AT28" s="219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5" customFormat="1" ht="18" customHeight="1">
      <c r="A29" s="254"/>
      <c r="B29" s="254"/>
      <c r="C29" s="256"/>
      <c r="D29" s="258"/>
      <c r="E29" s="67" t="s">
        <v>31</v>
      </c>
      <c r="F29" s="142"/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  <c r="Y29" s="142"/>
      <c r="Z29" s="142"/>
      <c r="AA29" s="142"/>
      <c r="AB29" s="142"/>
      <c r="AC29" s="142"/>
      <c r="AD29" s="142"/>
      <c r="AE29" s="142"/>
      <c r="AF29" s="142"/>
      <c r="AG29" s="142"/>
      <c r="AH29" s="142"/>
      <c r="AI29" s="142"/>
      <c r="AJ29" s="142"/>
      <c r="AK29" s="260"/>
      <c r="AL29" s="260"/>
      <c r="AM29" s="263"/>
      <c r="AN29" s="265"/>
      <c r="AO29" s="267"/>
      <c r="AP29" s="265"/>
      <c r="AQ29" s="265"/>
      <c r="AR29" s="265"/>
      <c r="AS29" s="269"/>
      <c r="AT29" s="219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8" customFormat="1" ht="12.75">
      <c r="A30" s="14"/>
      <c r="B30" s="69"/>
      <c r="C30" s="4"/>
      <c r="D30" s="111"/>
      <c r="E30" s="4"/>
      <c r="F30" s="73"/>
      <c r="G30" s="73"/>
      <c r="H30" s="70"/>
      <c r="I30" s="70"/>
      <c r="J30" s="118"/>
      <c r="K30" s="73"/>
      <c r="L30" s="70"/>
      <c r="M30" s="73"/>
      <c r="N30" s="73"/>
      <c r="O30" s="73"/>
      <c r="P30" s="73"/>
      <c r="Q30" s="70"/>
      <c r="R30" s="73"/>
      <c r="S30" s="73"/>
      <c r="T30" s="118"/>
      <c r="U30" s="73"/>
      <c r="V30" s="73"/>
      <c r="W30" s="73"/>
      <c r="X30" s="69"/>
      <c r="Y30" s="73"/>
      <c r="Z30" s="73"/>
      <c r="AA30" s="73"/>
      <c r="AB30" s="73"/>
      <c r="AC30" s="73"/>
      <c r="AD30" s="70"/>
      <c r="AE30" s="73"/>
      <c r="AF30" s="73"/>
      <c r="AG30" s="73"/>
      <c r="AH30" s="73"/>
      <c r="AI30" s="73"/>
      <c r="AJ30" s="73"/>
      <c r="AK30" s="4"/>
      <c r="AL30" s="4"/>
      <c r="AM30" s="96"/>
      <c r="AN30" s="72"/>
      <c r="AO30" s="72"/>
      <c r="AP30" s="72"/>
      <c r="AQ30" s="72"/>
      <c r="AR30" s="72"/>
      <c r="AS30" s="4"/>
      <c r="AT30" s="102"/>
    </row>
    <row r="31" spans="1:90" s="68" customFormat="1" ht="12.75">
      <c r="A31" s="14"/>
      <c r="B31" s="69"/>
      <c r="C31" s="14" t="s">
        <v>14</v>
      </c>
      <c r="D31" s="111"/>
      <c r="E31" s="4"/>
      <c r="F31" s="73"/>
      <c r="G31" s="73"/>
      <c r="H31" s="70"/>
      <c r="I31" s="70"/>
      <c r="J31" s="118"/>
      <c r="K31" s="73"/>
      <c r="L31" s="70"/>
      <c r="M31" s="73"/>
      <c r="N31" s="73"/>
      <c r="O31" s="73"/>
      <c r="P31" s="73"/>
      <c r="Q31" s="70"/>
      <c r="R31" s="73"/>
      <c r="S31" s="73"/>
      <c r="T31" s="118"/>
      <c r="U31" s="73"/>
      <c r="V31" s="73"/>
      <c r="W31" s="73"/>
      <c r="X31" s="69"/>
      <c r="Y31" s="73"/>
      <c r="Z31" s="73"/>
      <c r="AA31" s="73"/>
      <c r="AB31" s="73"/>
      <c r="AC31" s="73"/>
      <c r="AD31" s="70"/>
      <c r="AE31" s="73"/>
      <c r="AF31" s="73"/>
      <c r="AG31" s="73"/>
      <c r="AH31" s="73"/>
      <c r="AI31" s="73"/>
      <c r="AJ31" s="73"/>
      <c r="AK31" s="4"/>
      <c r="AL31" s="4"/>
      <c r="AM31" s="96"/>
      <c r="AN31" s="72"/>
      <c r="AO31" s="72"/>
      <c r="AP31" s="72"/>
      <c r="AQ31" s="72"/>
      <c r="AR31" s="72"/>
      <c r="AS31" s="4"/>
      <c r="AT31" s="102"/>
    </row>
    <row r="32" spans="1:90" s="68" customFormat="1" ht="12.75">
      <c r="A32" s="12"/>
      <c r="B32" s="12"/>
      <c r="C32" s="4"/>
      <c r="D32" s="111"/>
      <c r="E32" s="4"/>
      <c r="F32" s="73"/>
      <c r="G32" s="73"/>
      <c r="H32" s="119"/>
      <c r="I32" s="119"/>
      <c r="J32" s="119"/>
      <c r="K32" s="73"/>
      <c r="L32" s="119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119"/>
      <c r="AE32" s="73"/>
      <c r="AF32" s="73"/>
      <c r="AG32" s="73"/>
      <c r="AH32" s="73"/>
      <c r="AI32" s="73"/>
      <c r="AJ32" s="73"/>
      <c r="AK32" s="4"/>
      <c r="AL32" s="4"/>
      <c r="AM32" s="96"/>
      <c r="AN32" s="74"/>
      <c r="AO32" s="74"/>
      <c r="AP32" s="74"/>
      <c r="AQ32" s="74"/>
      <c r="AR32" s="74"/>
      <c r="AS32" s="4"/>
      <c r="AT32" s="102"/>
    </row>
    <row r="33" spans="1:91" s="71" customFormat="1" ht="15" customHeight="1">
      <c r="A33" s="12"/>
      <c r="B33" s="12"/>
      <c r="C33" s="4"/>
      <c r="D33" s="111"/>
      <c r="E33" s="4"/>
      <c r="F33" s="73"/>
      <c r="G33" s="73"/>
      <c r="H33" s="119"/>
      <c r="I33" s="119"/>
      <c r="J33" s="119"/>
      <c r="K33" s="73"/>
      <c r="L33" s="119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119"/>
      <c r="AE33" s="73"/>
      <c r="AF33" s="73"/>
      <c r="AG33" s="73"/>
      <c r="AH33" s="73"/>
      <c r="AI33" s="73"/>
      <c r="AJ33" s="73"/>
      <c r="AK33" s="4"/>
      <c r="AL33" s="4"/>
      <c r="AM33" s="96"/>
      <c r="AN33" s="74"/>
      <c r="AO33" s="74"/>
      <c r="AP33" s="74"/>
      <c r="AQ33" s="74"/>
      <c r="AR33" s="74"/>
      <c r="AS33" s="4"/>
      <c r="AT33" s="4"/>
    </row>
    <row r="34" spans="1:91" s="71" customFormat="1" ht="11.25">
      <c r="A34" s="12"/>
      <c r="B34" s="12"/>
      <c r="C34" s="4"/>
      <c r="D34" s="111"/>
      <c r="E34" s="4"/>
      <c r="F34" s="73"/>
      <c r="G34" s="73"/>
      <c r="H34" s="119"/>
      <c r="I34" s="119"/>
      <c r="J34" s="119"/>
      <c r="K34" s="73"/>
      <c r="L34" s="119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119"/>
      <c r="AE34" s="73"/>
      <c r="AF34" s="73"/>
      <c r="AG34" s="73"/>
      <c r="AH34" s="73"/>
      <c r="AI34" s="73"/>
      <c r="AJ34" s="73"/>
      <c r="AK34" s="4"/>
      <c r="AL34" s="4"/>
      <c r="AM34" s="96"/>
      <c r="AN34" s="74"/>
      <c r="AO34" s="74"/>
      <c r="AP34" s="74"/>
      <c r="AQ34" s="74"/>
      <c r="AR34" s="74"/>
      <c r="AS34" s="4"/>
      <c r="AT34" s="4"/>
    </row>
    <row r="35" spans="1:91" s="71" customFormat="1" ht="11.25">
      <c r="A35" s="12"/>
      <c r="B35" s="12"/>
      <c r="C35" s="4"/>
      <c r="D35" s="111"/>
      <c r="E35" s="4"/>
      <c r="F35" s="73"/>
      <c r="G35" s="73"/>
      <c r="H35" s="119"/>
      <c r="I35" s="119"/>
      <c r="J35" s="119"/>
      <c r="K35" s="73"/>
      <c r="L35" s="119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119"/>
      <c r="AE35" s="73"/>
      <c r="AF35" s="73"/>
      <c r="AG35" s="73"/>
      <c r="AH35" s="73"/>
      <c r="AI35" s="73"/>
      <c r="AJ35" s="73"/>
      <c r="AK35" s="4"/>
      <c r="AL35" s="4"/>
      <c r="AM35" s="96"/>
      <c r="AN35" s="74"/>
      <c r="AO35" s="74"/>
      <c r="AP35" s="74"/>
      <c r="AQ35" s="74"/>
      <c r="AR35" s="74"/>
      <c r="AS35" s="4"/>
      <c r="AT35" s="4"/>
    </row>
    <row r="36" spans="1:91" s="71" customFormat="1" ht="11.25">
      <c r="A36" s="10"/>
      <c r="B36" s="10"/>
      <c r="C36" s="14"/>
      <c r="D36" s="112"/>
      <c r="E36" s="75"/>
      <c r="F36" s="118"/>
      <c r="G36" s="120"/>
      <c r="H36" s="70"/>
      <c r="I36" s="70"/>
      <c r="J36" s="70"/>
      <c r="K36" s="120"/>
      <c r="L36" s="70"/>
      <c r="M36" s="120"/>
      <c r="N36" s="120"/>
      <c r="O36" s="120"/>
      <c r="P36" s="120"/>
      <c r="Q36" s="70"/>
      <c r="R36" s="118"/>
      <c r="S36" s="120"/>
      <c r="T36" s="120"/>
      <c r="U36" s="70"/>
      <c r="V36" s="120"/>
      <c r="W36" s="120"/>
      <c r="X36" s="70"/>
      <c r="Y36" s="120"/>
      <c r="Z36" s="120"/>
      <c r="AA36" s="120"/>
      <c r="AB36" s="120"/>
      <c r="AC36" s="120"/>
      <c r="AD36" s="70"/>
      <c r="AE36" s="120"/>
      <c r="AF36" s="120"/>
      <c r="AG36" s="120"/>
      <c r="AH36" s="120"/>
      <c r="AI36" s="120"/>
      <c r="AJ36" s="120"/>
      <c r="AK36" s="75"/>
      <c r="AM36" s="97"/>
      <c r="AN36" s="10"/>
      <c r="AO36" s="10"/>
      <c r="AP36" s="10"/>
      <c r="AQ36" s="10"/>
      <c r="AR36" s="10"/>
      <c r="AS36" s="14"/>
      <c r="AT36" s="4"/>
    </row>
    <row r="37" spans="1:91" s="71" customFormat="1" ht="12.75">
      <c r="A37" s="2"/>
      <c r="B37" s="2" t="s">
        <v>0</v>
      </c>
      <c r="C37" s="2"/>
      <c r="D37" s="212"/>
      <c r="E37" s="2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2"/>
      <c r="AI37" s="122"/>
      <c r="AJ37" s="122"/>
      <c r="AK37" s="2"/>
      <c r="AL37" s="2"/>
      <c r="AM37" s="98"/>
      <c r="AN37" s="2"/>
      <c r="AO37" s="2"/>
      <c r="AP37" s="2"/>
      <c r="AQ37" s="2"/>
      <c r="AR37" s="2"/>
      <c r="AS37" s="2"/>
      <c r="AT37" s="4"/>
    </row>
    <row r="38" spans="1:91" s="71" customFormat="1" ht="12.75">
      <c r="A38" s="2"/>
      <c r="B38" s="2"/>
      <c r="C38" s="2" t="s">
        <v>46</v>
      </c>
      <c r="D38" s="212"/>
      <c r="E38" s="2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1"/>
      <c r="AD38" s="121"/>
      <c r="AE38" s="121"/>
      <c r="AF38" s="121"/>
      <c r="AG38" s="121"/>
      <c r="AH38" s="122"/>
      <c r="AI38" s="122"/>
      <c r="AJ38" s="122"/>
      <c r="AK38" s="2"/>
      <c r="AL38" s="2"/>
      <c r="AM38" s="98"/>
      <c r="AN38" s="2"/>
      <c r="AO38" s="2"/>
      <c r="AP38" s="2"/>
      <c r="AQ38" s="2"/>
      <c r="AR38" s="2"/>
      <c r="AS38" s="2"/>
      <c r="AT38" s="14"/>
    </row>
    <row r="39" spans="1:91" ht="15" customHeight="1">
      <c r="C39" s="2" t="s">
        <v>47</v>
      </c>
    </row>
    <row r="40" spans="1:91" ht="15" customHeight="1">
      <c r="C40" s="2" t="s">
        <v>48</v>
      </c>
    </row>
    <row r="41" spans="1:91" s="212" customFormat="1" ht="15" customHeight="1">
      <c r="A41" s="2"/>
      <c r="B41" s="2"/>
      <c r="C41" s="2" t="s">
        <v>49</v>
      </c>
      <c r="E41" s="2"/>
      <c r="F41" s="121"/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121"/>
      <c r="AA41" s="121"/>
      <c r="AB41" s="121"/>
      <c r="AC41" s="121"/>
      <c r="AD41" s="121"/>
      <c r="AE41" s="121"/>
      <c r="AF41" s="121"/>
      <c r="AG41" s="121"/>
      <c r="AH41" s="122"/>
      <c r="AI41" s="122"/>
      <c r="AJ41" s="122"/>
      <c r="AK41" s="2"/>
      <c r="AL41" s="2"/>
      <c r="AM41" s="98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 s="212" customFormat="1" ht="15" customHeight="1">
      <c r="A42" s="2"/>
      <c r="B42" s="2"/>
      <c r="C42" s="2" t="s">
        <v>50</v>
      </c>
      <c r="E42" s="2"/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121"/>
      <c r="AA42" s="121"/>
      <c r="AB42" s="121"/>
      <c r="AC42" s="121"/>
      <c r="AD42" s="121"/>
      <c r="AE42" s="121"/>
      <c r="AF42" s="121"/>
      <c r="AG42" s="121"/>
      <c r="AH42" s="122"/>
      <c r="AI42" s="122"/>
      <c r="AJ42" s="122"/>
      <c r="AK42" s="2"/>
      <c r="AL42" s="2"/>
      <c r="AM42" s="98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 s="212" customFormat="1" ht="15" customHeight="1">
      <c r="A43" s="2"/>
      <c r="B43" s="2"/>
      <c r="C43" s="2" t="s">
        <v>51</v>
      </c>
      <c r="E43" s="2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121"/>
      <c r="AA43" s="121"/>
      <c r="AB43" s="121"/>
      <c r="AC43" s="121"/>
      <c r="AD43" s="121"/>
      <c r="AE43" s="121"/>
      <c r="AF43" s="121"/>
      <c r="AG43" s="121"/>
      <c r="AH43" s="122"/>
      <c r="AI43" s="122"/>
      <c r="AJ43" s="122"/>
      <c r="AK43" s="2"/>
      <c r="AL43" s="2"/>
      <c r="AM43" s="98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 s="212" customFormat="1" ht="15" customHeight="1">
      <c r="A44" s="2"/>
      <c r="B44" s="2"/>
      <c r="C44" s="2" t="s">
        <v>52</v>
      </c>
      <c r="E44" s="2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121"/>
      <c r="AA44" s="121"/>
      <c r="AB44" s="121"/>
      <c r="AC44" s="121"/>
      <c r="AD44" s="121"/>
      <c r="AE44" s="121"/>
      <c r="AF44" s="121"/>
      <c r="AG44" s="121"/>
      <c r="AH44" s="122"/>
      <c r="AI44" s="122"/>
      <c r="AJ44" s="122"/>
      <c r="AK44" s="2"/>
      <c r="AL44" s="2"/>
      <c r="AM44" s="98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  <row r="45" spans="1:91" s="212" customFormat="1" ht="15" customHeight="1">
      <c r="A45" s="2"/>
      <c r="B45" s="2"/>
      <c r="C45" s="2" t="s">
        <v>53</v>
      </c>
      <c r="E45" s="2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121"/>
      <c r="AA45" s="121"/>
      <c r="AB45" s="121"/>
      <c r="AC45" s="121"/>
      <c r="AD45" s="121"/>
      <c r="AE45" s="121"/>
      <c r="AF45" s="121"/>
      <c r="AG45" s="121"/>
      <c r="AH45" s="122"/>
      <c r="AI45" s="122"/>
      <c r="AJ45" s="122"/>
      <c r="AK45" s="2"/>
      <c r="AL45" s="2"/>
      <c r="AM45" s="98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</row>
    <row r="46" spans="1:91" s="212" customFormat="1" ht="15" customHeight="1">
      <c r="A46" s="2"/>
      <c r="B46" s="2"/>
      <c r="C46" s="2" t="s">
        <v>54</v>
      </c>
      <c r="E46" s="2"/>
      <c r="F46" s="121"/>
      <c r="G46" s="121"/>
      <c r="H46" s="121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121"/>
      <c r="AA46" s="121"/>
      <c r="AB46" s="121"/>
      <c r="AC46" s="121"/>
      <c r="AD46" s="121"/>
      <c r="AE46" s="121"/>
      <c r="AF46" s="121"/>
      <c r="AG46" s="121"/>
      <c r="AH46" s="122"/>
      <c r="AI46" s="122"/>
      <c r="AJ46" s="122"/>
      <c r="AK46" s="2"/>
      <c r="AL46" s="2"/>
      <c r="AM46" s="98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2:J35 Q30:Q31" name="Range1_1_1_1"/>
    <protectedRange password="CC78" sqref="J36" name="Range1_3_1_1"/>
    <protectedRange password="CC78" sqref="A16:A29" name="Range1_1_2"/>
    <protectedRange password="CC78" sqref="C16:E29 A16:A29" name="Range1_6_2"/>
    <protectedRange password="CC78" sqref="B16:B29" name="Range1_4_2"/>
  </protectedRanges>
  <mergeCells count="144">
    <mergeCell ref="AR24:AR25"/>
    <mergeCell ref="AS24:AS25"/>
    <mergeCell ref="D24:D25"/>
    <mergeCell ref="AK24:AK25"/>
    <mergeCell ref="AL24:AL25"/>
    <mergeCell ref="AM24:AM25"/>
    <mergeCell ref="AN24:AN25"/>
    <mergeCell ref="AO18:AO19"/>
    <mergeCell ref="AP18:AP19"/>
    <mergeCell ref="AQ18:AQ19"/>
    <mergeCell ref="AR18:AR19"/>
    <mergeCell ref="AS18:AS19"/>
    <mergeCell ref="D18:D19"/>
    <mergeCell ref="AK18:AK19"/>
    <mergeCell ref="AL18:AL19"/>
    <mergeCell ref="AM18:AM19"/>
    <mergeCell ref="AN18:AN19"/>
    <mergeCell ref="AO20:AO21"/>
    <mergeCell ref="AP20:AP21"/>
    <mergeCell ref="AQ20:AQ21"/>
    <mergeCell ref="AR20:AR21"/>
    <mergeCell ref="AS20:AS21"/>
    <mergeCell ref="D20:D21"/>
    <mergeCell ref="AK20:AK21"/>
    <mergeCell ref="D26:D27"/>
    <mergeCell ref="AK26:AK27"/>
    <mergeCell ref="D13:D14"/>
    <mergeCell ref="AK13:AK14"/>
    <mergeCell ref="D16:D17"/>
    <mergeCell ref="AK16:AK17"/>
    <mergeCell ref="AQ11:AQ12"/>
    <mergeCell ref="AR11:AR12"/>
    <mergeCell ref="AS11:AS12"/>
    <mergeCell ref="D22:D23"/>
    <mergeCell ref="AK22:AK23"/>
    <mergeCell ref="AL22:AL23"/>
    <mergeCell ref="AM22:AM23"/>
    <mergeCell ref="AN22:AN23"/>
    <mergeCell ref="AO22:AO23"/>
    <mergeCell ref="AP22:AP23"/>
    <mergeCell ref="AQ22:AQ23"/>
    <mergeCell ref="AR22:AR23"/>
    <mergeCell ref="AS22:AS23"/>
    <mergeCell ref="AL11:AL12"/>
    <mergeCell ref="AM11:AM12"/>
    <mergeCell ref="AN11:AN12"/>
    <mergeCell ref="AO11:AO12"/>
    <mergeCell ref="AP11:AP12"/>
    <mergeCell ref="A16:A17"/>
    <mergeCell ref="B16:B17"/>
    <mergeCell ref="A26:A27"/>
    <mergeCell ref="B26:B27"/>
    <mergeCell ref="C26:C27"/>
    <mergeCell ref="C16:C17"/>
    <mergeCell ref="A24:A25"/>
    <mergeCell ref="B24:B25"/>
    <mergeCell ref="C24:C25"/>
    <mergeCell ref="A18:A19"/>
    <mergeCell ref="B18:B19"/>
    <mergeCell ref="C18:C19"/>
    <mergeCell ref="A20:A21"/>
    <mergeCell ref="B20:B21"/>
    <mergeCell ref="C20:C21"/>
    <mergeCell ref="A22:A23"/>
    <mergeCell ref="B22:B23"/>
    <mergeCell ref="C22:C23"/>
    <mergeCell ref="A28:A29"/>
    <mergeCell ref="B28:B29"/>
    <mergeCell ref="C28:C29"/>
    <mergeCell ref="D28:D29"/>
    <mergeCell ref="AK28:AK29"/>
    <mergeCell ref="AR13:AR14"/>
    <mergeCell ref="AS13:AS14"/>
    <mergeCell ref="AL13:AL14"/>
    <mergeCell ref="AR28:AR29"/>
    <mergeCell ref="AS28:AS29"/>
    <mergeCell ref="AR16:AR17"/>
    <mergeCell ref="AS16:AS17"/>
    <mergeCell ref="AL26:AL27"/>
    <mergeCell ref="AM26:AM27"/>
    <mergeCell ref="AN26:AN27"/>
    <mergeCell ref="AO26:AO27"/>
    <mergeCell ref="AP26:AP27"/>
    <mergeCell ref="AQ26:AQ27"/>
    <mergeCell ref="AR26:AR27"/>
    <mergeCell ref="AS26:AS27"/>
    <mergeCell ref="AL28:AL29"/>
    <mergeCell ref="A13:A14"/>
    <mergeCell ref="B13:B14"/>
    <mergeCell ref="C13:C14"/>
    <mergeCell ref="AM13:AM14"/>
    <mergeCell ref="AN13:AN14"/>
    <mergeCell ref="AO13:AO14"/>
    <mergeCell ref="AP13:AP14"/>
    <mergeCell ref="AQ13:AQ14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D11:D12"/>
    <mergeCell ref="AK11:AK12"/>
    <mergeCell ref="A11:A12"/>
    <mergeCell ref="B11:B12"/>
    <mergeCell ref="C11:C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28:AM29"/>
    <mergeCell ref="AN28:AN29"/>
    <mergeCell ref="AO28:AO29"/>
    <mergeCell ref="AP28:AP29"/>
    <mergeCell ref="AQ28:AQ29"/>
    <mergeCell ref="AL16:AL17"/>
    <mergeCell ref="AM16:AM17"/>
    <mergeCell ref="AN16:AN17"/>
    <mergeCell ref="AO16:AO17"/>
    <mergeCell ref="AP16:AP17"/>
    <mergeCell ref="AQ16:AQ17"/>
    <mergeCell ref="AO24:AO25"/>
    <mergeCell ref="AP24:AP25"/>
    <mergeCell ref="AQ24:AQ25"/>
    <mergeCell ref="AL20:AL21"/>
    <mergeCell ref="AM20:AM21"/>
    <mergeCell ref="AN20:AN21"/>
  </mergeCells>
  <conditionalFormatting sqref="F5:AJ6 F9:AJ10 F13:AJ14">
    <cfRule type="expression" dxfId="9" priority="40" stopIfTrue="1">
      <formula>IF(WEEKDAY(F$5)=1,TRUE,FALSE)</formula>
    </cfRule>
  </conditionalFormatting>
  <conditionalFormatting sqref="F9:AJ10 F13:AJ14">
    <cfRule type="expression" dxfId="8" priority="39" stopIfTrue="1">
      <formula>IF(WEEKDAY(F$5)=1,TRUE,FALSE)</formula>
    </cfRule>
  </conditionalFormatting>
  <conditionalFormatting sqref="F16:AJ17 F26:AJ29">
    <cfRule type="expression" dxfId="7" priority="8" stopIfTrue="1">
      <formula>IF(WEEKDAY(F$5)=1,TRUE,FALSE)</formula>
    </cfRule>
  </conditionalFormatting>
  <conditionalFormatting sqref="F16:AJ17 F26:AJ29">
    <cfRule type="expression" dxfId="6" priority="7" stopIfTrue="1">
      <formula>IF(WEEKDAY(F$5)=1,TRUE,FALSE)</formula>
    </cfRule>
  </conditionalFormatting>
  <conditionalFormatting sqref="F11:AJ12">
    <cfRule type="expression" dxfId="5" priority="6" stopIfTrue="1">
      <formula>IF(WEEKDAY(F$5)=1,TRUE,FALSE)</formula>
    </cfRule>
  </conditionalFormatting>
  <conditionalFormatting sqref="F11:AJ12">
    <cfRule type="expression" dxfId="4" priority="5" stopIfTrue="1">
      <formula>IF(WEEKDAY(F$5)=1,TRUE,FALSE)</formula>
    </cfRule>
  </conditionalFormatting>
  <conditionalFormatting sqref="F22:AJ25">
    <cfRule type="expression" dxfId="3" priority="4" stopIfTrue="1">
      <formula>IF(WEEKDAY(F$5)=1,TRUE,FALSE)</formula>
    </cfRule>
  </conditionalFormatting>
  <conditionalFormatting sqref="F22:AJ25">
    <cfRule type="expression" dxfId="2" priority="3" stopIfTrue="1">
      <formula>IF(WEEKDAY(F$5)=1,TRUE,FALSE)</formula>
    </cfRule>
  </conditionalFormatting>
  <conditionalFormatting sqref="F18:AJ21">
    <cfRule type="expression" dxfId="1" priority="2" stopIfTrue="1">
      <formula>IF(WEEKDAY(F$5)=1,TRUE,FALSE)</formula>
    </cfRule>
  </conditionalFormatting>
  <conditionalFormatting sqref="F18:AJ21">
    <cfRule type="expression" dxfId="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5"/>
  <sheetViews>
    <sheetView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S24" activeCellId="1" sqref="S14 S24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9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7"/>
      <c r="B1" s="215"/>
      <c r="C1" s="215"/>
      <c r="D1" s="270" t="str">
        <f>"BẢNG THANH TOÁN LƯƠNG THÁNG"&amp;" "&amp;TEXT($E$4,"mm")&amp;" / "&amp;TEXT($E$4,"yyyy")</f>
        <v>BẢNG THANH TOÁN LƯƠNG THÁNG 12 / 2015</v>
      </c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1"/>
      <c r="R1" s="272" t="s">
        <v>170</v>
      </c>
      <c r="S1" s="273"/>
      <c r="T1" s="274"/>
      <c r="U1" s="128" t="s">
        <v>58</v>
      </c>
      <c r="V1" s="108" t="s">
        <v>37</v>
      </c>
      <c r="W1" s="81"/>
      <c r="X1" s="81"/>
      <c r="Y1" s="5"/>
      <c r="Z1" s="5"/>
    </row>
    <row r="2" spans="1:31" s="4" customFormat="1" ht="15" customHeight="1">
      <c r="A2" s="137"/>
      <c r="B2" s="215"/>
      <c r="C2" s="215"/>
      <c r="D2" s="215"/>
      <c r="E2" s="79"/>
      <c r="F2" s="215"/>
      <c r="G2" s="215"/>
      <c r="H2" s="215"/>
      <c r="I2" s="215"/>
      <c r="J2" s="80"/>
      <c r="K2" s="215"/>
      <c r="L2" s="215"/>
      <c r="M2" s="215"/>
      <c r="N2" s="215"/>
      <c r="O2" s="215"/>
      <c r="P2" s="215"/>
      <c r="Q2" s="215"/>
      <c r="R2" s="215"/>
      <c r="S2" s="215"/>
      <c r="T2" s="57"/>
      <c r="U2" s="78">
        <f>MAX(F10:F24)</f>
        <v>27</v>
      </c>
      <c r="V2" s="109">
        <v>31</v>
      </c>
      <c r="W2" s="81"/>
      <c r="X2" s="81"/>
      <c r="Y2" s="5"/>
      <c r="Z2" s="5"/>
    </row>
    <row r="3" spans="1:31" s="4" customFormat="1" ht="15" customHeight="1">
      <c r="A3" s="137"/>
      <c r="B3" s="215"/>
      <c r="C3" s="215"/>
      <c r="D3" s="215"/>
      <c r="E3" s="79"/>
      <c r="F3" s="215"/>
      <c r="G3" s="215"/>
      <c r="H3" s="215"/>
      <c r="I3" s="215"/>
      <c r="J3" s="80"/>
      <c r="K3" s="215"/>
      <c r="L3" s="215"/>
      <c r="M3" s="215"/>
      <c r="N3" s="215"/>
      <c r="O3" s="215"/>
      <c r="P3" s="215"/>
      <c r="Q3" s="215"/>
      <c r="R3" s="215"/>
      <c r="S3" s="215"/>
      <c r="T3" s="57"/>
      <c r="U3" s="129"/>
      <c r="V3" s="130"/>
      <c r="W3" s="81"/>
      <c r="X3" s="81"/>
      <c r="Y3" s="5"/>
      <c r="Z3" s="5"/>
    </row>
    <row r="4" spans="1:31" s="103" customFormat="1" ht="14.25" customHeight="1">
      <c r="A4" s="101"/>
      <c r="B4" s="102"/>
      <c r="C4" s="102"/>
      <c r="D4" s="102"/>
      <c r="E4" s="187">
        <f>'CC -12'!$E$4</f>
        <v>42339</v>
      </c>
      <c r="F4" s="102"/>
      <c r="G4" s="102"/>
      <c r="H4" s="102"/>
      <c r="I4" s="102"/>
      <c r="J4" s="102"/>
      <c r="K4" s="102"/>
      <c r="L4" s="102"/>
      <c r="M4" s="102"/>
      <c r="N4" s="160">
        <v>0.08</v>
      </c>
      <c r="O4" s="160">
        <v>1.4999999999999999E-2</v>
      </c>
      <c r="P4" s="160">
        <v>0.01</v>
      </c>
      <c r="Q4" s="102"/>
      <c r="R4" s="102"/>
      <c r="S4" s="102"/>
      <c r="T4" s="102"/>
      <c r="U4" s="102"/>
      <c r="V4" s="104"/>
      <c r="W4" s="104"/>
      <c r="X4" s="104"/>
      <c r="Y4" s="104"/>
      <c r="Z4" s="104"/>
    </row>
    <row r="5" spans="1:31" s="26" customFormat="1" ht="24" customHeight="1">
      <c r="A5" s="275" t="s">
        <v>19</v>
      </c>
      <c r="B5" s="275" t="s">
        <v>20</v>
      </c>
      <c r="C5" s="238" t="s">
        <v>1</v>
      </c>
      <c r="D5" s="238" t="s">
        <v>2</v>
      </c>
      <c r="E5" s="241" t="s">
        <v>56</v>
      </c>
      <c r="F5" s="278" t="s">
        <v>26</v>
      </c>
      <c r="G5" s="279"/>
      <c r="H5" s="279"/>
      <c r="I5" s="279"/>
      <c r="J5" s="279"/>
      <c r="K5" s="280"/>
      <c r="L5" s="277" t="s">
        <v>57</v>
      </c>
      <c r="M5" s="277" t="s">
        <v>5</v>
      </c>
      <c r="N5" s="238" t="s">
        <v>6</v>
      </c>
      <c r="O5" s="238"/>
      <c r="P5" s="238"/>
      <c r="Q5" s="277" t="s">
        <v>7</v>
      </c>
      <c r="R5" s="277" t="s">
        <v>8</v>
      </c>
      <c r="S5" s="277" t="s">
        <v>9</v>
      </c>
      <c r="T5" s="239" t="s">
        <v>10</v>
      </c>
      <c r="U5" s="102"/>
      <c r="V5" s="27"/>
      <c r="W5" s="27"/>
      <c r="X5" s="5"/>
      <c r="Y5" s="5"/>
      <c r="Z5" s="5"/>
      <c r="AA5" s="4"/>
      <c r="AB5" s="4"/>
      <c r="AC5" s="4"/>
      <c r="AD5" s="4"/>
      <c r="AE5" s="4"/>
    </row>
    <row r="6" spans="1:31" s="26" customFormat="1" ht="33.75" customHeight="1">
      <c r="A6" s="276"/>
      <c r="B6" s="276"/>
      <c r="C6" s="238"/>
      <c r="D6" s="238"/>
      <c r="E6" s="241"/>
      <c r="F6" s="278" t="s">
        <v>59</v>
      </c>
      <c r="G6" s="280"/>
      <c r="H6" s="278" t="s">
        <v>157</v>
      </c>
      <c r="I6" s="279"/>
      <c r="J6" s="284" t="s">
        <v>27</v>
      </c>
      <c r="K6" s="277" t="s">
        <v>4</v>
      </c>
      <c r="L6" s="281"/>
      <c r="M6" s="281"/>
      <c r="N6" s="286" t="s">
        <v>12</v>
      </c>
      <c r="O6" s="277" t="s">
        <v>13</v>
      </c>
      <c r="P6" s="277" t="s">
        <v>34</v>
      </c>
      <c r="Q6" s="281"/>
      <c r="R6" s="281"/>
      <c r="S6" s="281"/>
      <c r="T6" s="240"/>
      <c r="U6" s="102"/>
      <c r="V6" s="27"/>
      <c r="W6" s="27"/>
      <c r="X6" s="5"/>
      <c r="Y6" s="5"/>
      <c r="Z6" s="5"/>
      <c r="AA6" s="4"/>
      <c r="AB6" s="4"/>
      <c r="AC6" s="4"/>
      <c r="AD6" s="4"/>
      <c r="AE6" s="4"/>
    </row>
    <row r="7" spans="1:31" s="26" customFormat="1" ht="35.25" customHeight="1">
      <c r="A7" s="276"/>
      <c r="B7" s="276"/>
      <c r="C7" s="277"/>
      <c r="D7" s="277"/>
      <c r="E7" s="241"/>
      <c r="F7" s="216" t="s">
        <v>40</v>
      </c>
      <c r="G7" s="213" t="s">
        <v>18</v>
      </c>
      <c r="H7" s="216" t="s">
        <v>40</v>
      </c>
      <c r="I7" s="126" t="s">
        <v>18</v>
      </c>
      <c r="J7" s="285"/>
      <c r="K7" s="281"/>
      <c r="L7" s="282"/>
      <c r="M7" s="282"/>
      <c r="N7" s="287"/>
      <c r="O7" s="281"/>
      <c r="P7" s="281"/>
      <c r="Q7" s="281"/>
      <c r="R7" s="281"/>
      <c r="S7" s="281"/>
      <c r="T7" s="240"/>
      <c r="U7" s="102"/>
      <c r="V7" s="27"/>
      <c r="W7" s="27"/>
      <c r="X7" s="5"/>
      <c r="Y7" s="5"/>
      <c r="Z7" s="5"/>
      <c r="AA7" s="4"/>
      <c r="AB7" s="4"/>
      <c r="AC7" s="4"/>
      <c r="AD7" s="4"/>
      <c r="AE7" s="4"/>
    </row>
    <row r="8" spans="1:31" s="83" customFormat="1" ht="12.75" customHeight="1">
      <c r="A8" s="82">
        <v>1</v>
      </c>
      <c r="B8" s="82">
        <v>2</v>
      </c>
      <c r="C8" s="82">
        <v>3</v>
      </c>
      <c r="D8" s="82">
        <v>4</v>
      </c>
      <c r="E8" s="82">
        <v>5</v>
      </c>
      <c r="F8" s="82">
        <v>7</v>
      </c>
      <c r="G8" s="82">
        <v>8</v>
      </c>
      <c r="H8" s="82">
        <v>9</v>
      </c>
      <c r="I8" s="82">
        <v>10</v>
      </c>
      <c r="J8" s="82">
        <v>13</v>
      </c>
      <c r="K8" s="82">
        <v>14</v>
      </c>
      <c r="L8" s="82">
        <v>16</v>
      </c>
      <c r="M8" s="82">
        <v>17</v>
      </c>
      <c r="N8" s="82">
        <v>18</v>
      </c>
      <c r="O8" s="82">
        <v>19</v>
      </c>
      <c r="P8" s="82">
        <v>20</v>
      </c>
      <c r="Q8" s="82">
        <v>21</v>
      </c>
      <c r="R8" s="82">
        <v>22</v>
      </c>
      <c r="S8" s="82">
        <v>23</v>
      </c>
      <c r="T8" s="82">
        <v>24</v>
      </c>
      <c r="U8" s="102"/>
      <c r="V8" s="84"/>
      <c r="W8" s="84"/>
      <c r="X8" s="85"/>
      <c r="Y8" s="85"/>
      <c r="Z8" s="85"/>
      <c r="AA8" s="86"/>
      <c r="AB8" s="86"/>
      <c r="AC8" s="86"/>
      <c r="AD8" s="86"/>
      <c r="AE8" s="86"/>
    </row>
    <row r="9" spans="1:31" s="83" customFormat="1" ht="24" customHeight="1">
      <c r="A9" s="186" t="s">
        <v>154</v>
      </c>
      <c r="B9" s="185" t="s">
        <v>171</v>
      </c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02"/>
      <c r="V9" s="84"/>
      <c r="W9" s="84"/>
      <c r="X9" s="85"/>
      <c r="Y9" s="85"/>
      <c r="Z9" s="85"/>
      <c r="AA9" s="86"/>
      <c r="AB9" s="86"/>
      <c r="AC9" s="86"/>
      <c r="AD9" s="86"/>
      <c r="AE9" s="86"/>
    </row>
    <row r="10" spans="1:31" s="35" customFormat="1" ht="24" customHeight="1">
      <c r="A10" s="37">
        <v>1</v>
      </c>
      <c r="B10" s="139" t="s">
        <v>159</v>
      </c>
      <c r="C10" s="87" t="str">
        <f t="shared" ref="C10:C12" si="0">VLOOKUP(B10,DS,2,0)</f>
        <v>Nguyễn Thị Thu Sương</v>
      </c>
      <c r="D10" s="114" t="str">
        <f t="shared" ref="D10:D12" si="1">VLOOKUP(B10,DS,3,0)</f>
        <v>Kinh Doanh</v>
      </c>
      <c r="E10" s="88">
        <f t="shared" ref="E10:E12" si="2">VLOOKUP(B10,DS,4,0)</f>
        <v>5000000</v>
      </c>
      <c r="F10" s="90">
        <f>VLOOKUP(B10,'CC -12'!$B$8:$AS$29,36,0)</f>
        <v>27</v>
      </c>
      <c r="G10" s="143">
        <f t="shared" ref="G10:G12" si="3">ROUND(E10/$U$2*F10,0)</f>
        <v>5000000</v>
      </c>
      <c r="H10" s="90">
        <f>(VLOOKUP(B10,'CC -12'!$B$8:$AS$29,37,0)+VLOOKUP(B10,'CC -12'!$B$8:$AS$29,38,0))</f>
        <v>0</v>
      </c>
      <c r="I10" s="143">
        <f t="shared" ref="I10:I12" si="4">ROUND(E10/$U$2*H10,0)</f>
        <v>0</v>
      </c>
      <c r="J10" s="91">
        <f t="shared" ref="J10:K12" si="5">F10+H10</f>
        <v>27</v>
      </c>
      <c r="K10" s="38">
        <f>G10+I10</f>
        <v>5000000</v>
      </c>
      <c r="L10" s="88">
        <f t="shared" ref="L10:L12" si="6">+F10*15000</f>
        <v>405000</v>
      </c>
      <c r="M10" s="39">
        <f t="shared" ref="M10:M12" si="7">K10+L10</f>
        <v>5405000</v>
      </c>
      <c r="N10" s="39">
        <f>IF(VLOOKUP(B10,DS,9,0)="x",E10*$N$4,0)</f>
        <v>0</v>
      </c>
      <c r="O10" s="39">
        <f>IF(VLOOKUP(B10,DS,9,0)="x",E10*$O$4,0)</f>
        <v>0</v>
      </c>
      <c r="P10" s="39">
        <f>IF(VLOOKUP(B10,DS,9,0)="x",E10*$P$4,0)</f>
        <v>0</v>
      </c>
      <c r="Q10" s="38">
        <f t="shared" ref="Q10:Q12" si="8">M10-SUM(N10:P10)</f>
        <v>5405000</v>
      </c>
      <c r="R10" s="38">
        <f>VLOOKUP(B10,DS,23,0)</f>
        <v>0</v>
      </c>
      <c r="S10" s="44">
        <f t="shared" ref="S10:S12" si="9">Q10-R10</f>
        <v>5405000</v>
      </c>
      <c r="T10" s="38"/>
      <c r="U10" s="102"/>
      <c r="V10" s="36"/>
      <c r="W10" s="27"/>
      <c r="X10" s="5"/>
      <c r="Y10" s="5"/>
      <c r="Z10" s="5"/>
      <c r="AA10" s="4"/>
      <c r="AB10" s="4"/>
      <c r="AC10" s="4"/>
      <c r="AD10" s="4"/>
      <c r="AE10" s="4"/>
    </row>
    <row r="11" spans="1:31" s="35" customFormat="1" ht="24" customHeight="1">
      <c r="A11" s="37">
        <v>2</v>
      </c>
      <c r="B11" s="139" t="s">
        <v>160</v>
      </c>
      <c r="C11" s="87" t="str">
        <f t="shared" ref="C11" si="10">VLOOKUP(B11,DS,2,0)</f>
        <v>Trần Anh Nhựt</v>
      </c>
      <c r="D11" s="114" t="str">
        <f t="shared" ref="D11" si="11">VLOOKUP(B11,DS,3,0)</f>
        <v>Thiết Kế</v>
      </c>
      <c r="E11" s="88">
        <f t="shared" ref="E11" si="12">VLOOKUP(B11,DS,4,0)</f>
        <v>5000000</v>
      </c>
      <c r="F11" s="90">
        <f>VLOOKUP(B11,'CC -12'!$B$8:$AS$29,36,0)</f>
        <v>27</v>
      </c>
      <c r="G11" s="143">
        <f t="shared" ref="G11" si="13">ROUND(E11/$U$2*F11,0)</f>
        <v>5000000</v>
      </c>
      <c r="H11" s="90">
        <f>(VLOOKUP(B11,'CC -12'!$B$8:$AS$29,37,0)+VLOOKUP(B11,'CC -12'!$B$8:$AS$29,38,0))</f>
        <v>0</v>
      </c>
      <c r="I11" s="143">
        <f t="shared" ref="I11" si="14">ROUND(E11/$U$2*H11,0)</f>
        <v>0</v>
      </c>
      <c r="J11" s="91">
        <f t="shared" ref="J11" si="15">F11+H11</f>
        <v>27</v>
      </c>
      <c r="K11" s="38">
        <f t="shared" ref="K11" si="16">G11+I11</f>
        <v>5000000</v>
      </c>
      <c r="L11" s="88">
        <f t="shared" ref="L11" si="17">+F11*15000</f>
        <v>405000</v>
      </c>
      <c r="M11" s="39">
        <f t="shared" ref="M11" si="18">K11+L11</f>
        <v>5405000</v>
      </c>
      <c r="N11" s="39">
        <f>IF(VLOOKUP(B11,DS,9,0)="x",E11*$N$4,0)</f>
        <v>0</v>
      </c>
      <c r="O11" s="39">
        <f>IF(VLOOKUP(B11,DS,9,0)="x",E11*$O$4,0)</f>
        <v>0</v>
      </c>
      <c r="P11" s="39">
        <f>IF(VLOOKUP(B11,DS,9,0)="x",E11*$P$4,0)</f>
        <v>0</v>
      </c>
      <c r="Q11" s="38">
        <f t="shared" ref="Q11" si="19">M11-SUM(N11:P11)</f>
        <v>5405000</v>
      </c>
      <c r="R11" s="38">
        <f>VLOOKUP(B11,DS,23,0)</f>
        <v>0</v>
      </c>
      <c r="S11" s="44">
        <f t="shared" ref="S11" si="20">Q11-R11</f>
        <v>5405000</v>
      </c>
      <c r="T11" s="38"/>
      <c r="U11" s="102"/>
      <c r="V11" s="36"/>
      <c r="W11" s="27"/>
      <c r="X11" s="5"/>
      <c r="Y11" s="5"/>
      <c r="Z11" s="5"/>
      <c r="AA11" s="4"/>
      <c r="AB11" s="4"/>
      <c r="AC11" s="4"/>
      <c r="AD11" s="4"/>
      <c r="AE11" s="4"/>
    </row>
    <row r="12" spans="1:31" s="35" customFormat="1" ht="24" customHeight="1">
      <c r="A12" s="37">
        <v>3</v>
      </c>
      <c r="B12" s="139" t="s">
        <v>168</v>
      </c>
      <c r="C12" s="87" t="str">
        <f t="shared" si="0"/>
        <v>Huỳnh Minh Toàn</v>
      </c>
      <c r="D12" s="114" t="str">
        <f t="shared" si="1"/>
        <v>Thủ Kho</v>
      </c>
      <c r="E12" s="88">
        <f t="shared" si="2"/>
        <v>5500000</v>
      </c>
      <c r="F12" s="90">
        <f>VLOOKUP(B12,'CC -12'!$B$8:$AS$29,36,0)</f>
        <v>27</v>
      </c>
      <c r="G12" s="143">
        <f t="shared" si="3"/>
        <v>5500000</v>
      </c>
      <c r="H12" s="90">
        <f>(VLOOKUP(B12,'CC -12'!$B$8:$AS$29,37,0)+VLOOKUP(B12,'CC -12'!$B$8:$AS$29,38,0))</f>
        <v>0</v>
      </c>
      <c r="I12" s="143">
        <f t="shared" si="4"/>
        <v>0</v>
      </c>
      <c r="J12" s="91">
        <f t="shared" si="5"/>
        <v>27</v>
      </c>
      <c r="K12" s="38">
        <f t="shared" si="5"/>
        <v>5500000</v>
      </c>
      <c r="L12" s="88">
        <f t="shared" si="6"/>
        <v>405000</v>
      </c>
      <c r="M12" s="39">
        <f t="shared" si="7"/>
        <v>5905000</v>
      </c>
      <c r="N12" s="39">
        <f>IF(VLOOKUP(B12,DS,9,0)="x",E12*$N$4,0)</f>
        <v>0</v>
      </c>
      <c r="O12" s="39">
        <f>IF(VLOOKUP(B12,DS,9,0)="x",E12*$O$4,0)</f>
        <v>0</v>
      </c>
      <c r="P12" s="39">
        <f>IF(VLOOKUP(B12,DS,9,0)="x",E12*$P$4,0)</f>
        <v>0</v>
      </c>
      <c r="Q12" s="38">
        <f t="shared" si="8"/>
        <v>5905000</v>
      </c>
      <c r="R12" s="38">
        <f>VLOOKUP(B12,DS,23,0)</f>
        <v>0</v>
      </c>
      <c r="S12" s="44">
        <f t="shared" si="9"/>
        <v>5905000</v>
      </c>
      <c r="T12" s="38"/>
      <c r="U12" s="102"/>
      <c r="V12" s="36"/>
      <c r="W12" s="27"/>
      <c r="X12" s="5"/>
      <c r="Y12" s="5"/>
      <c r="Z12" s="5"/>
      <c r="AA12" s="4"/>
      <c r="AB12" s="4"/>
      <c r="AC12" s="4"/>
      <c r="AD12" s="4"/>
      <c r="AE12" s="4"/>
    </row>
    <row r="13" spans="1:31" s="35" customFormat="1" ht="24" customHeight="1">
      <c r="A13" s="201"/>
      <c r="B13" s="202"/>
      <c r="C13" s="203"/>
      <c r="D13" s="204"/>
      <c r="E13" s="205"/>
      <c r="F13" s="206"/>
      <c r="G13" s="207"/>
      <c r="H13" s="206"/>
      <c r="I13" s="207"/>
      <c r="J13" s="208"/>
      <c r="K13" s="209"/>
      <c r="L13" s="205"/>
      <c r="M13" s="210"/>
      <c r="N13" s="210"/>
      <c r="O13" s="210"/>
      <c r="P13" s="210"/>
      <c r="Q13" s="209"/>
      <c r="R13" s="209"/>
      <c r="S13" s="211"/>
      <c r="T13" s="209"/>
      <c r="U13" s="102"/>
      <c r="V13" s="36"/>
      <c r="W13" s="27"/>
      <c r="X13" s="5"/>
      <c r="Y13" s="5"/>
      <c r="Z13" s="5"/>
      <c r="AA13" s="4"/>
      <c r="AB13" s="4"/>
      <c r="AC13" s="4"/>
      <c r="AD13" s="4"/>
      <c r="AE13" s="4"/>
    </row>
    <row r="14" spans="1:31" s="31" customFormat="1" ht="21" customHeight="1">
      <c r="A14" s="283" t="s">
        <v>25</v>
      </c>
      <c r="B14" s="283"/>
      <c r="C14" s="283"/>
      <c r="D14" s="283"/>
      <c r="E14" s="138">
        <f>SUM(E9:E13)</f>
        <v>15500000</v>
      </c>
      <c r="F14" s="138"/>
      <c r="G14" s="138">
        <f>SUM(G9:G13)</f>
        <v>15500000</v>
      </c>
      <c r="H14" s="138"/>
      <c r="I14" s="138">
        <f>SUM(I9:I13)</f>
        <v>0</v>
      </c>
      <c r="J14" s="138"/>
      <c r="K14" s="138">
        <f t="shared" ref="K14:S14" si="21">SUM(K9:K13)</f>
        <v>15500000</v>
      </c>
      <c r="L14" s="138">
        <f t="shared" si="21"/>
        <v>1215000</v>
      </c>
      <c r="M14" s="138">
        <f t="shared" si="21"/>
        <v>16715000</v>
      </c>
      <c r="N14" s="138">
        <f t="shared" si="21"/>
        <v>0</v>
      </c>
      <c r="O14" s="138">
        <f t="shared" si="21"/>
        <v>0</v>
      </c>
      <c r="P14" s="138">
        <f t="shared" si="21"/>
        <v>0</v>
      </c>
      <c r="Q14" s="138">
        <f t="shared" si="21"/>
        <v>16715000</v>
      </c>
      <c r="R14" s="138">
        <f t="shared" si="21"/>
        <v>0</v>
      </c>
      <c r="S14" s="138">
        <f t="shared" si="21"/>
        <v>16715000</v>
      </c>
      <c r="T14" s="25"/>
      <c r="U14" s="102"/>
      <c r="V14" s="32"/>
      <c r="W14" s="32"/>
      <c r="X14" s="32"/>
      <c r="Y14" s="32"/>
      <c r="Z14" s="32"/>
    </row>
    <row r="15" spans="1:31" s="83" customFormat="1" ht="24" customHeight="1">
      <c r="A15" s="186" t="s">
        <v>155</v>
      </c>
      <c r="B15" s="185" t="s">
        <v>156</v>
      </c>
      <c r="C15" s="184"/>
      <c r="D15" s="184"/>
      <c r="E15" s="184"/>
      <c r="F15" s="184"/>
      <c r="G15" s="184"/>
      <c r="H15" s="184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02"/>
      <c r="V15" s="84"/>
      <c r="W15" s="84"/>
      <c r="X15" s="85"/>
      <c r="Y15" s="85"/>
      <c r="Z15" s="85"/>
      <c r="AA15" s="86"/>
      <c r="AB15" s="86"/>
      <c r="AC15" s="86"/>
      <c r="AD15" s="86"/>
      <c r="AE15" s="86"/>
    </row>
    <row r="16" spans="1:31" s="35" customFormat="1" ht="24" customHeight="1">
      <c r="A16" s="37">
        <v>1</v>
      </c>
      <c r="B16" s="139" t="s">
        <v>161</v>
      </c>
      <c r="C16" s="87" t="str">
        <f t="shared" ref="C16:C20" si="22">VLOOKUP(B16,DS,2,0)</f>
        <v>Nguyễn Trường Giang</v>
      </c>
      <c r="D16" s="114" t="str">
        <f t="shared" ref="D16:D20" si="23">VLOOKUP(B16,DS,3,0)</f>
        <v>Thợ in</v>
      </c>
      <c r="E16" s="88">
        <f t="shared" ref="E16:E20" si="24">VLOOKUP(B16,DS,4,0)</f>
        <v>5000000</v>
      </c>
      <c r="F16" s="90">
        <f>VLOOKUP(B16,'CC -12'!$B$8:$AS$29,36,0)</f>
        <v>27</v>
      </c>
      <c r="G16" s="143">
        <f t="shared" ref="G16:G20" si="25">ROUND(E16/$U$2*F16,0)</f>
        <v>5000000</v>
      </c>
      <c r="H16" s="90">
        <f>(VLOOKUP(B16,'CC -12'!$B$8:$AS$29,37,0)+VLOOKUP(B16,'CC -12'!$B$8:$AS$29,38,0))</f>
        <v>0</v>
      </c>
      <c r="I16" s="143">
        <f t="shared" ref="I16:I20" si="26">ROUND(E16/$U$2*H16,0)</f>
        <v>0</v>
      </c>
      <c r="J16" s="144">
        <f t="shared" ref="J16:K20" si="27">F16+H16</f>
        <v>27</v>
      </c>
      <c r="K16" s="38">
        <f t="shared" si="27"/>
        <v>5000000</v>
      </c>
      <c r="L16" s="88">
        <f t="shared" ref="L16:L20" si="28">+F16*15000</f>
        <v>405000</v>
      </c>
      <c r="M16" s="39">
        <f t="shared" ref="M16:M20" si="29">K16+L16</f>
        <v>5405000</v>
      </c>
      <c r="N16" s="39">
        <f>IF(VLOOKUP(B16,DS,9,0)="x",'L - 12'!E16*$N$4,0)</f>
        <v>0</v>
      </c>
      <c r="O16" s="39">
        <f t="shared" ref="O16:O20" si="30">IF(VLOOKUP(B16,DS,9,0)="x",E16*0.015,0)</f>
        <v>0</v>
      </c>
      <c r="P16" s="39">
        <f t="shared" ref="P16:P20" si="31">IF(VLOOKUP(B16,DS,9,0)="x",E16*0.01,0)</f>
        <v>0</v>
      </c>
      <c r="Q16" s="38">
        <f>M16-SUM(N16:P16)</f>
        <v>5405000</v>
      </c>
      <c r="R16" s="38">
        <f t="shared" ref="R16:R20" si="32">VLOOKUP(B16,DS,23,0)</f>
        <v>0</v>
      </c>
      <c r="S16" s="44">
        <f>Q16-R16</f>
        <v>5405000</v>
      </c>
      <c r="T16" s="38"/>
      <c r="U16" s="102"/>
      <c r="V16" s="36"/>
      <c r="W16" s="27"/>
      <c r="X16" s="5"/>
      <c r="Y16" s="5"/>
      <c r="Z16" s="5"/>
      <c r="AA16" s="4"/>
      <c r="AB16" s="4"/>
      <c r="AC16" s="4"/>
      <c r="AD16" s="4"/>
      <c r="AE16" s="4"/>
    </row>
    <row r="17" spans="1:31" s="35" customFormat="1" ht="24" customHeight="1">
      <c r="A17" s="37">
        <v>2</v>
      </c>
      <c r="B17" s="139" t="s">
        <v>162</v>
      </c>
      <c r="C17" s="87" t="str">
        <f t="shared" ref="C17:C18" si="33">VLOOKUP(B17,DS,2,0)</f>
        <v>Võ Văn Kiệt</v>
      </c>
      <c r="D17" s="114" t="str">
        <f t="shared" ref="D17:D18" si="34">VLOOKUP(B17,DS,3,0)</f>
        <v>Công Đoạn 1</v>
      </c>
      <c r="E17" s="88">
        <f t="shared" ref="E17:E18" si="35">VLOOKUP(B17,DS,4,0)</f>
        <v>5000000</v>
      </c>
      <c r="F17" s="90">
        <f>VLOOKUP(B17,'CC -12'!$B$8:$AS$29,36,0)</f>
        <v>27</v>
      </c>
      <c r="G17" s="143">
        <f t="shared" ref="G17:G18" si="36">ROUND(E17/$U$2*F17,0)</f>
        <v>5000000</v>
      </c>
      <c r="H17" s="90">
        <f>(VLOOKUP(B17,'CC -12'!$B$8:$AS$29,37,0)+VLOOKUP(B17,'CC -12'!$B$8:$AS$29,38,0))</f>
        <v>0</v>
      </c>
      <c r="I17" s="143">
        <f t="shared" ref="I17:I18" si="37">ROUND(E17/$U$2*H17,0)</f>
        <v>0</v>
      </c>
      <c r="J17" s="144">
        <f t="shared" ref="J17:J18" si="38">F17+H17</f>
        <v>27</v>
      </c>
      <c r="K17" s="38">
        <f t="shared" ref="K17:K18" si="39">G17+I17</f>
        <v>5000000</v>
      </c>
      <c r="L17" s="88">
        <f t="shared" ref="L17:L18" si="40">+F17*15000</f>
        <v>405000</v>
      </c>
      <c r="M17" s="39">
        <f t="shared" ref="M17:M18" si="41">K17+L17</f>
        <v>5405000</v>
      </c>
      <c r="N17" s="39">
        <f>IF(VLOOKUP(B17,DS,9,0)="x",'L - 12'!E17*$N$4,0)</f>
        <v>0</v>
      </c>
      <c r="O17" s="39">
        <f t="shared" ref="O17:O18" si="42">IF(VLOOKUP(B17,DS,9,0)="x",E17*0.015,0)</f>
        <v>0</v>
      </c>
      <c r="P17" s="39">
        <f t="shared" ref="P17:P18" si="43">IF(VLOOKUP(B17,DS,9,0)="x",E17*0.01,0)</f>
        <v>0</v>
      </c>
      <c r="Q17" s="38">
        <f t="shared" ref="Q17:Q18" si="44">M17-SUM(N17:P17)</f>
        <v>5405000</v>
      </c>
      <c r="R17" s="38">
        <f t="shared" ref="R17:R18" si="45">VLOOKUP(B17,DS,23,0)</f>
        <v>0</v>
      </c>
      <c r="S17" s="44">
        <f t="shared" ref="S17:S18" si="46">Q17-R17</f>
        <v>5405000</v>
      </c>
      <c r="T17" s="38"/>
      <c r="U17" s="102"/>
      <c r="V17" s="36"/>
      <c r="W17" s="27"/>
      <c r="X17" s="5"/>
      <c r="Y17" s="5"/>
      <c r="Z17" s="5"/>
      <c r="AA17" s="4"/>
      <c r="AB17" s="4"/>
      <c r="AC17" s="4"/>
      <c r="AD17" s="4"/>
      <c r="AE17" s="4"/>
    </row>
    <row r="18" spans="1:31" s="35" customFormat="1" ht="24" customHeight="1">
      <c r="A18" s="37">
        <v>3</v>
      </c>
      <c r="B18" s="139" t="s">
        <v>163</v>
      </c>
      <c r="C18" s="87" t="str">
        <f t="shared" si="33"/>
        <v>Diệp Văn Lân</v>
      </c>
      <c r="D18" s="114" t="str">
        <f t="shared" si="34"/>
        <v>Công Đoạn 1</v>
      </c>
      <c r="E18" s="88">
        <f t="shared" si="35"/>
        <v>4200000</v>
      </c>
      <c r="F18" s="90">
        <f>VLOOKUP(B18,'CC -12'!$B$8:$AS$29,36,0)</f>
        <v>27</v>
      </c>
      <c r="G18" s="143">
        <f t="shared" si="36"/>
        <v>4200000</v>
      </c>
      <c r="H18" s="90">
        <f>(VLOOKUP(B18,'CC -12'!$B$8:$AS$29,37,0)+VLOOKUP(B18,'CC -12'!$B$8:$AS$29,38,0))</f>
        <v>0</v>
      </c>
      <c r="I18" s="143">
        <f t="shared" si="37"/>
        <v>0</v>
      </c>
      <c r="J18" s="144">
        <f t="shared" si="38"/>
        <v>27</v>
      </c>
      <c r="K18" s="38">
        <f t="shared" si="39"/>
        <v>4200000</v>
      </c>
      <c r="L18" s="88">
        <f t="shared" si="40"/>
        <v>405000</v>
      </c>
      <c r="M18" s="39">
        <f t="shared" si="41"/>
        <v>4605000</v>
      </c>
      <c r="N18" s="39">
        <f>IF(VLOOKUP(B18,DS,9,0)="x",'L - 12'!E18*$N$4,0)</f>
        <v>0</v>
      </c>
      <c r="O18" s="39">
        <f t="shared" si="42"/>
        <v>0</v>
      </c>
      <c r="P18" s="39">
        <f t="shared" si="43"/>
        <v>0</v>
      </c>
      <c r="Q18" s="38">
        <f t="shared" si="44"/>
        <v>4605000</v>
      </c>
      <c r="R18" s="38">
        <f t="shared" si="45"/>
        <v>0</v>
      </c>
      <c r="S18" s="44">
        <f t="shared" si="46"/>
        <v>4605000</v>
      </c>
      <c r="T18" s="38"/>
      <c r="U18" s="102"/>
      <c r="V18" s="36"/>
      <c r="W18" s="27"/>
      <c r="X18" s="5"/>
      <c r="Y18" s="5"/>
      <c r="Z18" s="5"/>
      <c r="AA18" s="4"/>
      <c r="AB18" s="4"/>
      <c r="AC18" s="4"/>
      <c r="AD18" s="4"/>
      <c r="AE18" s="4"/>
    </row>
    <row r="19" spans="1:31" s="35" customFormat="1" ht="24" customHeight="1">
      <c r="A19" s="37">
        <v>4</v>
      </c>
      <c r="B19" s="139" t="s">
        <v>176</v>
      </c>
      <c r="C19" s="87" t="str">
        <f t="shared" si="22"/>
        <v>Dương Thế Kiệt</v>
      </c>
      <c r="D19" s="114" t="str">
        <f t="shared" si="23"/>
        <v>Công Đoạn 1</v>
      </c>
      <c r="E19" s="88">
        <f t="shared" si="24"/>
        <v>4200000</v>
      </c>
      <c r="F19" s="90">
        <f>VLOOKUP(B19,'CC -12'!$B$8:$AS$29,36,0)</f>
        <v>27</v>
      </c>
      <c r="G19" s="143">
        <f t="shared" si="25"/>
        <v>4200000</v>
      </c>
      <c r="H19" s="90">
        <f>(VLOOKUP(B19,'CC -12'!$B$8:$AS$29,37,0)+VLOOKUP(B19,'CC -12'!$B$8:$AS$29,38,0))</f>
        <v>0</v>
      </c>
      <c r="I19" s="143">
        <f t="shared" si="26"/>
        <v>0</v>
      </c>
      <c r="J19" s="144">
        <f t="shared" si="27"/>
        <v>27</v>
      </c>
      <c r="K19" s="38">
        <f t="shared" si="27"/>
        <v>4200000</v>
      </c>
      <c r="L19" s="88">
        <f t="shared" si="28"/>
        <v>405000</v>
      </c>
      <c r="M19" s="39">
        <f t="shared" si="29"/>
        <v>4605000</v>
      </c>
      <c r="N19" s="39">
        <f>IF(VLOOKUP(B19,DS,9,0)="x",'L - 12'!E19*$N$4,0)</f>
        <v>0</v>
      </c>
      <c r="O19" s="39">
        <f t="shared" si="30"/>
        <v>0</v>
      </c>
      <c r="P19" s="39">
        <f t="shared" si="31"/>
        <v>0</v>
      </c>
      <c r="Q19" s="38">
        <f t="shared" ref="Q19:Q20" si="47">M19-SUM(N19:P19)</f>
        <v>4605000</v>
      </c>
      <c r="R19" s="38">
        <f t="shared" si="32"/>
        <v>0</v>
      </c>
      <c r="S19" s="44">
        <f t="shared" ref="S19:S20" si="48">Q19-R19</f>
        <v>4605000</v>
      </c>
      <c r="T19" s="38"/>
      <c r="U19" s="102"/>
      <c r="V19" s="36"/>
      <c r="W19" s="27"/>
      <c r="X19" s="5"/>
      <c r="Y19" s="5"/>
      <c r="Z19" s="5"/>
      <c r="AA19" s="4"/>
      <c r="AB19" s="4"/>
      <c r="AC19" s="4"/>
      <c r="AD19" s="4"/>
      <c r="AE19" s="4"/>
    </row>
    <row r="20" spans="1:31" s="35" customFormat="1" ht="24" customHeight="1">
      <c r="A20" s="37">
        <v>5</v>
      </c>
      <c r="B20" s="139" t="s">
        <v>177</v>
      </c>
      <c r="C20" s="87" t="str">
        <f t="shared" si="22"/>
        <v>Lê Văn Hữu</v>
      </c>
      <c r="D20" s="114" t="str">
        <f t="shared" si="23"/>
        <v>Công Đoạn 2</v>
      </c>
      <c r="E20" s="88">
        <f t="shared" si="24"/>
        <v>5000000</v>
      </c>
      <c r="F20" s="90">
        <f>VLOOKUP(B20,'CC -12'!$B$8:$AS$29,36,0)</f>
        <v>27</v>
      </c>
      <c r="G20" s="143">
        <f t="shared" si="25"/>
        <v>5000000</v>
      </c>
      <c r="H20" s="90">
        <f>(VLOOKUP(B20,'CC -12'!$B$8:$AS$29,37,0)+VLOOKUP(B20,'CC -12'!$B$8:$AS$29,38,0))</f>
        <v>0</v>
      </c>
      <c r="I20" s="143">
        <f t="shared" si="26"/>
        <v>0</v>
      </c>
      <c r="J20" s="144">
        <f t="shared" si="27"/>
        <v>27</v>
      </c>
      <c r="K20" s="38">
        <f t="shared" si="27"/>
        <v>5000000</v>
      </c>
      <c r="L20" s="88">
        <f t="shared" si="28"/>
        <v>405000</v>
      </c>
      <c r="M20" s="39">
        <f t="shared" si="29"/>
        <v>5405000</v>
      </c>
      <c r="N20" s="39">
        <f>IF(VLOOKUP(B20,DS,9,0)="x",'L - 12'!E20*$N$4,0)</f>
        <v>0</v>
      </c>
      <c r="O20" s="39">
        <f t="shared" si="30"/>
        <v>0</v>
      </c>
      <c r="P20" s="39">
        <f t="shared" si="31"/>
        <v>0</v>
      </c>
      <c r="Q20" s="38">
        <f t="shared" si="47"/>
        <v>5405000</v>
      </c>
      <c r="R20" s="38">
        <f t="shared" si="32"/>
        <v>0</v>
      </c>
      <c r="S20" s="44">
        <f t="shared" si="48"/>
        <v>5405000</v>
      </c>
      <c r="T20" s="38"/>
      <c r="U20" s="102"/>
      <c r="V20" s="36"/>
      <c r="W20" s="27"/>
      <c r="X20" s="5"/>
      <c r="Y20" s="5"/>
      <c r="Z20" s="5"/>
      <c r="AA20" s="4"/>
      <c r="AB20" s="4"/>
      <c r="AC20" s="4"/>
      <c r="AD20" s="4"/>
      <c r="AE20" s="4"/>
    </row>
    <row r="21" spans="1:31" s="35" customFormat="1" ht="24" customHeight="1">
      <c r="A21" s="37">
        <v>6</v>
      </c>
      <c r="B21" s="139" t="s">
        <v>178</v>
      </c>
      <c r="C21" s="87" t="str">
        <f t="shared" ref="C21:C22" si="49">VLOOKUP(B21,DS,2,0)</f>
        <v>Bùi Trường Giang</v>
      </c>
      <c r="D21" s="114" t="str">
        <f t="shared" ref="D21:D22" si="50">VLOOKUP(B21,DS,3,0)</f>
        <v>Công Đoạn 2</v>
      </c>
      <c r="E21" s="88">
        <f t="shared" ref="E21:E22" si="51">VLOOKUP(B21,DS,4,0)</f>
        <v>4200000</v>
      </c>
      <c r="F21" s="90">
        <f>VLOOKUP(B21,'CC -12'!$B$8:$AS$29,36,0)</f>
        <v>27</v>
      </c>
      <c r="G21" s="143">
        <f t="shared" ref="G21:G22" si="52">ROUND(E21/$U$2*F21,0)</f>
        <v>4200000</v>
      </c>
      <c r="H21" s="90">
        <f>(VLOOKUP(B21,'CC -12'!$B$8:$AS$29,37,0)+VLOOKUP(B21,'CC -12'!$B$8:$AS$29,38,0))</f>
        <v>0</v>
      </c>
      <c r="I21" s="143">
        <f t="shared" ref="I21:I22" si="53">ROUND(E21/$U$2*H21,0)</f>
        <v>0</v>
      </c>
      <c r="J21" s="144">
        <f t="shared" ref="J21:J22" si="54">F21+H21</f>
        <v>27</v>
      </c>
      <c r="K21" s="38">
        <f t="shared" ref="K21:K22" si="55">G21+I21</f>
        <v>4200000</v>
      </c>
      <c r="L21" s="88">
        <f t="shared" ref="L21:L22" si="56">+F21*15000</f>
        <v>405000</v>
      </c>
      <c r="M21" s="39">
        <f t="shared" ref="M21:M22" si="57">K21+L21</f>
        <v>4605000</v>
      </c>
      <c r="N21" s="39">
        <f>IF(VLOOKUP(B21,DS,9,0)="x",'L - 12'!E21*$N$4,0)</f>
        <v>0</v>
      </c>
      <c r="O21" s="39">
        <f t="shared" ref="O21:O22" si="58">IF(VLOOKUP(B21,DS,9,0)="x",E21*0.015,0)</f>
        <v>0</v>
      </c>
      <c r="P21" s="39">
        <f t="shared" ref="P21:P22" si="59">IF(VLOOKUP(B21,DS,9,0)="x",E21*0.01,0)</f>
        <v>0</v>
      </c>
      <c r="Q21" s="38">
        <f t="shared" ref="Q21:Q22" si="60">M21-SUM(N21:P21)</f>
        <v>4605000</v>
      </c>
      <c r="R21" s="38">
        <f t="shared" ref="R21:R22" si="61">VLOOKUP(B21,DS,23,0)</f>
        <v>0</v>
      </c>
      <c r="S21" s="44">
        <f t="shared" ref="S21:S22" si="62">Q21-R21</f>
        <v>4605000</v>
      </c>
      <c r="T21" s="38"/>
      <c r="U21" s="102"/>
      <c r="V21" s="36"/>
      <c r="W21" s="27"/>
      <c r="X21" s="5"/>
      <c r="Y21" s="5"/>
      <c r="Z21" s="5"/>
      <c r="AA21" s="4"/>
      <c r="AB21" s="4"/>
      <c r="AC21" s="4"/>
      <c r="AD21" s="4"/>
      <c r="AE21" s="4"/>
    </row>
    <row r="22" spans="1:31" s="35" customFormat="1" ht="24" customHeight="1">
      <c r="A22" s="37">
        <v>7</v>
      </c>
      <c r="B22" s="139" t="s">
        <v>179</v>
      </c>
      <c r="C22" s="87" t="str">
        <f t="shared" si="49"/>
        <v>Nguyễn T Bích Thủy</v>
      </c>
      <c r="D22" s="114" t="str">
        <f t="shared" si="50"/>
        <v>Công Đoạn 2</v>
      </c>
      <c r="E22" s="88">
        <f t="shared" si="51"/>
        <v>4200000</v>
      </c>
      <c r="F22" s="90">
        <f>VLOOKUP(B22,'CC -12'!$B$8:$AS$29,36,0)</f>
        <v>27</v>
      </c>
      <c r="G22" s="143">
        <f t="shared" si="52"/>
        <v>4200000</v>
      </c>
      <c r="H22" s="90">
        <f>(VLOOKUP(B22,'CC -12'!$B$8:$AS$29,37,0)+VLOOKUP(B22,'CC -12'!$B$8:$AS$29,38,0))</f>
        <v>0</v>
      </c>
      <c r="I22" s="143">
        <f t="shared" si="53"/>
        <v>0</v>
      </c>
      <c r="J22" s="144">
        <f t="shared" si="54"/>
        <v>27</v>
      </c>
      <c r="K22" s="38">
        <f t="shared" si="55"/>
        <v>4200000</v>
      </c>
      <c r="L22" s="88">
        <f t="shared" si="56"/>
        <v>405000</v>
      </c>
      <c r="M22" s="39">
        <f t="shared" si="57"/>
        <v>4605000</v>
      </c>
      <c r="N22" s="39">
        <f>IF(VLOOKUP(B22,DS,9,0)="x",'L - 12'!E22*$N$4,0)</f>
        <v>0</v>
      </c>
      <c r="O22" s="39">
        <f t="shared" si="58"/>
        <v>0</v>
      </c>
      <c r="P22" s="39">
        <f t="shared" si="59"/>
        <v>0</v>
      </c>
      <c r="Q22" s="38">
        <f t="shared" si="60"/>
        <v>4605000</v>
      </c>
      <c r="R22" s="38">
        <f t="shared" si="61"/>
        <v>0</v>
      </c>
      <c r="S22" s="44">
        <f t="shared" si="62"/>
        <v>4605000</v>
      </c>
      <c r="T22" s="38"/>
      <c r="U22" s="102"/>
      <c r="V22" s="36"/>
      <c r="W22" s="27"/>
      <c r="X22" s="5"/>
      <c r="Y22" s="5"/>
      <c r="Z22" s="5"/>
      <c r="AA22" s="4"/>
      <c r="AB22" s="4"/>
      <c r="AC22" s="4"/>
      <c r="AD22" s="4"/>
      <c r="AE22" s="4"/>
    </row>
    <row r="23" spans="1:31" s="35" customFormat="1" ht="22.5" customHeight="1">
      <c r="A23" s="40"/>
      <c r="B23" s="183"/>
      <c r="C23" s="41"/>
      <c r="D23" s="3"/>
      <c r="E23" s="42"/>
      <c r="F23" s="42"/>
      <c r="G23" s="42"/>
      <c r="H23" s="42"/>
      <c r="I23" s="42"/>
      <c r="J23" s="43"/>
      <c r="K23" s="42"/>
      <c r="L23" s="42"/>
      <c r="M23" s="182"/>
      <c r="N23" s="42"/>
      <c r="O23" s="42"/>
      <c r="P23" s="42"/>
      <c r="Q23" s="42"/>
      <c r="R23" s="42"/>
      <c r="S23" s="42"/>
      <c r="T23" s="38"/>
      <c r="U23" s="102"/>
      <c r="V23" s="36"/>
      <c r="W23" s="36"/>
      <c r="X23" s="36"/>
      <c r="Y23" s="36"/>
      <c r="Z23" s="36"/>
    </row>
    <row r="24" spans="1:31" s="31" customFormat="1" ht="21" customHeight="1">
      <c r="A24" s="283" t="s">
        <v>25</v>
      </c>
      <c r="B24" s="283"/>
      <c r="C24" s="283"/>
      <c r="D24" s="283"/>
      <c r="E24" s="138">
        <f>SUM(E15:E23)</f>
        <v>31800000</v>
      </c>
      <c r="F24" s="138"/>
      <c r="G24" s="138">
        <f>SUM(G15:G23)</f>
        <v>31800000</v>
      </c>
      <c r="H24" s="138"/>
      <c r="I24" s="138">
        <f>SUM(I15:I23)</f>
        <v>0</v>
      </c>
      <c r="J24" s="138"/>
      <c r="K24" s="138">
        <f t="shared" ref="K24:S24" si="63">SUM(K15:K23)</f>
        <v>31800000</v>
      </c>
      <c r="L24" s="138">
        <f t="shared" si="63"/>
        <v>2835000</v>
      </c>
      <c r="M24" s="138">
        <f t="shared" si="63"/>
        <v>34635000</v>
      </c>
      <c r="N24" s="138">
        <f t="shared" si="63"/>
        <v>0</v>
      </c>
      <c r="O24" s="138">
        <f t="shared" si="63"/>
        <v>0</v>
      </c>
      <c r="P24" s="138">
        <f t="shared" si="63"/>
        <v>0</v>
      </c>
      <c r="Q24" s="138">
        <f t="shared" si="63"/>
        <v>34635000</v>
      </c>
      <c r="R24" s="138">
        <f t="shared" si="63"/>
        <v>0</v>
      </c>
      <c r="S24" s="138">
        <f t="shared" si="63"/>
        <v>34635000</v>
      </c>
      <c r="T24" s="25"/>
      <c r="U24" s="102"/>
      <c r="V24" s="32"/>
      <c r="W24" s="32"/>
      <c r="X24" s="32"/>
      <c r="Y24" s="32"/>
      <c r="Z24" s="32"/>
    </row>
    <row r="25" spans="1:31" ht="11.25" customHeight="1">
      <c r="A25" s="8"/>
      <c r="B25" s="8"/>
      <c r="C25" s="9"/>
      <c r="D25" s="115"/>
      <c r="E25" s="92"/>
      <c r="F25" s="9"/>
      <c r="G25" s="9"/>
      <c r="H25" s="9"/>
      <c r="I25" s="9"/>
      <c r="K25" s="9"/>
      <c r="L25" s="9"/>
      <c r="M25" s="100"/>
      <c r="N25" s="9"/>
      <c r="O25" s="9"/>
      <c r="P25" s="9"/>
      <c r="Q25" s="9"/>
      <c r="R25" s="9"/>
      <c r="S25" s="9"/>
      <c r="T25" s="9"/>
      <c r="U25" s="102"/>
    </row>
    <row r="26" spans="1:31" s="35" customFormat="1" ht="11.25" customHeight="1">
      <c r="A26" s="76"/>
      <c r="B26" s="76"/>
      <c r="C26" s="76"/>
      <c r="D26" s="131"/>
      <c r="E26" s="132"/>
      <c r="F26" s="76"/>
      <c r="G26" s="76"/>
      <c r="H26" s="76"/>
      <c r="I26" s="76"/>
      <c r="J26" s="133"/>
      <c r="K26" s="132"/>
      <c r="L26" s="76"/>
      <c r="M26" s="76"/>
      <c r="N26" s="76"/>
      <c r="O26" s="76"/>
      <c r="P26" s="76"/>
      <c r="Q26" s="76"/>
      <c r="R26" s="76"/>
      <c r="S26" s="106" t="str">
        <f>"Long An, ngày  "&amp;$V$2&amp;"   tháng   "&amp;TEXT(E4,"mm")&amp;"   năm "&amp;TEXT(E4,"yyyy")</f>
        <v>Long An, ngày  31   tháng   12   năm 2015</v>
      </c>
      <c r="T26" s="76"/>
      <c r="U26" s="134"/>
      <c r="V26" s="36"/>
      <c r="W26" s="36"/>
      <c r="X26" s="36"/>
      <c r="Y26" s="36"/>
      <c r="Z26" s="36"/>
    </row>
    <row r="27" spans="1:31" s="35" customFormat="1" ht="12.75">
      <c r="A27" s="28"/>
      <c r="B27" s="28"/>
      <c r="C27" s="28" t="s">
        <v>60</v>
      </c>
      <c r="D27" s="135"/>
      <c r="E27" s="77"/>
      <c r="F27" s="134"/>
      <c r="G27" s="77"/>
      <c r="H27" s="77"/>
      <c r="I27" s="77"/>
      <c r="J27" s="136"/>
      <c r="K27" s="36"/>
      <c r="L27" s="28"/>
      <c r="M27" s="145"/>
      <c r="N27" s="19"/>
      <c r="O27" s="19"/>
      <c r="P27" s="19"/>
      <c r="Q27" s="19"/>
      <c r="S27" s="134" t="s">
        <v>22</v>
      </c>
      <c r="T27" s="134"/>
      <c r="U27" s="134"/>
      <c r="V27" s="36"/>
      <c r="W27" s="36"/>
      <c r="X27" s="36"/>
      <c r="Y27" s="36"/>
      <c r="Z27" s="36"/>
    </row>
    <row r="28" spans="1:31" ht="12">
      <c r="A28" s="8"/>
      <c r="B28" s="8"/>
      <c r="C28" s="15"/>
      <c r="E28" s="13"/>
      <c r="F28" s="12"/>
      <c r="G28" s="13"/>
      <c r="H28" s="13"/>
      <c r="I28" s="13"/>
      <c r="K28" s="7"/>
      <c r="L28" s="15"/>
      <c r="N28" s="11"/>
      <c r="O28" s="11"/>
      <c r="P28" s="11"/>
      <c r="Q28" s="11"/>
      <c r="S28" s="11"/>
      <c r="T28" s="12"/>
      <c r="U28" s="102"/>
    </row>
    <row r="29" spans="1:31" ht="12">
      <c r="C29" s="15"/>
      <c r="L29" s="15"/>
      <c r="T29" s="15"/>
      <c r="U29" s="102"/>
    </row>
    <row r="30" spans="1:31" ht="12">
      <c r="U30" s="102"/>
    </row>
    <row r="31" spans="1:31" ht="12">
      <c r="U31" s="102"/>
    </row>
    <row r="32" spans="1:31" ht="12">
      <c r="U32" s="102"/>
    </row>
    <row r="33" spans="21:21" ht="12">
      <c r="U33" s="102"/>
    </row>
    <row r="34" spans="21:21" ht="12">
      <c r="U34" s="102"/>
    </row>
    <row r="35" spans="21:21" ht="12">
      <c r="U35" s="102"/>
    </row>
  </sheetData>
  <protectedRanges>
    <protectedRange password="CC78" sqref="V23:IK24 C5:D7 B27:C27 V5:W9 A23:A28 B23:B26 B28 V15:W15 Q5:T7 E5:I6 D24 N5:P6 L5 L27 J6:K7 L7 A30:T63 U36:U63 N23:S23 V30:IK63 J23:L23 A64:IK65331 AF15:IK15 V14:IK14 D14 Q10:S13 AF5:IK13 W10:W13 A10:B14" name="Range1"/>
    <protectedRange password="CC78" sqref="F7:H7" name="Range1_4"/>
    <protectedRange password="CC78" sqref="V27:IK28 S27:T28 N27:Q28 E27:I28" name="Range1_1_1"/>
    <protectedRange password="CC78" sqref="U1 W1:IK3 V4:IK4 B4:T4 R2:S3 B1:Q3 U23:U35 X15:AE15 X5:AE13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6:W22 Q16:S22 AF16:IK22 A16:B22" name="Range1_5"/>
    <protectedRange password="CC78" sqref="U16:U22 X16:AE22" name="Range1_2_3"/>
    <protectedRange password="CC78" sqref="V16:V22" name="Range1_1_3"/>
    <protectedRange password="CC78" sqref="K10:K13 K16:K22" name="Range1_6"/>
    <protectedRange password="CC78" sqref="A2:A3" name="Range1_2_1_3"/>
    <protectedRange password="CC78" sqref="E14:T14" name="Range1_3"/>
    <protectedRange password="CC78" sqref="E24:T24" name="Range1_7"/>
    <protectedRange password="CC78" sqref="U2" name="Range1_2_2_1_1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4:D14"/>
    <mergeCell ref="A24:D24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13</vt:i4>
      </vt:variant>
    </vt:vector>
  </HeadingPairs>
  <TitlesOfParts>
    <vt:vector size="38" baseType="lpstr">
      <vt:lpstr>TH</vt:lpstr>
      <vt:lpstr>CC -1</vt:lpstr>
      <vt:lpstr>L - 1</vt:lpstr>
      <vt:lpstr>CC -2</vt:lpstr>
      <vt:lpstr>L - 2</vt:lpstr>
      <vt:lpstr>CC -3</vt:lpstr>
      <vt:lpstr>L - 3</vt:lpstr>
      <vt:lpstr>CC -4</vt:lpstr>
      <vt:lpstr>L - 4</vt:lpstr>
      <vt:lpstr>CC -5</vt:lpstr>
      <vt:lpstr>L - 5</vt:lpstr>
      <vt:lpstr>CC -6</vt:lpstr>
      <vt:lpstr>L - 6</vt:lpstr>
      <vt:lpstr>CC -7</vt:lpstr>
      <vt:lpstr>L - 7</vt:lpstr>
      <vt:lpstr>CC - 8</vt:lpstr>
      <vt:lpstr>L - 8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DS</vt:lpstr>
      <vt:lpstr>'CC - 8'!Print_Area</vt:lpstr>
      <vt:lpstr>'CC -1'!Print_Area</vt:lpstr>
      <vt:lpstr>'CC -10'!Print_Area</vt:lpstr>
      <vt:lpstr>'CC -11'!Print_Area</vt:lpstr>
      <vt:lpstr>'CC -12'!Print_Area</vt:lpstr>
      <vt:lpstr>'CC -2'!Print_Area</vt:lpstr>
      <vt:lpstr>'CC -3'!Print_Area</vt:lpstr>
      <vt:lpstr>'CC -4'!Print_Area</vt:lpstr>
      <vt:lpstr>'CC -5'!Print_Area</vt:lpstr>
      <vt:lpstr>'CC -6'!Print_Area</vt:lpstr>
      <vt:lpstr>'CC -7'!Print_Area</vt:lpstr>
      <vt:lpstr>'CC -9'!Print_Area</vt:lpstr>
    </vt:vector>
  </TitlesOfParts>
  <Company>HP-COMPUTER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User 1</cp:lastModifiedBy>
  <cp:lastPrinted>2016-05-23T07:13:11Z</cp:lastPrinted>
  <dcterms:created xsi:type="dcterms:W3CDTF">2011-06-27T04:19:15Z</dcterms:created>
  <dcterms:modified xsi:type="dcterms:W3CDTF">2016-12-15T08:29:46Z</dcterms:modified>
</cp:coreProperties>
</file>